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 FRESH " sheetId="1" r:id="rId5"/>
    <sheet state="visible" name="PREZENZA" sheetId="2" r:id="rId6"/>
    <sheet state="visible" name="SUDADERAS" sheetId="3" r:id="rId7"/>
    <sheet state="visible" name="En exhibición" sheetId="4" r:id="rId8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tc={b496260e-141d-4812-b3e8-7965d4b74b9a}</author>
  </authors>
  <commentList>
    <comment authorId="0" xr:uid="{b496260e-141d-4812-b3e8-7965d4b74b9a}" ref="E1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User:
</t>
      </text>
    </comment>
  </commentList>
</comments>
</file>

<file path=xl/sharedStrings.xml><?xml version="1.0" encoding="utf-8"?>
<sst xmlns="http://schemas.openxmlformats.org/spreadsheetml/2006/main" count="1894" uniqueCount="205">
  <si>
    <t>STOCK MONTERREY       17/04/2026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</si>
  <si>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</si>
  <si>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</si>
  <si>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</si>
  <si>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</si>
  <si>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</si>
  <si>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</si>
  <si>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</si>
  <si>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</si>
  <si>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</si>
  <si>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</si>
  <si>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</si>
  <si>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</si>
  <si>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 xml:space="preserve"> </t>
  </si>
  <si>
    <t>NEGRO</t>
  </si>
  <si>
    <t>MARINO</t>
  </si>
  <si>
    <t>GRIS OXFORD</t>
  </si>
  <si>
    <t>VINO</t>
  </si>
  <si>
    <t>ROJO</t>
  </si>
  <si>
    <t xml:space="preserve">BLANCO </t>
  </si>
  <si>
    <t xml:space="preserve">REY </t>
  </si>
  <si>
    <t>GRIS PERLA</t>
  </si>
  <si>
    <t xml:space="preserve">FIUSHA </t>
  </si>
  <si>
    <t>NARANJA</t>
  </si>
  <si>
    <t xml:space="preserve">MORADO / VIOLETA </t>
  </si>
  <si>
    <t>TURQUESA</t>
  </si>
  <si>
    <t>CAQUI</t>
  </si>
  <si>
    <t>ROSA</t>
  </si>
  <si>
    <t>AMARILLO</t>
  </si>
  <si>
    <t>AZUL CIELO</t>
  </si>
  <si>
    <t>VERDE LIMON</t>
  </si>
  <si>
    <t>/</t>
  </si>
  <si>
    <t xml:space="preserve">VERDE MANZANA </t>
  </si>
  <si>
    <t xml:space="preserve">VERDE BANDERA </t>
  </si>
  <si>
    <t xml:space="preserve">MENTA </t>
  </si>
  <si>
    <t>VERDE BOTELLA</t>
  </si>
  <si>
    <t>LILA</t>
  </si>
  <si>
    <t>AMARILLO NEON</t>
  </si>
  <si>
    <t>BUGAMBILIA</t>
  </si>
  <si>
    <t>NARANJA NEON</t>
  </si>
  <si>
    <t>PLAYERA BE FRESH  TIPO POLO MANGA LARGA</t>
  </si>
  <si>
    <t xml:space="preserve">GRIS OXFORD </t>
  </si>
  <si>
    <t xml:space="preserve">CUELLO REDONDO </t>
  </si>
  <si>
    <t>UNISEX</t>
  </si>
  <si>
    <t>GRIS</t>
  </si>
  <si>
    <t>INVENTARIO GENERAL SUC MONTERREY 17/04/2026</t>
  </si>
  <si>
    <t>CHALECOS</t>
  </si>
  <si>
    <t xml:space="preserve">CHALECO HYDRO </t>
  </si>
  <si>
    <t xml:space="preserve">TALLA / COLOR </t>
  </si>
  <si>
    <t>S</t>
  </si>
  <si>
    <t>M</t>
  </si>
  <si>
    <t>L</t>
  </si>
  <si>
    <t>XL</t>
  </si>
  <si>
    <t>TOTAL</t>
  </si>
  <si>
    <t xml:space="preserve">NEGRO </t>
  </si>
  <si>
    <t xml:space="preserve">MARINO </t>
  </si>
  <si>
    <t>CHALECO SHEL</t>
  </si>
  <si>
    <t xml:space="preserve">ROJO </t>
  </si>
  <si>
    <t>CHALECO FIT</t>
  </si>
  <si>
    <t>VERDE</t>
  </si>
  <si>
    <t xml:space="preserve">VINO </t>
  </si>
  <si>
    <t xml:space="preserve">NARANJA </t>
  </si>
  <si>
    <t>CHALECO CHIC</t>
  </si>
  <si>
    <t xml:space="preserve">CABALLERO </t>
  </si>
  <si>
    <t xml:space="preserve">CHALECO FULL </t>
  </si>
  <si>
    <t xml:space="preserve">CHAMARRAS </t>
  </si>
  <si>
    <t xml:space="preserve">CHAMARRA HYDRO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</si>
  <si>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</si>
  <si>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CHAMARRA SHEL</t>
  </si>
  <si>
    <t xml:space="preserve">CHAMARRA REACTION </t>
  </si>
  <si>
    <t>CHAMARRA CHIC</t>
  </si>
  <si>
    <t>CHAMARRA ATRACTIVE</t>
  </si>
  <si>
    <t>CHAMARRA BOMBER FULL</t>
  </si>
  <si>
    <t>ROMPEVIENTOS</t>
  </si>
  <si>
    <t>BLANCO</t>
  </si>
  <si>
    <t xml:space="preserve">CHAMARRA CAPITONADA IMPORTADA </t>
  </si>
  <si>
    <t xml:space="preserve">LINEA DE SEGURIDAD </t>
  </si>
  <si>
    <t>LINEA SECURITY</t>
  </si>
  <si>
    <t>CHALECO BRIGADISTA UNISEX</t>
  </si>
  <si>
    <t xml:space="preserve">TOTAL </t>
  </si>
  <si>
    <t>KAKI</t>
  </si>
  <si>
    <t>REY</t>
  </si>
  <si>
    <t>G. PERLA</t>
  </si>
  <si>
    <t>BCO</t>
  </si>
  <si>
    <t>NGO</t>
  </si>
  <si>
    <t>CHALECO MEXICO CON REFLEJANTE UNISEX</t>
  </si>
  <si>
    <t>COLOR / TALLA</t>
  </si>
  <si>
    <t>CHALECO ALTA VISIBILIDAD UNISEX</t>
  </si>
  <si>
    <t>UNITALLA</t>
  </si>
  <si>
    <t>BLUSAS Y CAMISAS</t>
  </si>
  <si>
    <t xml:space="preserve">MEETING </t>
  </si>
  <si>
    <t>AZUL FRANCIA</t>
  </si>
  <si>
    <t xml:space="preserve">AMALFI </t>
  </si>
  <si>
    <t>Color</t>
  </si>
  <si>
    <t>AZUL</t>
  </si>
  <si>
    <t>VERONA</t>
  </si>
  <si>
    <t>A. FRANCIA</t>
  </si>
  <si>
    <t xml:space="preserve">TURIN </t>
  </si>
  <si>
    <t xml:space="preserve"> OXFORD </t>
  </si>
  <si>
    <t>PAJA</t>
  </si>
  <si>
    <t>A. CIELO</t>
  </si>
  <si>
    <t>BLUSA PESCADORA</t>
  </si>
  <si>
    <t>ROJA</t>
  </si>
  <si>
    <t>ARENA</t>
  </si>
  <si>
    <t xml:space="preserve">A. CIELO </t>
  </si>
  <si>
    <t>V. MILITAR</t>
  </si>
  <si>
    <t>A. REY</t>
  </si>
  <si>
    <t>ACERO</t>
  </si>
  <si>
    <t>PETROLEO</t>
  </si>
  <si>
    <t>PISTACHE</t>
  </si>
  <si>
    <t>MEZCLILLA</t>
  </si>
  <si>
    <t>STONE</t>
  </si>
  <si>
    <t>PANTALON MEZCLILLA</t>
  </si>
  <si>
    <t>P. MEZCLILLA</t>
  </si>
  <si>
    <t>MARINO-AMARILLO</t>
  </si>
  <si>
    <t>CAMISAS SECURITY  C/REFLEJANTE UNISEX</t>
  </si>
  <si>
    <t xml:space="preserve">  </t>
  </si>
  <si>
    <t>LINEA SECURITY / MEZCLILLA CON REFLEJANTE</t>
  </si>
  <si>
    <t>BLUSA</t>
  </si>
  <si>
    <t>CAMISA</t>
  </si>
  <si>
    <t>SECURITY</t>
  </si>
  <si>
    <t>LINEA CHEF</t>
  </si>
  <si>
    <t>MANDIL LONETA</t>
  </si>
  <si>
    <t>MANDIL LARRY LARGO</t>
  </si>
  <si>
    <t>MANDIL LARRY CORTO</t>
  </si>
  <si>
    <t>UNI</t>
  </si>
  <si>
    <t>Filipina</t>
  </si>
  <si>
    <t xml:space="preserve">PANTALON DE GABARDINA </t>
  </si>
  <si>
    <t xml:space="preserve">COLOR / TALLA </t>
  </si>
  <si>
    <t>PLAYERA SUBLIMADA DE MÉXICO</t>
  </si>
  <si>
    <t>CHAMARRA  SUBLIMADA DE MÉXICO</t>
  </si>
  <si>
    <t>SUDADERA GALAXY</t>
  </si>
  <si>
    <t>SUDADERA ONIX</t>
  </si>
  <si>
    <t>NARANJA/MARINO</t>
  </si>
  <si>
    <t>AMARILLO/MARINO</t>
  </si>
  <si>
    <t>PLAYERA IRON MANGA LARGA UNISEX</t>
  </si>
  <si>
    <t>XXCH</t>
  </si>
  <si>
    <t>PLAYERA IRON MANGA CORTA UNISEX</t>
  </si>
  <si>
    <t>PLAYERA VERSUS UNISEX</t>
  </si>
  <si>
    <t>SUDADERA FLEECE</t>
  </si>
  <si>
    <t>COLOR</t>
  </si>
  <si>
    <t>SUDADERA BE FRESH</t>
  </si>
  <si>
    <t>SUDADERA HOODIE</t>
  </si>
  <si>
    <t>AZUL REY</t>
  </si>
  <si>
    <t>GRIS JASPE</t>
  </si>
  <si>
    <t>SUDADERA BASICA</t>
  </si>
  <si>
    <t>SUDADERA CON CIERRE</t>
  </si>
  <si>
    <t>CHAMARRA COLLEGE</t>
  </si>
  <si>
    <t>MARINO/JASPE</t>
  </si>
  <si>
    <t>MARINO/OXFORD</t>
  </si>
  <si>
    <t>NGO/BCO</t>
  </si>
  <si>
    <t>NGO/OXFORD</t>
  </si>
  <si>
    <t>ROJO/NGO</t>
  </si>
  <si>
    <t>REY/GRIS JASPE</t>
  </si>
  <si>
    <t>NGO/NGO</t>
  </si>
  <si>
    <t>BLUSA MEZCLILLA</t>
  </si>
  <si>
    <t>BLUS PESC</t>
  </si>
  <si>
    <t xml:space="preserve">PLAYERA TIPO POLO MANGA CORTA </t>
  </si>
  <si>
    <t>TALLA</t>
  </si>
  <si>
    <t xml:space="preserve"> CAM PESC</t>
  </si>
  <si>
    <t>GRIS PERLA-</t>
  </si>
  <si>
    <t>MANGA LARGA</t>
  </si>
  <si>
    <t>2XL</t>
  </si>
  <si>
    <t>3XL</t>
  </si>
  <si>
    <t>4XL</t>
  </si>
  <si>
    <t>5XL</t>
  </si>
  <si>
    <t>BLU MEET</t>
  </si>
  <si>
    <t>color</t>
  </si>
  <si>
    <t>CUELLO REDON</t>
  </si>
  <si>
    <t xml:space="preserve"> CAM MEET</t>
  </si>
  <si>
    <t>SUDA GALAX</t>
  </si>
  <si>
    <t>BLU AMAL</t>
  </si>
  <si>
    <t xml:space="preserve"> CAM AMAL</t>
  </si>
  <si>
    <t>SUDA ONI</t>
  </si>
  <si>
    <t>BLU VERO</t>
  </si>
  <si>
    <t>PLAYERA AIRON MANGA LARGA</t>
  </si>
  <si>
    <t>PLAYERA AIRON MANGA CORTA UNISEX</t>
  </si>
  <si>
    <t xml:space="preserve"> CAM VERO</t>
  </si>
  <si>
    <t>PLAYERA VERSU UNISEX</t>
  </si>
  <si>
    <t>BLU TURI</t>
  </si>
  <si>
    <t>X</t>
  </si>
  <si>
    <t>SUDADERA FLEESE</t>
  </si>
  <si>
    <t xml:space="preserve"> CAMI TURI</t>
  </si>
  <si>
    <t>SUDADERA BE FRESHH</t>
  </si>
  <si>
    <t>BLUS OXFO</t>
  </si>
  <si>
    <t>SUDADERA HOODI</t>
  </si>
  <si>
    <t xml:space="preserve"> CAM OXFO</t>
  </si>
  <si>
    <t>SUDADERA BASICAS</t>
  </si>
  <si>
    <t>CHAL HYD</t>
  </si>
  <si>
    <t>CHAL SHELL</t>
  </si>
  <si>
    <t>CHAMARRA COLLEGGE</t>
  </si>
  <si>
    <t>CHAL FITT</t>
  </si>
  <si>
    <t>CHAL CHIK</t>
  </si>
  <si>
    <t>CHAL FUL</t>
  </si>
  <si>
    <t>CHAMARRAS</t>
  </si>
  <si>
    <t>CHAMA HYD</t>
  </si>
  <si>
    <t>CHAM HYD</t>
  </si>
  <si>
    <t>CHAMA SHELL</t>
  </si>
  <si>
    <t>CHAMA REACT</t>
  </si>
  <si>
    <t>CHAMA CHIK</t>
  </si>
  <si>
    <t>CHAMA FULL</t>
  </si>
  <si>
    <t>+</t>
  </si>
  <si>
    <t>ROMPE VIENTOS</t>
  </si>
  <si>
    <t>CHAMA ATRAC</t>
  </si>
  <si>
    <t>CHALECO BRIGADIST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</si>
</sst>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81">
    <font>
      <sz val="11.0"/>
      <color theme="1"/>
      <name val="Calibri"/>
      <scheme val="minor"/>
    </font>
    <font>
      <b/>
      <sz val="12.0"/>
      <color theme="1"/>
      <name val="Arial"/>
    </font>
    <font>
      <b/>
      <u/>
      <sz val="33.0"/>
      <color theme="1"/>
      <name val="Arial Black"/>
    </font>
    <font/>
    <font>
      <b/>
      <sz val="12.0"/>
      <color rgb="FFFF0000"/>
      <name val="Arial"/>
    </font>
    <font>
      <b/>
      <sz val="12.0"/>
      <color theme="1"/>
      <name val="Calibri"/>
    </font>
    <font>
      <sz val="12.0"/>
      <color theme="1"/>
      <name val="Arial"/>
    </font>
    <font>
      <sz val="12.0"/>
      <color theme="1"/>
      <name val="Arial Black"/>
    </font>
    <font>
      <sz val="12.0"/>
      <color theme="1"/>
      <name val="Calibri"/>
    </font>
    <font>
      <u/>
      <sz val="12.0"/>
      <color theme="1"/>
      <name val="Arial"/>
    </font>
    <font>
      <sz val="12.0"/>
      <color rgb="FF000000"/>
      <name val="Arial"/>
    </font>
    <font>
      <u/>
      <sz val="12.0"/>
      <color theme="1"/>
      <name val="Arial"/>
    </font>
    <font>
      <sz val="12.0"/>
      <color theme="1"/>
      <name val="Calibri"/>
      <scheme val="minor"/>
    </font>
    <font>
      <sz val="16.0"/>
      <color theme="1"/>
      <name val="Arial Black"/>
    </font>
    <font>
      <u/>
      <sz val="12.0"/>
      <color theme="1"/>
      <name val="Arial"/>
    </font>
    <font>
      <sz val="17.0"/>
      <color theme="1"/>
      <name val="Arial Black"/>
    </font>
    <font>
      <u/>
      <sz val="12.0"/>
      <color theme="1"/>
      <name val="Arial"/>
    </font>
    <font>
      <b/>
      <sz val="26.0"/>
      <color theme="1"/>
      <name val="Arial"/>
    </font>
    <font>
      <sz val="11.0"/>
      <color theme="1"/>
      <name val="Arial"/>
    </font>
    <font>
      <b/>
      <sz val="48.0"/>
      <color theme="1"/>
      <name val="Arial Black"/>
    </font>
    <font>
      <b/>
      <sz val="16.0"/>
      <color theme="1"/>
      <name val="Arial"/>
    </font>
    <font>
      <u/>
      <sz val="12.0"/>
      <color theme="1"/>
      <name val="Arial"/>
    </font>
    <font>
      <b/>
      <u/>
      <sz val="16.0"/>
      <color theme="1"/>
      <name val="Arial"/>
    </font>
    <font>
      <sz val="20.0"/>
      <color theme="1"/>
      <name val="Arial"/>
    </font>
    <font>
      <sz val="16.0"/>
      <color theme="1"/>
      <name val="Arial"/>
    </font>
    <font>
      <u/>
      <sz val="16.0"/>
      <color theme="1"/>
      <name val="Arial"/>
    </font>
    <font>
      <sz val="18.0"/>
      <color theme="1"/>
      <name val="Arial"/>
    </font>
    <font>
      <sz val="22.0"/>
      <color theme="1"/>
      <name val="Arial"/>
    </font>
    <font>
      <b/>
      <sz val="16.0"/>
      <color theme="1"/>
      <name val="Biome"/>
    </font>
    <font>
      <b/>
      <u/>
      <sz val="16.0"/>
      <color theme="1"/>
      <name val="Biome"/>
    </font>
    <font>
      <sz val="16.0"/>
      <color theme="1"/>
      <name val="Biome"/>
    </font>
    <font>
      <u/>
      <sz val="16.0"/>
      <color theme="1"/>
      <name val="Biome"/>
    </font>
    <font>
      <sz val="11.0"/>
      <color theme="1"/>
      <name val="Calibri"/>
    </font>
    <font>
      <b/>
      <sz val="14.0"/>
      <color theme="1"/>
      <name val="Biome"/>
    </font>
    <font>
      <u/>
      <sz val="16.0"/>
      <color theme="1"/>
      <name val="Biome"/>
    </font>
    <font>
      <sz val="22.0"/>
      <color theme="1"/>
      <name val="Calibri"/>
    </font>
    <font>
      <b/>
      <sz val="48.0"/>
      <color theme="1"/>
      <name val="Aptos Black"/>
    </font>
    <font>
      <sz val="16.0"/>
      <color theme="1"/>
      <name val="Calibri"/>
    </font>
    <font>
      <b/>
      <sz val="48.0"/>
      <color theme="1"/>
      <name val="Arial"/>
    </font>
    <font>
      <b/>
      <sz val="20.0"/>
      <color theme="1"/>
      <name val="Arial Black"/>
    </font>
    <font>
      <u/>
      <sz val="12.0"/>
      <color theme="1"/>
      <name val="Arial"/>
    </font>
    <font>
      <b/>
      <u/>
      <sz val="14.0"/>
      <color theme="1"/>
      <name val="Biome"/>
    </font>
    <font>
      <b/>
      <u/>
      <sz val="14.0"/>
      <color theme="1"/>
      <name val="Biome"/>
    </font>
    <font>
      <u/>
      <sz val="16.0"/>
      <color theme="1"/>
      <name val="Biome"/>
    </font>
    <font>
      <u/>
      <sz val="16.0"/>
      <color theme="1"/>
      <name val="Biome"/>
    </font>
    <font>
      <u/>
      <sz val="16.0"/>
      <color theme="1"/>
      <name val="Biome"/>
    </font>
    <font>
      <b/>
      <sz val="18.0"/>
      <color theme="1"/>
      <name val="Arial"/>
    </font>
    <font>
      <b/>
      <u/>
      <sz val="14.0"/>
      <color theme="1"/>
      <name val="Arial"/>
    </font>
    <font>
      <b/>
      <u/>
      <sz val="14.0"/>
      <color theme="1"/>
      <name val="Arial"/>
    </font>
    <font>
      <u/>
      <sz val="16.0"/>
      <color theme="1"/>
      <name val="Biome"/>
    </font>
    <font>
      <sz val="22.0"/>
      <color theme="1"/>
      <name val="Biome"/>
    </font>
    <font>
      <sz val="24.0"/>
      <color theme="1"/>
      <name val="Arial"/>
    </font>
    <font>
      <b/>
      <sz val="16.0"/>
      <color rgb="FF000000"/>
      <name val="Biome"/>
    </font>
    <font>
      <b/>
      <sz val="11.0"/>
      <color theme="1"/>
      <name val="Biome"/>
    </font>
    <font>
      <b/>
      <u/>
      <sz val="14.0"/>
      <color theme="1"/>
      <name val="Biome"/>
    </font>
    <font>
      <b/>
      <sz val="12.0"/>
      <color theme="1"/>
      <name val="Biome"/>
    </font>
    <font>
      <b/>
      <sz val="17.0"/>
      <color theme="1"/>
      <name val="Arial"/>
    </font>
    <font>
      <sz val="17.0"/>
      <color theme="1"/>
      <name val="Arial"/>
    </font>
    <font>
      <sz val="12.0"/>
      <color theme="1"/>
      <name val="Biome"/>
    </font>
    <font>
      <u/>
      <sz val="12.0"/>
      <color theme="1"/>
      <name val="Biome"/>
    </font>
    <font>
      <u/>
      <sz val="12.0"/>
      <color theme="1"/>
      <name val="Biome"/>
    </font>
    <font>
      <u/>
      <sz val="12.0"/>
      <color theme="1"/>
      <name val="Biome"/>
    </font>
    <font>
      <b/>
      <sz val="12.0"/>
      <color theme="1"/>
      <name val="Arial Black"/>
    </font>
    <font>
      <sz val="26.0"/>
      <color theme="1"/>
      <name val="Arial Black"/>
    </font>
    <font>
      <sz val="28.0"/>
      <color theme="1"/>
      <name val="Arial"/>
    </font>
    <font>
      <b/>
      <sz val="11.0"/>
      <color theme="1"/>
      <name val="Arial"/>
    </font>
    <font>
      <u/>
      <sz val="16.0"/>
      <color theme="1"/>
      <name val="Biome"/>
    </font>
    <font>
      <sz val="16.0"/>
      <color rgb="FF000000"/>
      <name val="Arial"/>
    </font>
    <font>
      <u/>
      <sz val="16.0"/>
      <color theme="1"/>
      <name val="Arial"/>
    </font>
    <font>
      <u/>
      <sz val="16.0"/>
      <color theme="1"/>
      <name val="Arial"/>
    </font>
    <font>
      <u/>
      <sz val="11.0"/>
      <color theme="1"/>
      <name val="Arial"/>
    </font>
    <font>
      <u/>
      <sz val="12.0"/>
      <color theme="1"/>
      <name val="Arial"/>
    </font>
    <font>
      <b/>
      <u/>
      <sz val="16.0"/>
      <color theme="1"/>
      <name val="Biome"/>
    </font>
    <font>
      <b/>
      <u/>
      <sz val="16.0"/>
      <color theme="1"/>
      <name val="Biome"/>
    </font>
    <font>
      <b/>
      <u/>
      <sz val="16.0"/>
      <color theme="1"/>
      <name val="Biome"/>
    </font>
    <font>
      <u/>
      <sz val="16.0"/>
      <color theme="1"/>
      <name val="Biome"/>
    </font>
    <font>
      <b/>
      <sz val="16.0"/>
      <color theme="1"/>
      <name val="Arial Black"/>
    </font>
    <font>
      <b/>
      <u/>
      <sz val="16.0"/>
      <color theme="1"/>
      <name val="Biome"/>
    </font>
    <font>
      <u/>
      <sz val="16.0"/>
      <color theme="1"/>
      <name val="Biome"/>
    </font>
    <font>
      <sz val="14.0"/>
      <color theme="1"/>
      <name val="Arial Black"/>
    </font>
    <font>
      <u/>
      <sz val="11.0"/>
      <color theme="1"/>
      <name val="Calibri"/>
    </font>
  </fonts>
  <fills count="13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99CC"/>
        <bgColor rgb="FFFF99CC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FFE598"/>
        <bgColor rgb="FFFFE598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rgb="FFD9EAD3"/>
        <bgColor rgb="FFD9EAD3"/>
      </patternFill>
    </fill>
  </fills>
  <borders count="74">
    <border/>
    <border>
      <left/>
      <right/>
      <top/>
      <bottom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top/>
      <bottom/>
    </border>
    <border>
      <left/>
      <right/>
      <top/>
      <bottom style="thin">
        <color rgb="FF000000"/>
      </bottom>
    </border>
    <border>
      <left/>
      <right/>
      <bottom/>
    </border>
    <border>
      <left/>
      <right style="thin">
        <color rgb="FF000000"/>
      </right>
      <top style="thin">
        <color rgb="FF000000"/>
      </top>
    </border>
    <border>
      <left/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</border>
    <border>
      <left/>
      <right/>
    </border>
    <border>
      <left/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3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1" fillId="2" fontId="4" numFmtId="164" xfId="0" applyAlignment="1" applyBorder="1" applyFont="1" applyNumberFormat="1">
      <alignment horizontal="center" shrinkToFit="0" vertical="top" wrapText="1"/>
    </xf>
    <xf borderId="0" fillId="0" fontId="5" numFmtId="0" xfId="0" applyFont="1"/>
    <xf borderId="1" fillId="2" fontId="6" numFmtId="0" xfId="0" applyAlignment="1" applyBorder="1" applyFont="1">
      <alignment horizontal="center" vertical="center"/>
    </xf>
    <xf borderId="5" fillId="2" fontId="7" numFmtId="0" xfId="0" applyAlignment="1" applyBorder="1" applyFon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1" fillId="2" fontId="6" numFmtId="164" xfId="0" applyAlignment="1" applyBorder="1" applyFont="1" applyNumberFormat="1">
      <alignment horizontal="center" shrinkToFit="0" vertical="top" wrapText="1"/>
    </xf>
    <xf borderId="0" fillId="0" fontId="8" numFmtId="0" xfId="0" applyFont="1"/>
    <xf borderId="8" fillId="3" fontId="6" numFmtId="0" xfId="0" applyAlignment="1" applyBorder="1" applyFill="1" applyFont="1">
      <alignment horizontal="center" vertical="center"/>
    </xf>
    <xf borderId="9" fillId="0" fontId="3" numFmtId="0" xfId="0" applyBorder="1" applyFont="1"/>
    <xf borderId="10" fillId="0" fontId="3" numFmtId="0" xfId="0" applyBorder="1" applyFont="1"/>
    <xf borderId="8" fillId="4" fontId="6" numFmtId="0" xfId="0" applyAlignment="1" applyBorder="1" applyFill="1" applyFont="1">
      <alignment horizontal="center" shrinkToFit="0" vertical="center" wrapText="1"/>
    </xf>
    <xf borderId="11" fillId="2" fontId="6" numFmtId="0" xfId="0" applyAlignment="1" applyBorder="1" applyFont="1">
      <alignment horizontal="center" vertical="center"/>
    </xf>
    <xf borderId="12" fillId="3" fontId="1" numFmtId="0" xfId="0" applyAlignment="1" applyBorder="1" applyFont="1">
      <alignment horizontal="center" vertical="center"/>
    </xf>
    <xf borderId="13" fillId="3" fontId="1" numFmtId="0" xfId="0" applyAlignment="1" applyBorder="1" applyFont="1">
      <alignment horizontal="center" vertical="center"/>
    </xf>
    <xf borderId="13" fillId="4" fontId="1" numFmtId="0" xfId="0" applyAlignment="1" applyBorder="1" applyFont="1">
      <alignment horizontal="center" vertical="center"/>
    </xf>
    <xf borderId="14" fillId="4" fontId="1" numFmtId="0" xfId="0" applyAlignment="1" applyBorder="1" applyFont="1">
      <alignment horizontal="center" vertical="center"/>
    </xf>
    <xf borderId="1" fillId="2" fontId="6" numFmtId="164" xfId="0" applyAlignment="1" applyBorder="1" applyFont="1" applyNumberFormat="1">
      <alignment horizontal="center" readingOrder="0" shrinkToFit="0" vertical="top" wrapText="1"/>
    </xf>
    <xf borderId="15" fillId="2" fontId="1" numFmtId="0" xfId="0" applyAlignment="1" applyBorder="1" applyFont="1">
      <alignment horizontal="center" vertical="center"/>
    </xf>
    <xf borderId="16" fillId="5" fontId="6" numFmtId="0" xfId="0" applyAlignment="1" applyBorder="1" applyFill="1" applyFont="1">
      <alignment horizontal="center" vertical="center"/>
    </xf>
    <xf borderId="16" fillId="5" fontId="9" numFmtId="0" xfId="0" applyAlignment="1" applyBorder="1" applyFont="1">
      <alignment horizontal="center" vertical="center"/>
    </xf>
    <xf borderId="17" fillId="2" fontId="6" numFmtId="164" xfId="0" applyAlignment="1" applyBorder="1" applyFont="1" applyNumberFormat="1">
      <alignment horizontal="center" shrinkToFit="0" vertical="top" wrapText="1"/>
    </xf>
    <xf borderId="16" fillId="5" fontId="6" numFmtId="0" xfId="0" applyAlignment="1" applyBorder="1" applyFont="1">
      <alignment horizontal="center" readingOrder="0" vertical="center"/>
    </xf>
    <xf borderId="16" fillId="2" fontId="6" numFmtId="0" xfId="0" applyAlignment="1" applyBorder="1" applyFont="1">
      <alignment horizontal="center" vertical="center"/>
    </xf>
    <xf borderId="16" fillId="5" fontId="10" numFmtId="0" xfId="0" applyAlignment="1" applyBorder="1" applyFont="1">
      <alignment horizontal="center" vertical="center"/>
    </xf>
    <xf borderId="18" fillId="6" fontId="6" numFmtId="0" xfId="0" applyAlignment="1" applyBorder="1" applyFill="1" applyFont="1">
      <alignment horizontal="center" vertical="center"/>
    </xf>
    <xf borderId="19" fillId="6" fontId="6" numFmtId="0" xfId="0" applyAlignment="1" applyBorder="1" applyFont="1">
      <alignment horizontal="center" vertical="center"/>
    </xf>
    <xf borderId="16" fillId="6" fontId="6" numFmtId="0" xfId="0" applyAlignment="1" applyBorder="1" applyFont="1">
      <alignment horizontal="center" vertical="center"/>
    </xf>
    <xf borderId="18" fillId="5" fontId="6" numFmtId="0" xfId="0" applyAlignment="1" applyBorder="1" applyFont="1">
      <alignment horizontal="center" vertical="center"/>
    </xf>
    <xf borderId="18" fillId="6" fontId="6" numFmtId="0" xfId="0" applyAlignment="1" applyBorder="1" applyFont="1">
      <alignment horizontal="center" readingOrder="0" vertical="center"/>
    </xf>
    <xf borderId="16" fillId="2" fontId="11" numFmtId="0" xfId="0" applyAlignment="1" applyBorder="1" applyFont="1">
      <alignment horizontal="center" vertical="center"/>
    </xf>
    <xf borderId="20" fillId="7" fontId="1" numFmtId="0" xfId="0" applyAlignment="1" applyBorder="1" applyFill="1" applyFont="1">
      <alignment horizontal="center" vertical="center"/>
    </xf>
    <xf borderId="20" fillId="6" fontId="6" numFmtId="0" xfId="0" applyAlignment="1" applyBorder="1" applyFont="1">
      <alignment horizontal="center" vertical="center"/>
    </xf>
    <xf borderId="21" fillId="6" fontId="6" numFmtId="0" xfId="0" applyAlignment="1" applyBorder="1" applyFont="1">
      <alignment horizontal="center" vertical="center"/>
    </xf>
    <xf borderId="16" fillId="2" fontId="6" numFmtId="0" xfId="0" applyAlignment="1" applyBorder="1" applyFont="1">
      <alignment horizontal="center" readingOrder="0" vertical="center"/>
    </xf>
    <xf borderId="20" fillId="5" fontId="6" numFmtId="0" xfId="0" applyAlignment="1" applyBorder="1" applyFont="1">
      <alignment horizontal="center" vertical="center"/>
    </xf>
    <xf borderId="22" fillId="2" fontId="6" numFmtId="0" xfId="0" applyAlignment="1" applyBorder="1" applyFont="1">
      <alignment horizontal="center" vertical="center"/>
    </xf>
    <xf borderId="23" fillId="5" fontId="6" numFmtId="164" xfId="0" applyAlignment="1" applyBorder="1" applyFont="1" applyNumberFormat="1">
      <alignment horizontal="center" shrinkToFit="0" vertical="top" wrapText="1"/>
    </xf>
    <xf borderId="0" fillId="0" fontId="12" numFmtId="0" xfId="0" applyFont="1"/>
    <xf borderId="5" fillId="2" fontId="13" numFmtId="0" xfId="0" applyAlignment="1" applyBorder="1" applyFont="1">
      <alignment horizontal="center" vertical="center"/>
    </xf>
    <xf borderId="24" fillId="3" fontId="1" numFmtId="0" xfId="0" applyAlignment="1" applyBorder="1" applyFont="1">
      <alignment horizontal="center" vertical="center"/>
    </xf>
    <xf borderId="12" fillId="4" fontId="1" numFmtId="0" xfId="0" applyAlignment="1" applyBorder="1" applyFont="1">
      <alignment horizontal="center" vertical="center"/>
    </xf>
    <xf borderId="18" fillId="2" fontId="6" numFmtId="0" xfId="0" applyAlignment="1" applyBorder="1" applyFont="1">
      <alignment horizontal="center" vertical="center"/>
    </xf>
    <xf borderId="15" fillId="2" fontId="6" numFmtId="164" xfId="0" applyAlignment="1" applyBorder="1" applyFont="1" applyNumberFormat="1">
      <alignment horizontal="center" shrinkToFit="0" vertical="top" wrapText="1"/>
    </xf>
    <xf borderId="15" fillId="0" fontId="6" numFmtId="164" xfId="0" applyAlignment="1" applyBorder="1" applyFont="1" applyNumberFormat="1">
      <alignment horizontal="center" shrinkToFit="0" vertical="top" wrapText="1"/>
    </xf>
    <xf borderId="18" fillId="2" fontId="14" numFmtId="0" xfId="0" applyAlignment="1" applyBorder="1" applyFont="1">
      <alignment horizontal="center" vertical="center"/>
    </xf>
    <xf borderId="25" fillId="2" fontId="15" numFmtId="0" xfId="0" applyAlignment="1" applyBorder="1" applyFont="1">
      <alignment horizontal="center" shrinkToFit="0" vertical="center" wrapText="1"/>
    </xf>
    <xf borderId="26" fillId="0" fontId="3" numFmtId="0" xfId="0" applyBorder="1" applyFont="1"/>
    <xf borderId="27" fillId="0" fontId="3" numFmtId="0" xfId="0" applyBorder="1" applyFont="1"/>
    <xf borderId="28" fillId="8" fontId="6" numFmtId="0" xfId="0" applyAlignment="1" applyBorder="1" applyFill="1" applyFont="1">
      <alignment horizontal="center" shrinkToFit="0" vertical="center" wrapText="1"/>
    </xf>
    <xf borderId="29" fillId="0" fontId="3" numFmtId="0" xfId="0" applyBorder="1" applyFont="1"/>
    <xf borderId="1" fillId="2" fontId="6" numFmtId="164" xfId="0" applyAlignment="1" applyBorder="1" applyFont="1" applyNumberFormat="1">
      <alignment horizontal="center" shrinkToFit="0" vertical="center" wrapText="1"/>
    </xf>
    <xf borderId="1" fillId="2" fontId="6" numFmtId="0" xfId="0" applyAlignment="1" applyBorder="1" applyFont="1">
      <alignment horizontal="center" vertical="top"/>
    </xf>
    <xf borderId="13" fillId="8" fontId="1" numFmtId="0" xfId="0" applyAlignment="1" applyBorder="1" applyFont="1">
      <alignment horizontal="center" vertical="center"/>
    </xf>
    <xf borderId="14" fillId="8" fontId="1" numFmtId="0" xfId="0" applyAlignment="1" applyBorder="1" applyFont="1">
      <alignment horizontal="center" vertical="center"/>
    </xf>
    <xf borderId="15" fillId="2" fontId="6" numFmtId="164" xfId="0" applyAlignment="1" applyBorder="1" applyFont="1" applyNumberFormat="1">
      <alignment shrinkToFit="0" vertical="center" wrapText="1"/>
    </xf>
    <xf borderId="20" fillId="2" fontId="6" numFmtId="164" xfId="0" applyAlignment="1" applyBorder="1" applyFont="1" applyNumberFormat="1">
      <alignment shrinkToFit="0" vertical="center" wrapText="1"/>
    </xf>
    <xf borderId="25" fillId="5" fontId="6" numFmtId="164" xfId="0" applyAlignment="1" applyBorder="1" applyFont="1" applyNumberFormat="1">
      <alignment horizontal="center" shrinkToFit="0" vertical="center" wrapText="1"/>
    </xf>
    <xf borderId="1" fillId="2" fontId="16" numFmtId="0" xfId="0" applyAlignment="1" applyBorder="1" applyFont="1">
      <alignment horizontal="center" vertical="center"/>
    </xf>
    <xf borderId="0" fillId="0" fontId="8" numFmtId="0" xfId="0" applyAlignment="1" applyFont="1">
      <alignment horizontal="center" vertical="top"/>
    </xf>
    <xf borderId="0" fillId="0" fontId="17" numFmtId="0" xfId="0" applyAlignment="1" applyFont="1">
      <alignment horizontal="center" readingOrder="0" vertical="center"/>
    </xf>
    <xf borderId="0" fillId="0" fontId="18" numFmtId="0" xfId="0" applyFont="1"/>
    <xf borderId="30" fillId="0" fontId="19" numFmtId="0" xfId="0" applyAlignment="1" applyBorder="1" applyFont="1">
      <alignment horizontal="center"/>
    </xf>
    <xf borderId="31" fillId="0" fontId="3" numFmtId="0" xfId="0" applyBorder="1" applyFont="1"/>
    <xf borderId="32" fillId="0" fontId="3" numFmtId="0" xfId="0" applyBorder="1" applyFont="1"/>
    <xf borderId="25" fillId="7" fontId="20" numFmtId="0" xfId="0" applyAlignment="1" applyBorder="1" applyFont="1">
      <alignment horizontal="center" vertical="center"/>
    </xf>
    <xf borderId="15" fillId="2" fontId="6" numFmtId="0" xfId="0" applyAlignment="1" applyBorder="1" applyFont="1">
      <alignment horizontal="center" vertical="center"/>
    </xf>
    <xf borderId="25" fillId="2" fontId="20" numFmtId="0" xfId="0" applyAlignment="1" applyBorder="1" applyFont="1">
      <alignment horizontal="center" vertical="center"/>
    </xf>
    <xf borderId="15" fillId="2" fontId="21" numFmtId="0" xfId="0" applyAlignment="1" applyBorder="1" applyFont="1">
      <alignment horizontal="center" vertical="center"/>
    </xf>
    <xf borderId="15" fillId="3" fontId="22" numFmtId="0" xfId="0" applyAlignment="1" applyBorder="1" applyFont="1">
      <alignment horizontal="center" vertical="center"/>
    </xf>
    <xf borderId="15" fillId="9" fontId="20" numFmtId="0" xfId="0" applyAlignment="1" applyBorder="1" applyFill="1" applyFont="1">
      <alignment horizontal="center" vertical="center"/>
    </xf>
    <xf borderId="15" fillId="0" fontId="23" numFmtId="0" xfId="0" applyAlignment="1" applyBorder="1" applyFont="1">
      <alignment horizontal="center" vertical="center"/>
    </xf>
    <xf borderId="15" fillId="2" fontId="24" numFmtId="0" xfId="0" applyAlignment="1" applyBorder="1" applyFont="1">
      <alignment horizontal="center" vertical="center"/>
    </xf>
    <xf borderId="15" fillId="2" fontId="25" numFmtId="0" xfId="0" applyAlignment="1" applyBorder="1" applyFont="1">
      <alignment horizontal="center" vertical="center"/>
    </xf>
    <xf borderId="33" fillId="0" fontId="23" numFmtId="0" xfId="0" applyAlignment="1" applyBorder="1" applyFont="1">
      <alignment horizontal="center" vertical="center"/>
    </xf>
    <xf borderId="0" fillId="0" fontId="18" numFmtId="0" xfId="0" applyAlignment="1" applyFont="1">
      <alignment readingOrder="0"/>
    </xf>
    <xf borderId="15" fillId="3" fontId="20" numFmtId="0" xfId="0" applyAlignment="1" applyBorder="1" applyFont="1">
      <alignment horizontal="center" vertical="center"/>
    </xf>
    <xf borderId="15" fillId="2" fontId="23" numFmtId="0" xfId="0" applyAlignment="1" applyBorder="1" applyFont="1">
      <alignment horizontal="center" vertical="center"/>
    </xf>
    <xf borderId="15" fillId="0" fontId="26" numFmtId="0" xfId="0" applyAlignment="1" applyBorder="1" applyFont="1">
      <alignment horizontal="center" vertical="center"/>
    </xf>
    <xf borderId="18" fillId="2" fontId="24" numFmtId="0" xfId="0" applyAlignment="1" applyBorder="1" applyFont="1">
      <alignment horizontal="center" vertical="center"/>
    </xf>
    <xf borderId="19" fillId="2" fontId="24" numFmtId="0" xfId="0" applyAlignment="1" applyBorder="1" applyFont="1">
      <alignment horizontal="center" vertical="center"/>
    </xf>
    <xf borderId="18" fillId="2" fontId="26" numFmtId="0" xfId="0" applyAlignment="1" applyBorder="1" applyFont="1">
      <alignment horizontal="center" vertical="center"/>
    </xf>
    <xf borderId="11" fillId="2" fontId="24" numFmtId="0" xfId="0" applyAlignment="1" applyBorder="1" applyFont="1">
      <alignment horizontal="center" vertical="center"/>
    </xf>
    <xf borderId="15" fillId="2" fontId="26" numFmtId="0" xfId="0" applyAlignment="1" applyBorder="1" applyFont="1">
      <alignment horizontal="center" vertical="center"/>
    </xf>
    <xf borderId="34" fillId="0" fontId="26" numFmtId="0" xfId="0" applyAlignment="1" applyBorder="1" applyFont="1">
      <alignment horizontal="center" vertical="center"/>
    </xf>
    <xf borderId="23" fillId="0" fontId="23" numFmtId="0" xfId="0" applyAlignment="1" applyBorder="1" applyFont="1">
      <alignment horizontal="center" vertical="center"/>
    </xf>
    <xf borderId="25" fillId="0" fontId="18" numFmtId="0" xfId="0" applyAlignment="1" applyBorder="1" applyFont="1">
      <alignment horizontal="center"/>
    </xf>
    <xf borderId="33" fillId="0" fontId="27" numFmtId="0" xfId="0" applyAlignment="1" applyBorder="1" applyFont="1">
      <alignment horizontal="center" vertical="center"/>
    </xf>
    <xf borderId="35" fillId="0" fontId="3" numFmtId="0" xfId="0" applyBorder="1" applyFont="1"/>
    <xf borderId="15" fillId="0" fontId="18" numFmtId="0" xfId="0" applyBorder="1" applyFont="1"/>
    <xf borderId="15" fillId="2" fontId="20" numFmtId="0" xfId="0" applyAlignment="1" applyBorder="1" applyFont="1">
      <alignment horizontal="center" vertical="center"/>
    </xf>
    <xf borderId="11" fillId="2" fontId="20" numFmtId="0" xfId="0" applyAlignment="1" applyBorder="1" applyFont="1">
      <alignment horizontal="center" vertical="center"/>
    </xf>
    <xf borderId="15" fillId="0" fontId="18" numFmtId="0" xfId="0" applyAlignment="1" applyBorder="1" applyFont="1">
      <alignment horizontal="center" vertical="center"/>
    </xf>
    <xf borderId="15" fillId="2" fontId="24" numFmtId="0" xfId="0" applyAlignment="1" applyBorder="1" applyFont="1">
      <alignment horizontal="center" shrinkToFit="0" vertical="center" wrapText="1"/>
    </xf>
    <xf borderId="11" fillId="2" fontId="24" numFmtId="0" xfId="0" applyAlignment="1" applyBorder="1" applyFont="1">
      <alignment horizontal="center" shrinkToFit="0" vertical="center" wrapText="1"/>
    </xf>
    <xf borderId="15" fillId="0" fontId="23" numFmtId="0" xfId="0" applyAlignment="1" applyBorder="1" applyFont="1">
      <alignment horizontal="center" shrinkToFit="0" vertical="center" wrapText="1"/>
    </xf>
    <xf borderId="15" fillId="0" fontId="27" numFmtId="0" xfId="0" applyAlignment="1" applyBorder="1" applyFont="1">
      <alignment horizontal="center" vertical="center"/>
    </xf>
    <xf borderId="8" fillId="0" fontId="19" numFmtId="0" xfId="0" applyAlignment="1" applyBorder="1" applyFont="1">
      <alignment horizontal="center"/>
    </xf>
    <xf borderId="36" fillId="7" fontId="28" numFmtId="0" xfId="0" applyAlignment="1" applyBorder="1" applyFont="1">
      <alignment horizontal="center" vertical="center"/>
    </xf>
    <xf borderId="37" fillId="0" fontId="3" numFmtId="0" xfId="0" applyBorder="1" applyFont="1"/>
    <xf borderId="38" fillId="0" fontId="3" numFmtId="0" xfId="0" applyBorder="1" applyFont="1"/>
    <xf borderId="25" fillId="2" fontId="28" numFmtId="0" xfId="0" applyAlignment="1" applyBorder="1" applyFont="1">
      <alignment horizontal="center" vertical="center"/>
    </xf>
    <xf borderId="15" fillId="3" fontId="29" numFmtId="0" xfId="0" applyAlignment="1" applyBorder="1" applyFont="1">
      <alignment horizontal="center" vertical="center"/>
    </xf>
    <xf borderId="15" fillId="9" fontId="28" numFmtId="0" xfId="0" applyAlignment="1" applyBorder="1" applyFont="1">
      <alignment horizontal="center" vertical="center"/>
    </xf>
    <xf borderId="15" fillId="0" fontId="28" numFmtId="0" xfId="0" applyAlignment="1" applyBorder="1" applyFont="1">
      <alignment horizontal="center"/>
    </xf>
    <xf borderId="15" fillId="2" fontId="30" numFmtId="0" xfId="0" applyAlignment="1" applyBorder="1" applyFont="1">
      <alignment horizontal="center" vertical="center"/>
    </xf>
    <xf borderId="15" fillId="2" fontId="31" numFmtId="0" xfId="0" applyAlignment="1" applyBorder="1" applyFont="1">
      <alignment horizontal="center" vertical="center"/>
    </xf>
    <xf borderId="1" fillId="2" fontId="32" numFmtId="0" xfId="0" applyBorder="1" applyFont="1"/>
    <xf borderId="1" fillId="2" fontId="18" numFmtId="0" xfId="0" applyBorder="1" applyFont="1"/>
    <xf borderId="18" fillId="2" fontId="27" numFmtId="0" xfId="0" applyAlignment="1" applyBorder="1" applyFont="1">
      <alignment horizontal="center" vertical="center"/>
    </xf>
    <xf borderId="25" fillId="7" fontId="28" numFmtId="0" xfId="0" applyAlignment="1" applyBorder="1" applyFont="1">
      <alignment horizontal="center" vertical="center"/>
    </xf>
    <xf borderId="15" fillId="3" fontId="28" numFmtId="0" xfId="0" applyAlignment="1" applyBorder="1" applyFont="1">
      <alignment horizontal="center" vertical="center"/>
    </xf>
    <xf borderId="23" fillId="2" fontId="27" numFmtId="0" xfId="0" applyAlignment="1" applyBorder="1" applyFont="1">
      <alignment horizontal="center" vertical="center"/>
    </xf>
    <xf borderId="1" fillId="2" fontId="27" numFmtId="0" xfId="0" applyAlignment="1" applyBorder="1" applyFont="1">
      <alignment horizontal="center" vertical="center"/>
    </xf>
    <xf borderId="1" fillId="2" fontId="30" numFmtId="0" xfId="0" applyAlignment="1" applyBorder="1" applyFont="1">
      <alignment horizontal="center" vertical="center"/>
    </xf>
    <xf borderId="39" fillId="2" fontId="30" numFmtId="0" xfId="0" applyAlignment="1" applyBorder="1" applyFont="1">
      <alignment horizontal="center" vertical="center"/>
    </xf>
    <xf borderId="39" fillId="2" fontId="27" numFmtId="0" xfId="0" applyAlignment="1" applyBorder="1" applyFont="1">
      <alignment horizontal="center" vertical="center"/>
    </xf>
    <xf borderId="15" fillId="0" fontId="32" numFmtId="0" xfId="0" applyBorder="1" applyFont="1"/>
    <xf borderId="15" fillId="2" fontId="28" numFmtId="0" xfId="0" applyAlignment="1" applyBorder="1" applyFont="1">
      <alignment horizontal="center" vertical="center"/>
    </xf>
    <xf borderId="15" fillId="0" fontId="33" numFmtId="0" xfId="0" applyAlignment="1" applyBorder="1" applyFont="1">
      <alignment horizontal="center"/>
    </xf>
    <xf borderId="0" fillId="0" fontId="32" numFmtId="0" xfId="0" applyAlignment="1" applyFont="1">
      <alignment readingOrder="0"/>
    </xf>
    <xf borderId="34" fillId="0" fontId="28" numFmtId="0" xfId="0" applyAlignment="1" applyBorder="1" applyFont="1">
      <alignment horizontal="center"/>
    </xf>
    <xf borderId="40" fillId="0" fontId="3" numFmtId="0" xfId="0" applyBorder="1" applyFont="1"/>
    <xf borderId="15" fillId="6" fontId="6" numFmtId="0" xfId="0" applyAlignment="1" applyBorder="1" applyFont="1">
      <alignment horizontal="center" vertical="center"/>
    </xf>
    <xf borderId="15" fillId="6" fontId="30" numFmtId="0" xfId="0" applyAlignment="1" applyBorder="1" applyFont="1">
      <alignment horizontal="center" vertical="center"/>
    </xf>
    <xf borderId="15" fillId="6" fontId="34" numFmtId="0" xfId="0" applyAlignment="1" applyBorder="1" applyFont="1">
      <alignment horizontal="center" vertical="center"/>
    </xf>
    <xf borderId="15" fillId="6" fontId="24" numFmtId="0" xfId="0" applyAlignment="1" applyBorder="1" applyFont="1">
      <alignment horizontal="center" readingOrder="0" vertical="center"/>
    </xf>
    <xf borderId="39" fillId="2" fontId="35" numFmtId="0" xfId="0" applyAlignment="1" applyBorder="1" applyFont="1">
      <alignment horizontal="center" vertical="center"/>
    </xf>
    <xf borderId="25" fillId="0" fontId="28" numFmtId="0" xfId="0" applyAlignment="1" applyBorder="1" applyFont="1">
      <alignment horizontal="center"/>
    </xf>
    <xf borderId="30" fillId="0" fontId="36" numFmtId="0" xfId="0" applyAlignment="1" applyBorder="1" applyFont="1">
      <alignment horizontal="center" vertical="center"/>
    </xf>
    <xf borderId="41" fillId="0" fontId="3" numFmtId="0" xfId="0" applyBorder="1" applyFont="1"/>
    <xf borderId="42" fillId="0" fontId="3" numFmtId="0" xfId="0" applyBorder="1" applyFont="1"/>
    <xf borderId="43" fillId="0" fontId="3" numFmtId="0" xfId="0" applyBorder="1" applyFont="1"/>
    <xf borderId="44" fillId="0" fontId="3" numFmtId="0" xfId="0" applyBorder="1" applyFont="1"/>
    <xf borderId="45" fillId="0" fontId="3" numFmtId="0" xfId="0" applyBorder="1" applyFont="1"/>
    <xf borderId="46" fillId="10" fontId="28" numFmtId="0" xfId="0" applyAlignment="1" applyBorder="1" applyFill="1" applyFont="1">
      <alignment horizontal="center" vertical="center"/>
    </xf>
    <xf borderId="47" fillId="0" fontId="3" numFmtId="0" xfId="0" applyBorder="1" applyFont="1"/>
    <xf borderId="48" fillId="0" fontId="3" numFmtId="0" xfId="0" applyBorder="1" applyFont="1"/>
    <xf borderId="15" fillId="0" fontId="30" numFmtId="0" xfId="0" applyBorder="1" applyFont="1"/>
    <xf borderId="25" fillId="0" fontId="37" numFmtId="0" xfId="0" applyAlignment="1" applyBorder="1" applyFont="1">
      <alignment horizontal="center"/>
    </xf>
    <xf borderId="15" fillId="0" fontId="30" numFmtId="0" xfId="0" applyAlignment="1" applyBorder="1" applyFont="1">
      <alignment horizontal="center"/>
    </xf>
    <xf borderId="0" fillId="0" fontId="37" numFmtId="0" xfId="0" applyAlignment="1" applyFont="1">
      <alignment horizontal="center"/>
    </xf>
    <xf borderId="25" fillId="0" fontId="37" numFmtId="0" xfId="0" applyAlignment="1" applyBorder="1" applyFont="1">
      <alignment horizontal="center" readingOrder="0"/>
    </xf>
    <xf borderId="15" fillId="2" fontId="6" numFmtId="0" xfId="0" applyAlignment="1" applyBorder="1" applyFont="1">
      <alignment horizontal="center" shrinkToFit="0" vertical="center" wrapText="1"/>
    </xf>
    <xf borderId="18" fillId="5" fontId="30" numFmtId="0" xfId="0" applyAlignment="1" applyBorder="1" applyFont="1">
      <alignment horizontal="center"/>
    </xf>
    <xf borderId="25" fillId="10" fontId="28" numFmtId="0" xfId="0" applyAlignment="1" applyBorder="1" applyFont="1">
      <alignment horizontal="center" vertical="center"/>
    </xf>
    <xf borderId="15" fillId="0" fontId="30" numFmtId="0" xfId="0" applyAlignment="1" applyBorder="1" applyFont="1">
      <alignment horizontal="center" vertical="center"/>
    </xf>
    <xf borderId="30" fillId="0" fontId="38" numFmtId="0" xfId="0" applyAlignment="1" applyBorder="1" applyFont="1">
      <alignment horizontal="center" readingOrder="0" vertical="center"/>
    </xf>
    <xf borderId="49" fillId="2" fontId="39" numFmtId="0" xfId="0" applyAlignment="1" applyBorder="1" applyFont="1">
      <alignment horizontal="center" shrinkToFit="0" vertical="center" wrapText="1"/>
    </xf>
    <xf borderId="50" fillId="0" fontId="3" numFmtId="0" xfId="0" applyBorder="1" applyFont="1"/>
    <xf borderId="1" fillId="2" fontId="28" numFmtId="0" xfId="0" applyAlignment="1" applyBorder="1" applyFont="1">
      <alignment horizontal="center" shrinkToFit="0" vertical="center" wrapText="1"/>
    </xf>
    <xf borderId="51" fillId="9" fontId="20" numFmtId="0" xfId="0" applyAlignment="1" applyBorder="1" applyFont="1">
      <alignment horizontal="center" shrinkToFit="0" vertical="center" wrapText="1"/>
    </xf>
    <xf borderId="52" fillId="0" fontId="3" numFmtId="0" xfId="0" applyBorder="1" applyFont="1"/>
    <xf borderId="53" fillId="0" fontId="3" numFmtId="0" xfId="0" applyBorder="1" applyFont="1"/>
    <xf borderId="54" fillId="2" fontId="6" numFmtId="0" xfId="0" applyAlignment="1" applyBorder="1" applyFont="1">
      <alignment horizontal="center" shrinkToFit="0" vertical="center" wrapText="1"/>
    </xf>
    <xf borderId="25" fillId="2" fontId="28" numFmtId="0" xfId="0" applyAlignment="1" applyBorder="1" applyFont="1">
      <alignment horizontal="center" shrinkToFit="0" vertical="center" wrapText="1"/>
    </xf>
    <xf borderId="54" fillId="2" fontId="40" numFmtId="0" xfId="0" applyAlignment="1" applyBorder="1" applyFont="1">
      <alignment horizontal="center" shrinkToFit="0" vertical="center" wrapText="1"/>
    </xf>
    <xf borderId="15" fillId="3" fontId="41" numFmtId="0" xfId="0" applyAlignment="1" applyBorder="1" applyFont="1">
      <alignment horizontal="center" shrinkToFit="0" vertical="center" wrapText="1"/>
    </xf>
    <xf borderId="15" fillId="9" fontId="42" numFmtId="0" xfId="0" applyAlignment="1" applyBorder="1" applyFont="1">
      <alignment horizontal="center" shrinkToFit="0" vertical="center" wrapText="1"/>
    </xf>
    <xf borderId="11" fillId="2" fontId="6" numFmtId="0" xfId="0" applyAlignment="1" applyBorder="1" applyFont="1">
      <alignment horizontal="center" shrinkToFit="0" vertical="center" wrapText="1"/>
    </xf>
    <xf borderId="15" fillId="11" fontId="30" numFmtId="0" xfId="0" applyAlignment="1" applyBorder="1" applyFill="1" applyFont="1">
      <alignment horizontal="center" shrinkToFit="0" vertical="center" wrapText="1"/>
    </xf>
    <xf borderId="15" fillId="2" fontId="30" numFmtId="0" xfId="0" applyAlignment="1" applyBorder="1" applyFont="1">
      <alignment horizontal="center" shrinkToFit="0" vertical="center" wrapText="1"/>
    </xf>
    <xf borderId="15" fillId="2" fontId="43" numFmtId="0" xfId="0" applyAlignment="1" applyBorder="1" applyFont="1">
      <alignment horizontal="center" shrinkToFit="0" vertical="center" wrapText="1"/>
    </xf>
    <xf borderId="15" fillId="12" fontId="30" numFmtId="0" xfId="0" applyAlignment="1" applyBorder="1" applyFill="1" applyFont="1">
      <alignment horizontal="center" shrinkToFit="0" vertical="center" wrapText="1"/>
    </xf>
    <xf borderId="15" fillId="11" fontId="24" numFmtId="0" xfId="0" applyAlignment="1" applyBorder="1" applyFont="1">
      <alignment horizontal="center" readingOrder="0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1" fillId="2" fontId="30" numFmtId="0" xfId="0" applyAlignment="1" applyBorder="1" applyFont="1">
      <alignment horizontal="center" shrinkToFit="0" vertical="center" wrapText="1"/>
    </xf>
    <xf borderId="23" fillId="0" fontId="27" numFmtId="0" xfId="0" applyAlignment="1" applyBorder="1" applyFont="1">
      <alignment horizontal="center" vertical="center"/>
    </xf>
    <xf borderId="0" fillId="0" fontId="30" numFmtId="0" xfId="0" applyAlignment="1" applyFont="1">
      <alignment shrinkToFit="0" wrapText="1"/>
    </xf>
    <xf borderId="25" fillId="9" fontId="28" numFmtId="0" xfId="0" applyAlignment="1" applyBorder="1" applyFont="1">
      <alignment horizontal="center" shrinkToFit="0" vertical="center" wrapText="1"/>
    </xf>
    <xf borderId="15" fillId="0" fontId="28" numFmtId="0" xfId="0" applyAlignment="1" applyBorder="1" applyFont="1">
      <alignment horizontal="center" shrinkToFit="0" vertical="center" wrapText="1"/>
    </xf>
    <xf borderId="15" fillId="0" fontId="30" numFmtId="0" xfId="0" applyAlignment="1" applyBorder="1" applyFont="1">
      <alignment horizontal="center" shrinkToFit="0" vertical="center" wrapText="1"/>
    </xf>
    <xf borderId="40" fillId="0" fontId="30" numFmtId="0" xfId="0" applyAlignment="1" applyBorder="1" applyFont="1">
      <alignment horizontal="center" shrinkToFit="0" vertical="center" wrapText="1"/>
    </xf>
    <xf borderId="0" fillId="0" fontId="30" numFmtId="0" xfId="0" applyAlignment="1" applyFont="1">
      <alignment horizontal="center" shrinkToFit="0" vertical="center" wrapText="1"/>
    </xf>
    <xf borderId="51" fillId="9" fontId="28" numFmtId="0" xfId="0" applyAlignment="1" applyBorder="1" applyFont="1">
      <alignment horizontal="center" shrinkToFit="0" vertical="center" wrapText="1"/>
    </xf>
    <xf borderId="15" fillId="2" fontId="24" numFmtId="0" xfId="0" applyAlignment="1" applyBorder="1" applyFont="1">
      <alignment horizontal="center" readingOrder="0" shrinkToFit="0" vertical="center" wrapText="1"/>
    </xf>
    <xf borderId="55" fillId="0" fontId="30" numFmtId="0" xfId="0" applyAlignment="1" applyBorder="1" applyFont="1">
      <alignment horizontal="center" shrinkToFit="0" vertical="center" wrapText="1"/>
    </xf>
    <xf borderId="17" fillId="2" fontId="6" numFmtId="0" xfId="0" applyAlignment="1" applyBorder="1" applyFont="1">
      <alignment horizontal="center" shrinkToFit="0" vertical="center" wrapText="1"/>
    </xf>
    <xf borderId="15" fillId="5" fontId="30" numFmtId="0" xfId="0" applyAlignment="1" applyBorder="1" applyFont="1">
      <alignment horizontal="center" shrinkToFit="0" vertical="center" wrapText="1"/>
    </xf>
    <xf borderId="56" fillId="9" fontId="20" numFmtId="0" xfId="0" applyAlignment="1" applyBorder="1" applyFont="1">
      <alignment horizontal="center" readingOrder="0" shrinkToFit="0" vertical="center" wrapText="1"/>
    </xf>
    <xf borderId="57" fillId="0" fontId="3" numFmtId="0" xfId="0" applyBorder="1" applyFont="1"/>
    <xf borderId="58" fillId="0" fontId="3" numFmtId="0" xfId="0" applyBorder="1" applyFont="1"/>
    <xf borderId="59" fillId="0" fontId="3" numFmtId="0" xfId="0" applyBorder="1" applyFont="1"/>
    <xf borderId="60" fillId="0" fontId="3" numFmtId="0" xfId="0" applyBorder="1" applyFont="1"/>
    <xf borderId="61" fillId="0" fontId="3" numFmtId="0" xfId="0" applyBorder="1" applyFont="1"/>
    <xf borderId="15" fillId="11" fontId="44" numFmtId="0" xfId="0" applyAlignment="1" applyBorder="1" applyFont="1">
      <alignment horizontal="center" shrinkToFit="0" vertical="center" wrapText="1"/>
    </xf>
    <xf borderId="1" fillId="2" fontId="45" numFmtId="0" xfId="0" applyAlignment="1" applyBorder="1" applyFont="1">
      <alignment horizontal="center" shrinkToFit="0" vertical="center" wrapText="1"/>
    </xf>
    <xf borderId="1" fillId="2" fontId="24" numFmtId="0" xfId="0" applyAlignment="1" applyBorder="1" applyFont="1">
      <alignment horizontal="center" readingOrder="0" shrinkToFit="0" vertical="center" wrapText="1"/>
    </xf>
    <xf borderId="18" fillId="5" fontId="30" numFmtId="0" xfId="0" applyAlignment="1" applyBorder="1" applyFont="1">
      <alignment horizontal="center" shrinkToFit="0" vertical="center" wrapText="1"/>
    </xf>
    <xf borderId="0" fillId="0" fontId="32" numFmtId="0" xfId="0" applyAlignment="1" applyFont="1">
      <alignment horizontal="center" shrinkToFit="0" vertical="center" wrapText="1"/>
    </xf>
    <xf borderId="62" fillId="9" fontId="20" numFmtId="0" xfId="0" applyAlignment="1" applyBorder="1" applyFont="1">
      <alignment horizontal="center" readingOrder="0" shrinkToFit="0" vertical="center" wrapText="1"/>
    </xf>
    <xf borderId="63" fillId="2" fontId="28" numFmtId="0" xfId="0" applyAlignment="1" applyBorder="1" applyFont="1">
      <alignment horizontal="center" shrinkToFit="0" vertical="center" wrapText="1"/>
    </xf>
    <xf borderId="25" fillId="2" fontId="20" numFmtId="0" xfId="0" applyAlignment="1" applyBorder="1" applyFont="1">
      <alignment horizontal="center" readingOrder="0" shrinkToFit="0" vertical="center" wrapText="1"/>
    </xf>
    <xf borderId="17" fillId="2" fontId="46" numFmtId="0" xfId="0" applyAlignment="1" applyBorder="1" applyFont="1">
      <alignment horizontal="center" shrinkToFit="0" vertical="center" wrapText="1"/>
    </xf>
    <xf borderId="15" fillId="3" fontId="47" numFmtId="0" xfId="0" applyAlignment="1" applyBorder="1" applyFont="1">
      <alignment horizontal="center" readingOrder="0" shrinkToFit="0" vertical="center" wrapText="1"/>
    </xf>
    <xf borderId="15" fillId="9" fontId="48" numFmtId="0" xfId="0" applyAlignment="1" applyBorder="1" applyFont="1">
      <alignment horizontal="center" readingOrder="0" shrinkToFit="0" vertical="center" wrapText="1"/>
    </xf>
    <xf borderId="11" fillId="11" fontId="30" numFmtId="0" xfId="0" applyAlignment="1" applyBorder="1" applyFont="1">
      <alignment horizontal="center" shrinkToFit="0" vertical="center" wrapText="1"/>
    </xf>
    <xf borderId="11" fillId="11" fontId="49" numFmtId="0" xfId="0" applyAlignment="1" applyBorder="1" applyFont="1">
      <alignment horizontal="center" shrinkToFit="0" vertical="center" wrapText="1"/>
    </xf>
    <xf borderId="11" fillId="2" fontId="30" numFmtId="0" xfId="0" applyAlignment="1" applyBorder="1" applyFont="1">
      <alignment horizontal="center" shrinkToFit="0" vertical="center" wrapText="1"/>
    </xf>
    <xf borderId="15" fillId="11" fontId="24" numFmtId="0" xfId="0" applyAlignment="1" applyBorder="1" applyFont="1">
      <alignment horizontal="center" shrinkToFit="0" vertical="center" wrapText="1"/>
    </xf>
    <xf borderId="15" fillId="2" fontId="6" numFmtId="0" xfId="0" applyAlignment="1" applyBorder="1" applyFont="1">
      <alignment horizontal="center" readingOrder="0" shrinkToFit="0" vertical="center" wrapText="1"/>
    </xf>
    <xf borderId="15" fillId="6" fontId="30" numFmtId="0" xfId="0" applyAlignment="1" applyBorder="1" applyFont="1">
      <alignment horizontal="center" shrinkToFit="0" vertical="center" wrapText="1"/>
    </xf>
    <xf borderId="25" fillId="6" fontId="30" numFmtId="0" xfId="0" applyAlignment="1" applyBorder="1" applyFont="1">
      <alignment horizontal="center" shrinkToFit="0" vertical="center" wrapText="1"/>
    </xf>
    <xf borderId="34" fillId="2" fontId="30" numFmtId="0" xfId="0" applyAlignment="1" applyBorder="1" applyFont="1">
      <alignment horizontal="center" shrinkToFit="0" vertical="center" wrapText="1"/>
    </xf>
    <xf borderId="64" fillId="2" fontId="6" numFmtId="0" xfId="0" applyAlignment="1" applyBorder="1" applyFont="1">
      <alignment horizontal="center" shrinkToFit="0" vertical="center" wrapText="1"/>
    </xf>
    <xf borderId="20" fillId="2" fontId="30" numFmtId="0" xfId="0" applyAlignment="1" applyBorder="1" applyFont="1">
      <alignment horizontal="center" shrinkToFit="0" vertical="center" wrapText="1"/>
    </xf>
    <xf borderId="1" fillId="6" fontId="30" numFmtId="0" xfId="0" applyAlignment="1" applyBorder="1" applyFont="1">
      <alignment horizontal="center" shrinkToFit="0" vertical="center" wrapText="1"/>
    </xf>
    <xf borderId="23" fillId="2" fontId="50" numFmtId="0" xfId="0" applyAlignment="1" applyBorder="1" applyFont="1">
      <alignment horizontal="center" shrinkToFit="0" vertical="center" wrapText="1"/>
    </xf>
    <xf borderId="34" fillId="0" fontId="30" numFmtId="0" xfId="0" applyAlignment="1" applyBorder="1" applyFont="1">
      <alignment horizontal="center" shrinkToFit="0" vertical="center" wrapText="1"/>
    </xf>
    <xf borderId="23" fillId="0" fontId="51" numFmtId="0" xfId="0" applyAlignment="1" applyBorder="1" applyFont="1">
      <alignment horizontal="center" vertical="center"/>
    </xf>
    <xf borderId="65" fillId="2" fontId="6" numFmtId="0" xfId="0" applyAlignment="1" applyBorder="1" applyFont="1">
      <alignment horizontal="center" shrinkToFit="0" vertical="center" wrapText="1"/>
    </xf>
    <xf borderId="18" fillId="3" fontId="52" numFmtId="0" xfId="0" applyAlignment="1" applyBorder="1" applyFont="1">
      <alignment horizontal="center" shrinkToFit="0" vertical="center" wrapText="1"/>
    </xf>
    <xf borderId="18" fillId="9" fontId="28" numFmtId="0" xfId="0" applyAlignment="1" applyBorder="1" applyFont="1">
      <alignment horizontal="center" shrinkToFit="0" vertical="center" wrapText="1"/>
    </xf>
    <xf borderId="15" fillId="0" fontId="53" numFmtId="0" xfId="0" applyAlignment="1" applyBorder="1" applyFont="1">
      <alignment horizontal="center" shrinkToFit="0" vertical="center" wrapText="1"/>
    </xf>
    <xf borderId="66" fillId="0" fontId="3" numFmtId="0" xfId="0" applyBorder="1" applyFont="1"/>
    <xf borderId="25" fillId="10" fontId="20" numFmtId="0" xfId="0" applyAlignment="1" applyBorder="1" applyFont="1">
      <alignment horizontal="center" readingOrder="0" shrinkToFit="0" vertical="center" wrapText="1"/>
    </xf>
    <xf borderId="67" fillId="2" fontId="6" numFmtId="0" xfId="0" applyAlignment="1" applyBorder="1" applyFont="1">
      <alignment horizontal="center" shrinkToFit="0" vertical="center" wrapText="1"/>
    </xf>
    <xf borderId="68" fillId="0" fontId="3" numFmtId="0" xfId="0" applyBorder="1" applyFont="1"/>
    <xf borderId="15" fillId="2" fontId="54" numFmtId="0" xfId="0" applyAlignment="1" applyBorder="1" applyFont="1">
      <alignment horizontal="center" shrinkToFit="0" vertical="center" wrapText="1"/>
    </xf>
    <xf borderId="69" fillId="0" fontId="3" numFmtId="0" xfId="0" applyBorder="1" applyFont="1"/>
    <xf borderId="51" fillId="10" fontId="28" numFmtId="0" xfId="0" applyAlignment="1" applyBorder="1" applyFont="1">
      <alignment horizontal="center" shrinkToFit="0" vertical="center" wrapText="1"/>
    </xf>
    <xf borderId="70" fillId="0" fontId="30" numFmtId="0" xfId="0" applyAlignment="1" applyBorder="1" applyFont="1">
      <alignment horizontal="center" shrinkToFit="0" vertical="center" wrapText="1"/>
    </xf>
    <xf borderId="71" fillId="0" fontId="3" numFmtId="0" xfId="0" applyBorder="1" applyFont="1"/>
    <xf borderId="15" fillId="2" fontId="28" numFmtId="0" xfId="0" applyAlignment="1" applyBorder="1" applyFont="1">
      <alignment horizontal="center" shrinkToFit="0" vertical="center" wrapText="1"/>
    </xf>
    <xf borderId="11" fillId="2" fontId="28" numFmtId="0" xfId="0" applyAlignment="1" applyBorder="1" applyFont="1">
      <alignment horizontal="center" shrinkToFit="0" vertical="center" wrapText="1"/>
    </xf>
    <xf borderId="34" fillId="0" fontId="53" numFmtId="0" xfId="0" applyAlignment="1" applyBorder="1" applyFont="1">
      <alignment horizontal="center" shrinkToFit="0" vertical="center" wrapText="1"/>
    </xf>
    <xf borderId="0" fillId="0" fontId="23" numFmtId="0" xfId="0" applyAlignment="1" applyFont="1">
      <alignment horizontal="center" vertical="center"/>
    </xf>
    <xf borderId="25" fillId="2" fontId="19" numFmtId="0" xfId="0" applyAlignment="1" applyBorder="1" applyFont="1">
      <alignment horizontal="center" shrinkToFit="0" vertical="center" wrapText="1"/>
    </xf>
    <xf borderId="1" fillId="2" fontId="19" numFmtId="0" xfId="0" applyAlignment="1" applyBorder="1" applyFont="1">
      <alignment horizontal="center" shrinkToFit="0" vertical="center" wrapText="1"/>
    </xf>
    <xf borderId="25" fillId="2" fontId="30" numFmtId="0" xfId="0" applyAlignment="1" applyBorder="1" applyFont="1">
      <alignment horizontal="center" shrinkToFit="0" vertical="center" wrapText="1"/>
    </xf>
    <xf borderId="25" fillId="2" fontId="20" numFmtId="0" xfId="0" applyAlignment="1" applyBorder="1" applyFont="1">
      <alignment horizontal="center" shrinkToFit="0" vertical="center" wrapText="1"/>
    </xf>
    <xf borderId="72" fillId="2" fontId="6" numFmtId="0" xfId="0" applyAlignment="1" applyBorder="1" applyFont="1">
      <alignment horizontal="center" shrinkToFit="0" vertical="center" wrapText="1"/>
    </xf>
    <xf borderId="15" fillId="2" fontId="55" numFmtId="0" xfId="0" applyAlignment="1" applyBorder="1" applyFont="1">
      <alignment horizontal="center" shrinkToFit="0" vertical="center" wrapText="1"/>
    </xf>
    <xf borderId="11" fillId="2" fontId="55" numFmtId="0" xfId="0" applyAlignment="1" applyBorder="1" applyFont="1">
      <alignment horizontal="center" shrinkToFit="0" vertical="center" wrapText="1"/>
    </xf>
    <xf borderId="0" fillId="0" fontId="32" numFmtId="0" xfId="0" applyAlignment="1" applyFont="1">
      <alignment shrinkToFit="0" wrapText="1"/>
    </xf>
    <xf borderId="25" fillId="0" fontId="30" numFmtId="0" xfId="0" applyAlignment="1" applyBorder="1" applyFont="1">
      <alignment horizontal="center" shrinkToFit="0" vertical="center" wrapText="1"/>
    </xf>
    <xf borderId="15" fillId="3" fontId="56" numFmtId="0" xfId="0" applyAlignment="1" applyBorder="1" applyFont="1">
      <alignment horizontal="center" shrinkToFit="0" vertical="center" wrapText="1"/>
    </xf>
    <xf borderId="15" fillId="9" fontId="28" numFmtId="0" xfId="0" applyAlignment="1" applyBorder="1" applyFont="1">
      <alignment horizontal="center" shrinkToFit="0" vertical="center" wrapText="1"/>
    </xf>
    <xf borderId="15" fillId="2" fontId="57" numFmtId="0" xfId="0" applyAlignment="1" applyBorder="1" applyFont="1">
      <alignment horizontal="center" shrinkToFit="0" vertical="center" wrapText="1"/>
    </xf>
    <xf borderId="0" fillId="0" fontId="32" numFmtId="0" xfId="0" applyAlignment="1" applyFont="1">
      <alignment horizontal="left" shrinkToFit="0" wrapText="1"/>
    </xf>
    <xf borderId="25" fillId="9" fontId="20" numFmtId="0" xfId="0" applyAlignment="1" applyBorder="1" applyFont="1">
      <alignment horizontal="center" shrinkToFit="0" wrapText="1"/>
    </xf>
    <xf borderId="34" fillId="0" fontId="32" numFmtId="0" xfId="0" applyAlignment="1" applyBorder="1" applyFont="1">
      <alignment horizontal="center" shrinkToFit="0" wrapText="1"/>
    </xf>
    <xf borderId="17" fillId="2" fontId="55" numFmtId="0" xfId="0" applyAlignment="1" applyBorder="1" applyFont="1">
      <alignment horizontal="center" shrinkToFit="0" vertical="center" wrapText="1"/>
    </xf>
    <xf borderId="34" fillId="0" fontId="28" numFmtId="0" xfId="0" applyAlignment="1" applyBorder="1" applyFont="1">
      <alignment horizontal="center" shrinkToFit="0" vertical="center" wrapText="1"/>
    </xf>
    <xf borderId="17" fillId="2" fontId="30" numFmtId="0" xfId="0" applyAlignment="1" applyBorder="1" applyFont="1">
      <alignment horizontal="center" shrinkToFit="0" vertical="center" wrapText="1"/>
    </xf>
    <xf borderId="15" fillId="0" fontId="30" numFmtId="0" xfId="0" applyAlignment="1" applyBorder="1" applyFont="1">
      <alignment horizontal="center" shrinkToFit="0" wrapText="1"/>
    </xf>
    <xf borderId="0" fillId="0" fontId="32" numFmtId="0" xfId="0" applyAlignment="1" applyFont="1">
      <alignment readingOrder="0" shrinkToFit="0" wrapText="1"/>
    </xf>
    <xf borderId="0" fillId="0" fontId="30" numFmtId="0" xfId="0" applyAlignment="1" applyFont="1">
      <alignment horizontal="center" shrinkToFit="0" wrapText="1"/>
    </xf>
    <xf borderId="0" fillId="0" fontId="30" numFmtId="0" xfId="0" applyFont="1"/>
    <xf borderId="0" fillId="0" fontId="12" numFmtId="0" xfId="0" applyAlignment="1" applyFont="1">
      <alignment readingOrder="0"/>
    </xf>
    <xf borderId="0" fillId="0" fontId="58" numFmtId="0" xfId="0" applyFont="1"/>
    <xf borderId="0" fillId="0" fontId="8" numFmtId="0" xfId="0" applyAlignment="1" applyFont="1">
      <alignment horizontal="center" vertical="center"/>
    </xf>
    <xf borderId="25" fillId="10" fontId="55" numFmtId="0" xfId="0" applyAlignment="1" applyBorder="1" applyFont="1">
      <alignment horizontal="center" vertical="center"/>
    </xf>
    <xf borderId="17" fillId="2" fontId="6" numFmtId="0" xfId="0" applyAlignment="1" applyBorder="1" applyFont="1">
      <alignment horizontal="center" vertical="center"/>
    </xf>
    <xf borderId="25" fillId="2" fontId="55" numFmtId="0" xfId="0" applyAlignment="1" applyBorder="1" applyFont="1">
      <alignment horizontal="center" vertical="center"/>
    </xf>
    <xf borderId="15" fillId="0" fontId="58" numFmtId="0" xfId="0" applyBorder="1" applyFont="1"/>
    <xf borderId="15" fillId="2" fontId="58" numFmtId="0" xfId="0" applyAlignment="1" applyBorder="1" applyFont="1">
      <alignment horizontal="center" vertical="center"/>
    </xf>
    <xf borderId="11" fillId="2" fontId="58" numFmtId="0" xfId="0" applyAlignment="1" applyBorder="1" applyFont="1">
      <alignment horizontal="center" vertical="center"/>
    </xf>
    <xf borderId="15" fillId="2" fontId="55" numFmtId="0" xfId="0" applyAlignment="1" applyBorder="1" applyFont="1">
      <alignment horizontal="center" vertical="center"/>
    </xf>
    <xf borderId="11" fillId="2" fontId="55" numFmtId="0" xfId="0" applyAlignment="1" applyBorder="1" applyFont="1">
      <alignment horizontal="center" vertical="center"/>
    </xf>
    <xf borderId="15" fillId="0" fontId="55" numFmtId="0" xfId="0" applyAlignment="1" applyBorder="1" applyFont="1">
      <alignment horizontal="center"/>
    </xf>
    <xf borderId="15" fillId="0" fontId="58" numFmtId="0" xfId="0" applyAlignment="1" applyBorder="1" applyFont="1">
      <alignment horizontal="center"/>
    </xf>
    <xf borderId="1" fillId="2" fontId="58" numFmtId="0" xfId="0" applyAlignment="1" applyBorder="1" applyFont="1">
      <alignment horizontal="center" vertical="center"/>
    </xf>
    <xf borderId="15" fillId="5" fontId="58" numFmtId="0" xfId="0" applyAlignment="1" applyBorder="1" applyFont="1">
      <alignment horizontal="center"/>
    </xf>
    <xf borderId="15" fillId="2" fontId="59" numFmtId="0" xfId="0" applyAlignment="1" applyBorder="1" applyFont="1">
      <alignment horizontal="center" vertical="center"/>
    </xf>
    <xf borderId="15" fillId="5" fontId="58" numFmtId="0" xfId="0" applyAlignment="1" applyBorder="1" applyFont="1">
      <alignment horizontal="center" vertical="center"/>
    </xf>
    <xf borderId="15" fillId="5" fontId="60" numFmtId="0" xfId="0" applyAlignment="1" applyBorder="1" applyFont="1">
      <alignment horizontal="center" vertical="center"/>
    </xf>
    <xf borderId="1" fillId="2" fontId="61" numFmtId="0" xfId="0" applyAlignment="1" applyBorder="1" applyFont="1">
      <alignment horizontal="center" vertical="center"/>
    </xf>
    <xf borderId="15" fillId="5" fontId="58" numFmtId="0" xfId="0" applyAlignment="1" applyBorder="1" applyFont="1">
      <alignment horizontal="center" shrinkToFit="0" vertical="center" wrapText="1"/>
    </xf>
    <xf borderId="0" fillId="0" fontId="58" numFmtId="0" xfId="0" applyAlignment="1" applyFont="1">
      <alignment horizontal="center"/>
    </xf>
    <xf borderId="73" fillId="5" fontId="58" numFmtId="0" xfId="0" applyAlignment="1" applyBorder="1" applyFont="1">
      <alignment horizontal="center" vertical="center"/>
    </xf>
    <xf borderId="1" fillId="5" fontId="62" numFmtId="0" xfId="0" applyAlignment="1" applyBorder="1" applyFont="1">
      <alignment horizontal="center"/>
    </xf>
    <xf borderId="15" fillId="2" fontId="6" numFmtId="0" xfId="0" applyAlignment="1" applyBorder="1" applyFont="1">
      <alignment horizontal="center" readingOrder="0" vertical="center"/>
    </xf>
    <xf borderId="73" fillId="2" fontId="6" numFmtId="0" xfId="0" applyAlignment="1" applyBorder="1" applyFont="1">
      <alignment horizontal="center" vertical="center"/>
    </xf>
    <xf borderId="25" fillId="7" fontId="55" numFmtId="0" xfId="0" applyAlignment="1" applyBorder="1" applyFont="1">
      <alignment horizontal="center" vertical="center"/>
    </xf>
    <xf borderId="15" fillId="0" fontId="8" numFmtId="0" xfId="0" applyBorder="1" applyFont="1"/>
    <xf borderId="25" fillId="0" fontId="8" numFmtId="0" xfId="0" applyBorder="1" applyFont="1"/>
    <xf borderId="25" fillId="0" fontId="55" numFmtId="0" xfId="0" applyAlignment="1" applyBorder="1" applyFont="1">
      <alignment horizontal="center"/>
    </xf>
    <xf borderId="15" fillId="6" fontId="58" numFmtId="0" xfId="0" applyAlignment="1" applyBorder="1" applyFont="1">
      <alignment horizontal="center" vertical="center"/>
    </xf>
    <xf borderId="25" fillId="9" fontId="28" numFmtId="0" xfId="0" applyAlignment="1" applyBorder="1" applyFont="1">
      <alignment horizontal="center" vertical="center"/>
    </xf>
    <xf borderId="1" fillId="2" fontId="18" numFmtId="0" xfId="0" applyAlignment="1" applyBorder="1" applyFont="1">
      <alignment horizontal="center" vertical="center"/>
    </xf>
    <xf borderId="1" fillId="2" fontId="63" numFmtId="0" xfId="0" applyAlignment="1" applyBorder="1" applyFont="1">
      <alignment horizontal="center" vertical="center"/>
    </xf>
    <xf borderId="1" fillId="2" fontId="24" numFmtId="164" xfId="0" applyAlignment="1" applyBorder="1" applyFont="1" applyNumberFormat="1">
      <alignment horizontal="center" shrinkToFit="0" vertical="center" wrapText="1"/>
    </xf>
    <xf borderId="15" fillId="0" fontId="28" numFmtId="0" xfId="0" applyAlignment="1" applyBorder="1" applyFont="1">
      <alignment horizontal="center" vertical="center"/>
    </xf>
    <xf borderId="1" fillId="6" fontId="20" numFmtId="0" xfId="0" applyAlignment="1" applyBorder="1" applyFont="1">
      <alignment horizontal="center" shrinkToFit="0" vertical="center" wrapText="1"/>
    </xf>
    <xf borderId="72" fillId="9" fontId="20" numFmtId="0" xfId="0" applyAlignment="1" applyBorder="1" applyFont="1">
      <alignment horizontal="center" shrinkToFit="0" vertical="center" wrapText="1"/>
    </xf>
    <xf borderId="5" fillId="2" fontId="63" numFmtId="0" xfId="0" applyAlignment="1" applyBorder="1" applyFont="1">
      <alignment horizontal="center" vertical="center"/>
    </xf>
    <xf borderId="8" fillId="3" fontId="64" numFmtId="0" xfId="0" applyAlignment="1" applyBorder="1" applyFont="1">
      <alignment horizontal="center" vertical="center"/>
    </xf>
    <xf borderId="8" fillId="4" fontId="64" numFmtId="0" xfId="0" applyAlignment="1" applyBorder="1" applyFont="1">
      <alignment horizontal="center" shrinkToFit="0" vertical="center" wrapText="1"/>
    </xf>
    <xf borderId="11" fillId="2" fontId="18" numFmtId="0" xfId="0" applyAlignment="1" applyBorder="1" applyFont="1">
      <alignment horizontal="center" vertical="center"/>
    </xf>
    <xf borderId="12" fillId="3" fontId="65" numFmtId="0" xfId="0" applyAlignment="1" applyBorder="1" applyFont="1">
      <alignment horizontal="center" vertical="center"/>
    </xf>
    <xf borderId="13" fillId="3" fontId="65" numFmtId="0" xfId="0" applyAlignment="1" applyBorder="1" applyFont="1">
      <alignment horizontal="center" vertical="center"/>
    </xf>
    <xf borderId="13" fillId="4" fontId="65" numFmtId="0" xfId="0" applyAlignment="1" applyBorder="1" applyFont="1">
      <alignment horizontal="center" vertical="center"/>
    </xf>
    <xf borderId="14" fillId="4" fontId="65" numFmtId="0" xfId="0" applyAlignment="1" applyBorder="1" applyFont="1">
      <alignment horizontal="center" vertical="center"/>
    </xf>
    <xf borderId="17" fillId="2" fontId="46" numFmtId="0" xfId="0" applyAlignment="1" applyBorder="1" applyFont="1">
      <alignment horizontal="center" vertical="center"/>
    </xf>
    <xf borderId="15" fillId="2" fontId="65" numFmtId="0" xfId="0" applyAlignment="1" applyBorder="1" applyFont="1">
      <alignment horizontal="center" vertical="center"/>
    </xf>
    <xf borderId="16" fillId="5" fontId="24" numFmtId="0" xfId="0" applyAlignment="1" applyBorder="1" applyFont="1">
      <alignment horizontal="center" vertical="center"/>
    </xf>
    <xf borderId="17" fillId="2" fontId="24" numFmtId="164" xfId="0" applyAlignment="1" applyBorder="1" applyFont="1" applyNumberFormat="1">
      <alignment shrinkToFit="0" vertical="center" wrapText="1"/>
    </xf>
    <xf borderId="15" fillId="5" fontId="30" numFmtId="0" xfId="0" applyAlignment="1" applyBorder="1" applyFont="1">
      <alignment horizontal="center" vertical="center"/>
    </xf>
    <xf borderId="15" fillId="5" fontId="66" numFmtId="0" xfId="0" applyAlignment="1" applyBorder="1" applyFont="1">
      <alignment horizontal="center" vertical="center"/>
    </xf>
    <xf borderId="16" fillId="2" fontId="24" numFmtId="0" xfId="0" applyAlignment="1" applyBorder="1" applyFont="1">
      <alignment horizontal="center" vertical="center"/>
    </xf>
    <xf borderId="16" fillId="5" fontId="67" numFmtId="0" xfId="0" applyAlignment="1" applyBorder="1" applyFont="1">
      <alignment horizontal="center" vertical="center"/>
    </xf>
    <xf borderId="16" fillId="5" fontId="68" numFmtId="0" xfId="0" applyAlignment="1" applyBorder="1" applyFont="1">
      <alignment horizontal="center" vertical="center"/>
    </xf>
    <xf borderId="18" fillId="6" fontId="24" numFmtId="0" xfId="0" applyAlignment="1" applyBorder="1" applyFont="1">
      <alignment horizontal="center" vertical="center"/>
    </xf>
    <xf borderId="19" fillId="6" fontId="24" numFmtId="0" xfId="0" applyAlignment="1" applyBorder="1" applyFont="1">
      <alignment horizontal="center" vertical="center"/>
    </xf>
    <xf borderId="16" fillId="6" fontId="24" numFmtId="0" xfId="0" applyAlignment="1" applyBorder="1" applyFont="1">
      <alignment horizontal="center" vertical="center"/>
    </xf>
    <xf borderId="1" fillId="5" fontId="30" numFmtId="0" xfId="0" applyAlignment="1" applyBorder="1" applyFont="1">
      <alignment horizontal="center" vertical="center"/>
    </xf>
    <xf borderId="63" fillId="2" fontId="28" numFmtId="0" xfId="0" applyAlignment="1" applyBorder="1" applyFont="1">
      <alignment shrinkToFit="0" vertical="center" wrapText="1"/>
    </xf>
    <xf borderId="16" fillId="2" fontId="69" numFmtId="0" xfId="0" applyAlignment="1" applyBorder="1" applyFont="1">
      <alignment horizontal="center" vertical="center"/>
    </xf>
    <xf borderId="11" fillId="2" fontId="30" numFmtId="0" xfId="0" applyAlignment="1" applyBorder="1" applyFont="1">
      <alignment horizontal="center" vertical="center"/>
    </xf>
    <xf borderId="11" fillId="2" fontId="28" numFmtId="0" xfId="0" applyAlignment="1" applyBorder="1" applyFont="1">
      <alignment horizontal="center" vertical="center"/>
    </xf>
    <xf borderId="11" fillId="5" fontId="30" numFmtId="0" xfId="0" applyAlignment="1" applyBorder="1" applyFont="1">
      <alignment horizontal="center" vertical="center"/>
    </xf>
    <xf borderId="20" fillId="7" fontId="65" numFmtId="0" xfId="0" applyAlignment="1" applyBorder="1" applyFont="1">
      <alignment horizontal="center" vertical="center"/>
    </xf>
    <xf borderId="20" fillId="6" fontId="24" numFmtId="0" xfId="0" applyAlignment="1" applyBorder="1" applyFont="1">
      <alignment horizontal="center" vertical="center"/>
    </xf>
    <xf borderId="21" fillId="6" fontId="24" numFmtId="0" xfId="0" applyAlignment="1" applyBorder="1" applyFont="1">
      <alignment horizontal="center" vertical="center"/>
    </xf>
    <xf borderId="22" fillId="2" fontId="18" numFmtId="0" xfId="0" applyAlignment="1" applyBorder="1" applyFont="1">
      <alignment horizontal="center" vertical="center"/>
    </xf>
    <xf borderId="23" fillId="5" fontId="27" numFmtId="164" xfId="0" applyAlignment="1" applyBorder="1" applyFont="1" applyNumberFormat="1">
      <alignment horizontal="center" shrinkToFit="0" vertical="center" wrapText="1"/>
    </xf>
    <xf borderId="8" fillId="4" fontId="18" numFmtId="0" xfId="0" applyAlignment="1" applyBorder="1" applyFont="1">
      <alignment horizontal="center" shrinkToFit="0" vertical="center" wrapText="1"/>
    </xf>
    <xf borderId="11" fillId="6" fontId="30" numFmtId="0" xfId="0" applyAlignment="1" applyBorder="1" applyFont="1">
      <alignment horizontal="center" vertical="center"/>
    </xf>
    <xf borderId="18" fillId="2" fontId="18" numFmtId="0" xfId="0" applyAlignment="1" applyBorder="1" applyFont="1">
      <alignment horizontal="center" vertical="center"/>
    </xf>
    <xf borderId="15" fillId="2" fontId="24" numFmtId="164" xfId="0" applyAlignment="1" applyBorder="1" applyFont="1" applyNumberFormat="1">
      <alignment shrinkToFit="0" vertical="center" wrapText="1"/>
    </xf>
    <xf borderId="15" fillId="0" fontId="24" numFmtId="164" xfId="0" applyAlignment="1" applyBorder="1" applyFont="1" applyNumberFormat="1">
      <alignment shrinkToFit="0" vertical="center" wrapText="1"/>
    </xf>
    <xf borderId="49" fillId="2" fontId="39" numFmtId="0" xfId="0" applyAlignment="1" applyBorder="1" applyFont="1">
      <alignment horizontal="center" vertical="center"/>
    </xf>
    <xf borderId="1" fillId="2" fontId="28" numFmtId="0" xfId="0" applyAlignment="1" applyBorder="1" applyFont="1">
      <alignment horizontal="center" vertical="center"/>
    </xf>
    <xf borderId="46" fillId="9" fontId="20" numFmtId="0" xfId="0" applyAlignment="1" applyBorder="1" applyFont="1">
      <alignment horizontal="center" vertical="center"/>
    </xf>
    <xf borderId="18" fillId="2" fontId="70" numFmtId="0" xfId="0" applyAlignment="1" applyBorder="1" applyFont="1">
      <alignment horizontal="center" vertical="center"/>
    </xf>
    <xf borderId="23" fillId="5" fontId="23" numFmtId="164" xfId="0" applyAlignment="1" applyBorder="1" applyFont="1" applyNumberFormat="1">
      <alignment horizontal="center" shrinkToFit="0" vertical="center" wrapText="1"/>
    </xf>
    <xf borderId="17" fillId="2" fontId="71" numFmtId="0" xfId="0" applyAlignment="1" applyBorder="1" applyFont="1">
      <alignment horizontal="center" vertical="center"/>
    </xf>
    <xf borderId="15" fillId="2" fontId="72" numFmtId="0" xfId="0" applyAlignment="1" applyBorder="1" applyFont="1">
      <alignment horizontal="center" vertical="center"/>
    </xf>
    <xf borderId="11" fillId="2" fontId="73" numFmtId="0" xfId="0" applyAlignment="1" applyBorder="1" applyFont="1">
      <alignment horizontal="center" vertical="center"/>
    </xf>
    <xf borderId="15" fillId="0" fontId="74" numFmtId="0" xfId="0" applyAlignment="1" applyBorder="1" applyFont="1">
      <alignment horizontal="center"/>
    </xf>
    <xf borderId="40" fillId="0" fontId="30" numFmtId="0" xfId="0" applyAlignment="1" applyBorder="1" applyFont="1">
      <alignment horizontal="center" vertical="center"/>
    </xf>
    <xf borderId="25" fillId="2" fontId="63" numFmtId="0" xfId="0" applyAlignment="1" applyBorder="1" applyFont="1">
      <alignment horizontal="center" shrinkToFit="0" vertical="center" wrapText="1"/>
    </xf>
    <xf borderId="25" fillId="9" fontId="20" numFmtId="0" xfId="0" applyAlignment="1" applyBorder="1" applyFont="1">
      <alignment horizontal="center" vertical="center"/>
    </xf>
    <xf borderId="20" fillId="2" fontId="24" numFmtId="164" xfId="0" applyAlignment="1" applyBorder="1" applyFont="1" applyNumberFormat="1">
      <alignment shrinkToFit="0" vertical="center" wrapText="1"/>
    </xf>
    <xf borderId="25" fillId="5" fontId="51" numFmtId="164" xfId="0" applyAlignment="1" applyBorder="1" applyFont="1" applyNumberFormat="1">
      <alignment horizontal="center" shrinkToFit="0" vertical="center" wrapText="1"/>
    </xf>
    <xf borderId="15" fillId="5" fontId="30" numFmtId="0" xfId="0" applyBorder="1" applyFont="1"/>
    <xf borderId="15" fillId="5" fontId="30" numFmtId="0" xfId="0" applyAlignment="1" applyBorder="1" applyFont="1">
      <alignment horizontal="center"/>
    </xf>
    <xf borderId="0" fillId="0" fontId="30" numFmtId="0" xfId="0" applyAlignment="1" applyFont="1">
      <alignment horizontal="center" vertical="center"/>
    </xf>
    <xf borderId="1" fillId="2" fontId="75" numFmtId="0" xfId="0" applyAlignment="1" applyBorder="1" applyFont="1">
      <alignment horizontal="center" vertical="center"/>
    </xf>
    <xf borderId="0" fillId="0" fontId="30" numFmtId="0" xfId="0" applyAlignment="1" applyFont="1">
      <alignment horizontal="center"/>
    </xf>
    <xf borderId="15" fillId="2" fontId="24" numFmtId="0" xfId="0" applyAlignment="1" applyBorder="1" applyFont="1">
      <alignment horizontal="center" readingOrder="0" vertical="center"/>
    </xf>
    <xf borderId="25" fillId="10" fontId="20" numFmtId="0" xfId="0" applyAlignment="1" applyBorder="1" applyFont="1">
      <alignment horizontal="center" vertical="center"/>
    </xf>
    <xf borderId="15" fillId="0" fontId="32" numFmtId="0" xfId="0" applyAlignment="1" applyBorder="1" applyFont="1">
      <alignment horizontal="center"/>
    </xf>
    <xf borderId="73" fillId="2" fontId="30" numFmtId="0" xfId="0" applyAlignment="1" applyBorder="1" applyFont="1">
      <alignment horizontal="center" vertical="center"/>
    </xf>
    <xf borderId="1" fillId="5" fontId="76" numFmtId="0" xfId="0" applyAlignment="1" applyBorder="1" applyFont="1">
      <alignment horizontal="center"/>
    </xf>
    <xf borderId="73" fillId="5" fontId="30" numFmtId="0" xfId="0" applyAlignment="1" applyBorder="1" applyFont="1">
      <alignment horizontal="center" vertical="center"/>
    </xf>
    <xf borderId="34" fillId="0" fontId="28" numFmtId="0" xfId="0" applyAlignment="1" applyBorder="1" applyFont="1">
      <alignment horizontal="center" textRotation="255" vertical="center"/>
    </xf>
    <xf borderId="55" fillId="0" fontId="3" numFmtId="0" xfId="0" applyBorder="1" applyFont="1"/>
    <xf borderId="0" fillId="0" fontId="32" numFmtId="0" xfId="0" applyFont="1"/>
    <xf borderId="25" fillId="0" fontId="77" numFmtId="0" xfId="0" applyAlignment="1" applyBorder="1" applyFont="1">
      <alignment horizontal="center"/>
    </xf>
    <xf borderId="15" fillId="2" fontId="30" numFmtId="0" xfId="0" applyBorder="1" applyFont="1"/>
    <xf borderId="25" fillId="0" fontId="32" numFmtId="0" xfId="0" applyBorder="1" applyFont="1"/>
    <xf borderId="11" fillId="2" fontId="78" numFmtId="0" xfId="0" applyAlignment="1" applyBorder="1" applyFont="1">
      <alignment horizontal="center" vertical="center"/>
    </xf>
    <xf borderId="34" fillId="0" fontId="33" numFmtId="0" xfId="0" applyAlignment="1" applyBorder="1" applyFont="1">
      <alignment horizontal="center" textRotation="255" vertical="center"/>
    </xf>
    <xf borderId="1" fillId="5" fontId="79" numFmtId="0" xfId="0" applyAlignment="1" applyBorder="1" applyFont="1">
      <alignment horizontal="center"/>
    </xf>
    <xf borderId="71" fillId="0" fontId="39" numFmtId="0" xfId="0" applyAlignment="1" applyBorder="1" applyFont="1">
      <alignment horizontal="center"/>
    </xf>
    <xf borderId="34" fillId="0" fontId="28" numFmtId="0" xfId="0" applyAlignment="1" applyBorder="1" applyFont="1">
      <alignment horizontal="center" shrinkToFit="0" textRotation="255" vertical="center" wrapText="1"/>
    </xf>
    <xf borderId="0" fillId="0" fontId="80" numFmtId="0" xfId="0" applyFont="1"/>
    <xf borderId="20" fillId="2" fontId="6" numFmtId="0" xfId="0" applyAlignment="1" applyBorder="1" applyFont="1">
      <alignment horizontal="center" vertical="center"/>
    </xf>
    <xf borderId="15" fillId="0" fontId="37" numFmtId="0" xfId="0" applyAlignment="1" applyBorder="1" applyFont="1">
      <alignment horizontal="center"/>
    </xf>
    <xf borderId="25" fillId="9" fontId="20" numFmtId="0" xfId="0" applyAlignment="1" applyBorder="1" applyFont="1">
      <alignment horizontal="center"/>
    </xf>
  </cellXfs>
  <cellStyles count="1">
    <cellStyle xfId="0" name="Normal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User" id="{01915537-95f0-445f-8dee-fb11c7a9bc2f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E15" dT="2026-01-26T20:33:20.00" personId="{01915537-95f0-445f-8dee-fb11c7a9bc2f}" id="{b496260e-141d-4812-b3e8-7965d4b74b9a}" done="0">
    <x18tc:text xml:space="preserve">User: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2.xml"/><Relationship Id="rId5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57"/>
    <col customWidth="1" min="2" max="19" width="10.71"/>
    <col customWidth="1" min="20" max="20" width="15.29"/>
    <col customWidth="1" min="21" max="26" width="10.71"/>
  </cols>
  <sheetData>
    <row r="1" ht="49.5" customHeight="1">
      <c r="A1" s="1"/>
      <c r="B1" s="1"/>
      <c r="C1" s="1"/>
      <c r="D1" s="1"/>
      <c r="E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1"/>
      <c r="R1" s="1"/>
      <c r="S1" s="1"/>
      <c r="T1" s="5"/>
      <c r="U1" s="6"/>
      <c r="V1" s="6"/>
      <c r="W1" s="6"/>
      <c r="X1" s="6"/>
      <c r="Y1" s="6"/>
      <c r="Z1" s="6"/>
    </row>
    <row r="2" ht="24.0" customHeight="1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0"/>
      <c r="T2" s="11"/>
      <c r="U2" s="12"/>
      <c r="V2" s="12"/>
      <c r="W2" s="12"/>
      <c r="X2" s="12"/>
      <c r="Y2" s="12"/>
      <c r="Z2" s="12"/>
    </row>
    <row r="3" ht="24.0" customHeight="1">
      <c r="A3" s="7"/>
      <c r="B3" s="13" t="s">
        <v>1</v>
      </c>
      <c r="C3" s="14"/>
      <c r="D3" s="14"/>
      <c r="E3" s="14"/>
      <c r="F3" s="14"/>
      <c r="G3" s="14"/>
      <c r="H3" s="14"/>
      <c r="I3" s="14"/>
      <c r="J3" s="15"/>
      <c r="K3" s="16" t="s">
        <v>2</v>
      </c>
      <c r="L3" s="14"/>
      <c r="M3" s="14"/>
      <c r="N3" s="14"/>
      <c r="O3" s="14"/>
      <c r="P3" s="14"/>
      <c r="Q3" s="14"/>
      <c r="R3" s="14"/>
      <c r="S3" s="15"/>
      <c r="T3" s="11"/>
      <c r="U3" s="12"/>
      <c r="V3" s="12"/>
      <c r="W3" s="12"/>
      <c r="X3" s="12"/>
      <c r="Y3" s="12"/>
      <c r="Z3" s="12"/>
    </row>
    <row r="4" ht="24.0" customHeight="1">
      <c r="A4" s="17" t="s">
        <v>3</v>
      </c>
      <c r="B4" s="18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19" t="s">
        <v>11</v>
      </c>
      <c r="J4" s="19" t="s">
        <v>12</v>
      </c>
      <c r="K4" s="20" t="s">
        <v>4</v>
      </c>
      <c r="L4" s="20" t="s">
        <v>5</v>
      </c>
      <c r="M4" s="20" t="s">
        <v>6</v>
      </c>
      <c r="N4" s="20" t="s">
        <v>7</v>
      </c>
      <c r="O4" s="20" t="s">
        <v>8</v>
      </c>
      <c r="P4" s="20" t="s">
        <v>9</v>
      </c>
      <c r="Q4" s="20" t="s">
        <v>10</v>
      </c>
      <c r="R4" s="20" t="s">
        <v>11</v>
      </c>
      <c r="S4" s="21" t="s">
        <v>12</v>
      </c>
      <c r="T4" s="22" t="s">
        <v>13</v>
      </c>
      <c r="U4" s="12"/>
      <c r="V4" s="12"/>
      <c r="W4" s="12"/>
      <c r="X4" s="12"/>
      <c r="Y4" s="12"/>
      <c r="Z4" s="12"/>
    </row>
    <row r="5" ht="24.0" customHeight="1">
      <c r="A5" s="23" t="s">
        <v>14</v>
      </c>
      <c r="B5" s="24">
        <f>0+10-1+2+1+1+1-1-1+1+1+1-1-1+1+1+1-4+4+1-1-1+1+4+2-1+1-6+1+6-2+2-1-1+1-2+1+2-1+1-2+2-2-4+2-1+4+1-1-1+1+1+1</f>
        <v>24</v>
      </c>
      <c r="C5" s="24">
        <f>0+1+1+1+1+1-1-2-2+9+1+2-4-1+4-1-1+1+2+2+1+1-1-3-1+1+1+3-1-2-4-1+2-6+1-4-1+4-2+1+2-4+4-1+1-2+1+1-1+1-4-1+1+1-1+1-1+4-2+1-2+2+2-1-1-1-1+1+1+1+1-2+2-6+6-2+2-1-1+1+1-4-1-1+4-1-1+1+1-1+1+1+1-6+1+6-2-2+2-2-1-2+2-1-1+2+1+1+1-1-4+5-1-1+1-4-1+4+1+1+1</f>
        <v>6</v>
      </c>
      <c r="D5" s="25">
        <f>0+18-1+8-3+1+2+1+3-1+4+1-1-1+1+1+1-1-3-2-1-5-1+3+2+1+1-5+5+1-1+1-1+1-1-3-2-1+3-1-1-1-4-11+1+1+4-1-1+1-2+1+1+1-2-1+2+1+19+1+4-1+1-1-1+1-1-10+1+1+5-2-1+2-2-2+1-6+2+2-1+6+2-4-2+1+2+4-18+18-1+1-1-1+1+1-3-1+3-1-4-1+1+1+1+4-1+1-3-3+3-1+3-8-1-2+1-1-1+1+8-5-2+2+1+1-2+2+5-1-1+2-5+1+1-2-1+5+2-10-1+1-2+1+10+2-1-1+1+1-4-1-3+1-3-2-7+4+1+1+3</f>
        <v>24</v>
      </c>
      <c r="E5" s="24">
        <f>0+1+5+1-4-1-1+4+1-3+3-1-3+10+1+1-2-6+6-1-1-1-1+1-2-2+1+1+1+2+2+1-1+1+1-1-1-1+1+1+1+1+2+1-2+2-1+3-8+1-1+1+1+1-1-1-6+1+1+6-2-1+1-1+1+1-6+1+6-1+1-1-1+1-3-1+1-4+1+3+4-1+1-3+3-2-3-1+3+2-1-7-2+1+1-1-3-1+2+7+1-1+1+3+1-1-2-2+1+2+2-2-2-3-6+2+2+3+6-3-1+3+1-1-6-1-1+1+1+6+1+1+1</f>
        <v>17</v>
      </c>
      <c r="F5" s="24">
        <f>0+15+1+1+4-1+1-2+2-1-1-1+1-1+1+1+1-1+1-1+1-1-1-1+1-1-1+1+1+1-3-1-2+3+1-1+2+1+1+5-1-2+1+1-1-1+1+1-5-1-2+1-2+2+2-1+1-2-1+2+2-2+1-1+2-1-1-2+1+1+1+2-1-1+1-1+1-2+1-3+2-2+3+2-1+1-1+1+1+1</f>
        <v>24</v>
      </c>
      <c r="G5" s="24">
        <f>0+27-1+1-3+3-1+1-1-2-1+2+1-1+1-4+1+1+1+1-1+1-1+1-4-3+4-1+3+1-3+3-2+2</f>
        <v>26</v>
      </c>
      <c r="H5" s="24">
        <f>0+19+1-1+1-2+2+1-1+1-1+1-3+3-1+1</f>
        <v>21</v>
      </c>
      <c r="I5" s="24">
        <f>0+8-1+1-1+1-1-1+1+1-2+2-1-1+1+1-2+2</f>
        <v>8</v>
      </c>
      <c r="J5" s="24">
        <f>0+10-1+1-1+1-1+1</f>
        <v>10</v>
      </c>
      <c r="K5" s="24">
        <f>28-1+1-1+1-4-1+4+1-1-1+1+1-1+1-1-1+1+1+1</f>
        <v>29</v>
      </c>
      <c r="L5" s="24">
        <f>35+1-1+1-4+1-12+12+4-2-1+1+2-4+4-1-1+1+1-6-1-2-1-2+2+1+6+1+2-1+1-1-3+1+2-3-5+3-2+3+5-1-1-6+2-2-1-1-2+6-1+1+1-2+2+1+2+1-3-2+1+2-3-2+2+3+3+2-1-1-1+1+1-1-2+1+2+1</f>
        <v>39</v>
      </c>
      <c r="M5" s="24">
        <f>0+8-1-2+1-1+1+1+1+1-2-1-2-1+2+2+2+2+1+1+2-1+8-1-12+12+1-1-9-1+2+9+1-3-3-1-1+1+3+1-1-7+7+1+1-2-1-2-2+2+1+2+2+10-1-1-1+1+1-1+1-6-2+1-1-2+6+2-1+1+3-5-2-6-2-2-1+2+5-2+2+1-4-10-2+2-2-5+1+2-2+4+2-2+10+2+2+7+2+4+2+2+2-6-1+6-6-2+2-1+1+2+2-1-1-26+6+1+1+1+16+6+1-2-15+4+4+15-2+2-8-1-1+8-1-6-10+1+1-2-1-3+10+6+3+2-4-1-1+4-1-1+1+1+1-3+1-2+3+2-2-2-4-4+1+2+4-30+1+30+4-3-1-3-2-4+3+1+3-1-2-1+2+1+4-1-1+1+2-2-1+1+1-1-4-1+2+1-2+1+1+4-1-1+2+1-1-8+1+1-4-3-3+4+8+1+3-2+3-2+2+1-1-1+2+1-1-12+1+1+2+1-4-1-16+12-1-1-1-2-1+1+4+1+16-4+1+2+1-2-2-2-2-8-1+1+4-1-1-1-1+8+2+2+2+2-1-8-5-1+1+1+1+1-12+1+1-2+1+5+8-4+12+2-1-1-2+4-1-1-4-3+2+1+1-8+1+3+4-1-1-2+8+1+1+2</f>
        <v>47</v>
      </c>
      <c r="N5" s="24">
        <f>53-1-2+3-4+2+1-1-12+3-1+12+1+4-2-5+1-2-2+6+2-1-1-2-1+2+1-3+2+1-2+3+1+2-2-3+2-4+1+3+2-1+4+1-6-2+6-2+2-3+2-13-1-7+3-2+1+1-4-8+7+13-2-2-1-3+4+8-1-1-1-1+1+3+2+2-1+1-1-3-1-1-13+1-1+1+1+1+13+1+1+3+1+1-1-3-2-1-1+1-20+1-3-4+1+2+3+20+1-1+4+3-4-4+1-9+4+4-1-1-1+9+1-1+2+1+1+1</f>
        <v>63</v>
      </c>
      <c r="O5" s="24">
        <f>0+1+1+1+3+3+2-1-1-1+7-1-1-6+1+1+2+1+6+1-8+8-1-1-1+1+1-4-1+4+1-1+1+1-2+2-4-2+4+2-3-2-2-1-1+2-4-1-1-2+1-2+2+1-1+2+2+1-4+4+4-3-5+1-1-1+1+1-3-1+5+3+1+1+1-3-1-5+6+1+5+1-1-1+1+1-1-1+1-1-8-1-7+1+1-2+7+8+2-1+1-3+3-2+2+1-4-1+4-1+1-2+1-1-4+2+4+1-1-1-1-2-1+2+1+1+1+1-2-1+2+1-2-1-1+2+1-1-2+1-2+2+2-1-1-1-5-1-2+1+1+1+1+1-4-1-6+2+5-1-1+1+4+6-6-1-1-1+1+1-1-6+6+1-1+1+1+1-1+6+1-1-2+1-10-2+1+2+1+10+2-1-3-1-3+1+1+3+1-6+3-1-1-2+6+1+1+1+2</f>
        <v>21</v>
      </c>
      <c r="P5" s="24">
        <f>0+21+1-1+3-1+1+3-1+1-10-2+10+1-2+2+2-2+2-1+1-2-1+1+2-2-1-1+1+1-1+1-2-2+2-1+2-1+1-2-1-1+1+1+2+1-7+1+3+1-5+5+1+5-1+1+2-6-2-1+6+1-1+1-2-2-1+2+1+2-1+1-1-4+4+1-2+2-1+1-2+2-1-1-2-5+1+1-2+5+2-5+2-1-1-1-1-1-1+2+5-7-1+1-1+1+1+1+1+7+1-2+1-2-1+2+2+1-4+4</f>
        <v>31</v>
      </c>
      <c r="Q5" s="24">
        <f>0+17-1+1-1+1-1+1-1-1-1+1+1+1-1+1-2-2-1+2+2+2+1-4+1-5+1+5-1+1-1+1-2+2-1-1-1+1+1+1-4-1+4+1-1-1+1-2+1-3+1+2+3-1-3+1+3-2-3-1+3+2+1+3-7-2+7+2</f>
        <v>21</v>
      </c>
      <c r="R5" s="24">
        <f>0+2+1-2+2-3+1+1+1+1-2-1+1+1-2+2-1-1-1+1</f>
        <v>1</v>
      </c>
      <c r="S5" s="24">
        <f>0+8-1+1-3-2+2-1+1+1-1-1+1-1+1-1+1-3+1+3-3-1</f>
        <v>2</v>
      </c>
      <c r="T5" s="26">
        <f t="shared" ref="T5:T29" si="1">SUM(B5:S5)</f>
        <v>414</v>
      </c>
      <c r="U5" s="12"/>
      <c r="V5" s="12"/>
      <c r="W5" s="12"/>
      <c r="X5" s="12"/>
      <c r="Y5" s="12"/>
      <c r="Z5" s="12"/>
    </row>
    <row r="6" ht="24.0" customHeight="1">
      <c r="A6" s="23" t="s">
        <v>15</v>
      </c>
      <c r="B6" s="24">
        <f>0+20-1+1-1+4-2+2+2-1-1-1+1+1-1-2+1+2+1-1-1+1-1+1</f>
        <v>24</v>
      </c>
      <c r="C6" s="24">
        <f>0+19+1-1+1-1+1-3+3+1-1-2+1+1+2-1+1-1+1-2+2+2-1-1-11+1-1+16+1+28-30+30-3-3+3-1+1-4-1-1+4+1+1-2-1-1-1-1+1+1+1-1+1+1-5+5-2-3+3+2</f>
        <v>51</v>
      </c>
      <c r="D6" s="24">
        <f>0+22+1-1+1-1+5+1-6-3-2+3+6+2+1-1-1+1+3+1+1-5-1-2+2+5+1-2+2-1-1+1-2+11-3+1-1+3+2-4-1+1+4-1-3-6+3+5-6+32-42+42+1-1+1-1-1-1+1+1+1-1+1-4+4-1-1+1-3-1+1+1+3+1-2+1+2-2-6+6-8+8-1-1+1+1-2-2+2+2-2+2</f>
        <v>68</v>
      </c>
      <c r="E6" s="24">
        <f>0+33-1+1+1+5-4+4+1-2-1+1+2-3+3+1-1+1+1-1-1-1+1-1+1-3+8+3+12-29+29-1+1-1-1+1-1-1+1+1-1-1+1+1+1+1-3-2+2-6-1-1+6-1+1+1-3+3-2-6+2+1+1</f>
        <v>53</v>
      </c>
      <c r="F6" s="24">
        <f>15+1-1+5+1-2+2-1+1-1+1-1+1-1-1+1+1+1-2+2+3+8-19+19-1-1+1-1+1-1-2+1+1-2-1+2+1+2+1+3-1-2+2-3+3-2+2-1+1</f>
        <v>36</v>
      </c>
      <c r="G6" s="24">
        <f>0+17-3+3+1-1+1+11+4-5+5-1+1-1+1-1+1-3+3</f>
        <v>33</v>
      </c>
      <c r="H6" s="24">
        <f>0+11-1+1+2-1+1-1-1+1+1-3+3-3+3</f>
        <v>13</v>
      </c>
      <c r="I6" s="24">
        <f>0+8-1+1+1-1</f>
        <v>8</v>
      </c>
      <c r="J6" s="24">
        <f>0+10-1+1-2-1-1+1</f>
        <v>7</v>
      </c>
      <c r="K6" s="24">
        <f>0+11-1+1+4-1+1-4+4-15+15-1+1-1+1</f>
        <v>15</v>
      </c>
      <c r="L6" s="24">
        <f>0+4-4+2+4+40-2-3-1-1+3+2+1+1-1+1-2-1-1-1-5-1+2-12+1+1+1-3+5-1+1+3-10+1+10+10-1+1-40-1+40-12+1+12-4-1-1+4+1+1-1+1-3-1+1+3-1+1-3-1-5+5-1-1-1+1+1-3+1+3-1-2+1+2</f>
        <v>40</v>
      </c>
      <c r="M6" s="24">
        <f>0+4+1-2-1-1-1+7+1+2+1+2+3-2+42-3+2+3-3-1+3-4+1-1+1-1-5-1+4+1+1+5+1-2-6-1+6-2+1+2+2+2-3+3-2-1-1-2-1+1+2-11-1+1+11-2-2+1+1+2+2-5+1-26-5+5-10-10+2+10+10-1+43+6-2-2-70-1+70+1-4-1+4+1-2+2-1-2+2-1-1-2+1+1-1-1-2-1+2+1-1+1+1-2-2+1+1-1+2-3+1-4-1+4+1-1-1+2+1+1-2+2-6-2-13+6+2+13-4-3+4-12-41+3+12+41-2-2-3+2+3+2</f>
        <v>70</v>
      </c>
      <c r="N6" s="24">
        <f>14-3-3-1+3+3+1+3+1-2-1-1+2+1+1-1-2-1+1-2-1+1+2+1+2-1-8+8-1-1-2-1+1+1-3+1+1-1-2+2+1-10-1+3+10+1-10-15+1+15+10+44+1+7+5+2-38+2+38-4+4-1-2-1+2+1+1-1-1+1-2-1+1-1-2-2+2+1+1-1+1-1-2-1-1+2+2+1+2+1+1+2-6+1+1-1+6-2+1-4+4-2+2-1-1+1-1-9-2-12-1+1+9+2+1+12-1-1+1-3-6+1+3-20-41-2+6+20-2+41+2-4+2-1+4+1-1</f>
        <v>78</v>
      </c>
      <c r="O6" s="27">
        <f>20-1+1-2+1+2</f>
        <v>21</v>
      </c>
      <c r="P6" s="24">
        <f>0+18+1-1+3+1+15-1+1-1+1+1-1-1-1+1-1+1-6-1+6+1+5-1+1+1-1+1+1-5-5+5+5+8-14-14+14-3-1+3+1+1-1-1-3+1-1+3+1-1+1-2-4-2+2-1+4+1-1-3+3-2+1-2-1+2+2+1-2+2</f>
        <v>35</v>
      </c>
      <c r="Q6" s="24">
        <f>0+8-1+1-1+1-1+1-2+2-5+5-1+1-1+1-3+3-2-1-4-1-1+3+4+1+1</f>
        <v>8</v>
      </c>
      <c r="R6" s="28">
        <f>0+1+1-2+1-1+1-1+1+1-1</f>
        <v>1</v>
      </c>
      <c r="S6" s="24">
        <f>0+8-1-2-1+1-1+1-4+4</f>
        <v>5</v>
      </c>
      <c r="T6" s="26">
        <f t="shared" si="1"/>
        <v>566</v>
      </c>
      <c r="U6" s="12"/>
      <c r="V6" s="12"/>
      <c r="W6" s="12"/>
      <c r="X6" s="12"/>
      <c r="Y6" s="12"/>
      <c r="Z6" s="12"/>
    </row>
    <row r="7" ht="24.0" customHeight="1">
      <c r="A7" s="23" t="s">
        <v>16</v>
      </c>
      <c r="B7" s="24">
        <f>0+11-1+1-1+1-1</f>
        <v>10</v>
      </c>
      <c r="C7" s="24">
        <f>0+12+1-1+1+2-1+1-3+3-2+1+1+1-1+1-1+1+1-1-1+1-5+5-1</f>
        <v>15</v>
      </c>
      <c r="D7" s="24">
        <f>0+19-1+1-1+1+1-1+1-1+1-3-10+10+6-3+3-1+1-1+1-2-2+2-2-2+2-1</f>
        <v>18</v>
      </c>
      <c r="E7" s="24">
        <f>0+25+1-1+1-1+1-1-1-24+24+1-5+5+1-1+1-1+1+1-3+3-2+2-3+3-1</f>
        <v>26</v>
      </c>
      <c r="F7" s="24">
        <f>0+18+1+1-1-1+1+1-20+20-3+3-1-1+1-2+2-2+2-2+2-2+2-1</f>
        <v>18</v>
      </c>
      <c r="G7" s="24">
        <f>0+27-1+1-1-4-1+4+1+1-2-1+1+1-3+3-1</f>
        <v>25</v>
      </c>
      <c r="H7" s="24">
        <f>0+21-1+1-1</f>
        <v>20</v>
      </c>
      <c r="I7" s="24">
        <f>0+9-2+1</f>
        <v>8</v>
      </c>
      <c r="J7" s="24">
        <f>0+8+1</f>
        <v>9</v>
      </c>
      <c r="K7" s="24">
        <f>0+26-1+1-1-1+1-1+1+1-1</f>
        <v>25</v>
      </c>
      <c r="L7" s="24">
        <f>0+38-1+1-2+2+1+4-2-1+2+1-1+1-2+2-1+1-5-3+4+1+3-3+3-9+9-1+1-1-2+1-3+2+3-1-1</f>
        <v>41</v>
      </c>
      <c r="M7" s="24">
        <f>0+47-1+1-1-3+1+3+1-1+1-1-1-1+1+1+1-1+1-3+3-2+2-1+3-3+1-1-1+1+3+1-4+4-2-8+8-1+1-1-1+1-2+2-1-3-2+1+2-2+2-1-2+1-12+2+12-1-3+3+1-1</f>
        <v>44</v>
      </c>
      <c r="N7" s="24">
        <f>0+31-1+1+2+1-2+2+1-3-3+3+2-2-1+2-1+1+1-1-1+1+1-2+2-2+2-3-5-2-4+2+5+3+4+5-7+1+1-1+1-8-6+2+6+8-1+1-2+2-5-1+1-1-2+1+2-12-19+11-2+20-2+2+2-1</f>
        <v>30</v>
      </c>
      <c r="O7" s="24">
        <f>0+19-1-2-3+1+2+3-1-1+4-1+1-3+1+3-1+1-1+1-4-2-2+2+4+2-10-1+1+10+1-9-1+1+10-1+1-2+2-1+1-1+1-1-1+1+1-1+1-4-10+4+10-1+1-1</f>
        <v>23</v>
      </c>
      <c r="P7" s="24">
        <f>0+14+1-1+1-1+1+1-1+1-1+1-2+1+14+2+1+2-1-13+1-2-1-1+2+1+1-3+3-1+1-2-2+2+2-1+1-1</f>
        <v>20</v>
      </c>
      <c r="Q7" s="24">
        <f>0+14+1-1-1+1+1-1-1+1+1-12+5+4-5+5-1+1-2+2-1</f>
        <v>11</v>
      </c>
      <c r="R7" s="24">
        <f>0+12-1-1+1+1-1+1-1</f>
        <v>11</v>
      </c>
      <c r="S7" s="24">
        <f>0+14+4+6+1-12+1+60+40-1+1-1+1</f>
        <v>114</v>
      </c>
      <c r="T7" s="26">
        <f t="shared" si="1"/>
        <v>468</v>
      </c>
      <c r="U7" s="12"/>
      <c r="V7" s="12"/>
      <c r="W7" s="12"/>
      <c r="X7" s="12"/>
      <c r="Y7" s="12"/>
      <c r="Z7" s="12"/>
    </row>
    <row r="8" ht="24.0" customHeight="1">
      <c r="A8" s="23" t="s">
        <v>17</v>
      </c>
      <c r="B8" s="24">
        <f>0+11-1+1-1+1-1+1-1</f>
        <v>10</v>
      </c>
      <c r="C8" s="24">
        <f>0+25-1+1-2+2-1+1+1-1+1-1-1+1+1-1+1+1-2-1+1+1-1+1-1+1-1+2</f>
        <v>27</v>
      </c>
      <c r="D8" s="24">
        <f>0+22-1+1-1-1+1+1-4+4-1-1+1-1+1-6+1+1+6+1+1-2+2-1-2+1-3+3-2+4-1+1-1+1</f>
        <v>25</v>
      </c>
      <c r="E8" s="24">
        <f>0+26-1+1-1+1+1-2+1+2-1+1-1+1-1+1-1+1-1+1-1+1+1-2+2-1+1-7+7-1+1-2-1+1-3</f>
        <v>24</v>
      </c>
      <c r="F8" s="29">
        <f>0+24+1+1-5+1-1+1+5-1-1+1+1+2-1+1-8-2+2-3+3-1+1-1+1</f>
        <v>21</v>
      </c>
      <c r="G8" s="24">
        <f>0+19-2+2-1-1+1-3+3-2+2</f>
        <v>18</v>
      </c>
      <c r="H8" s="24">
        <f>0+9+10</f>
        <v>19</v>
      </c>
      <c r="I8" s="24">
        <f>0+10-2</f>
        <v>8</v>
      </c>
      <c r="J8" s="24">
        <f>0+7-1+1-1+1+1</f>
        <v>8</v>
      </c>
      <c r="K8" s="24">
        <f>0+21-1-1+1+1</f>
        <v>21</v>
      </c>
      <c r="L8" s="24">
        <f>0+31+1+1+1-1-1+1+1-1-3-4+3+7-1+1-1+1-3+3-1-1+1+1-1+1-4+4-1+1</f>
        <v>36</v>
      </c>
      <c r="M8" s="24">
        <f>1+41-2-2+6+2-1-1+1+1-1+1-1+1-2+2-1-3+1+3-1+1-2+1+2-2-1+2-4+1+4-3+3-4-2+2+4-1</f>
        <v>46</v>
      </c>
      <c r="N8" s="24">
        <f>0+28+1+6+6-1-1-2+1+2-1-1-1+1+1+1+1-1-4+1+4-2-3-8+2-1+1+3+6+1-8-2+2+2+8-2+2-1+1-2+2-1-1+1-1+1-2+1+2-3+3-6+6-1+1</f>
        <v>42</v>
      </c>
      <c r="O8" s="24">
        <f>0+37+3+2-2+6+2-1-1-1-1+1+1+1-3-1+1+3+1-1+1-1-2-2+1+2+2-2-1-5-4+1+5-1+1+1-1-1+1-1+1-1+1-4+4-1-1+1+1-2</f>
        <v>40</v>
      </c>
      <c r="P8" s="24">
        <f>0+17+3+3-1-1+1-1+1-1-2-1+1+1+4-2+2-1+1-1+1-1-1+1+1-2+2</f>
        <v>24</v>
      </c>
      <c r="Q8" s="24">
        <f>0+13-1+1-1+1-1-1-2+1+1+2-3+2-1+1-1-3+1+3</f>
        <v>12</v>
      </c>
      <c r="R8" s="24">
        <f>0+10-1+1-1-1-1+1+1+1-1+1-1+1</f>
        <v>10</v>
      </c>
      <c r="S8" s="24">
        <f>0+8-1-3+3</f>
        <v>7</v>
      </c>
      <c r="T8" s="26">
        <f t="shared" si="1"/>
        <v>398</v>
      </c>
      <c r="U8" s="12"/>
      <c r="V8" s="12"/>
      <c r="W8" s="12"/>
      <c r="X8" s="12"/>
      <c r="Y8" s="12"/>
      <c r="Z8" s="12"/>
    </row>
    <row r="9" ht="24.0" customHeight="1">
      <c r="A9" s="23" t="s">
        <v>18</v>
      </c>
      <c r="B9" s="24">
        <f>0+8-1+1-2+2-1+1-2+2-2+2</f>
        <v>8</v>
      </c>
      <c r="C9" s="24">
        <f>0+33-2+2-1+1+1-1+1-1-5+5-1-2+1+1-5+1+2+1+5-1+1</f>
        <v>36</v>
      </c>
      <c r="D9" s="24">
        <f>26+2-1+1-1-1-1+1-1+1+1-1+1-8+1-3+8-1+3+1-2+2-3</f>
        <v>25</v>
      </c>
      <c r="E9" s="24">
        <f>0+25-2+5+2-1+1-1-1+1+1+1-1-1+1+1-1+1-1+1-3+3-1+1</f>
        <v>31</v>
      </c>
      <c r="F9" s="24">
        <f>0+16+5-1+1+1-1+1-1-1-1+1+1+1+1-2+2-1-1+1-2-2+2+2+2-1+1-1+1-1</f>
        <v>23</v>
      </c>
      <c r="G9" s="24">
        <f>0+10-4+7-1+1</f>
        <v>13</v>
      </c>
      <c r="H9" s="24">
        <f>0+28-1+1-1+1-9+3+2-1+1-2+2</f>
        <v>24</v>
      </c>
      <c r="I9" s="24">
        <f>0+10-1+1</f>
        <v>10</v>
      </c>
      <c r="J9" s="24">
        <f>0+9</f>
        <v>9</v>
      </c>
      <c r="K9" s="24">
        <f>0+10+5-1</f>
        <v>14</v>
      </c>
      <c r="L9" s="24">
        <f>0+33-1+1+5+1-9+4-1-1-4-1+1+1+4+1-1+1+1-1+1</f>
        <v>35</v>
      </c>
      <c r="M9" s="25">
        <f>0+54-1+1+6-1+1+9-3-1-2+2+3+1-1-1+1+1+1-1-1+1+1-13+4-1-9+9-1+1-4-2+2+4-1-4-3+1+4+3-2-1-1+2+1-1-1+1+1+1+2-3-1+1+1+3-1-1+1+1-1+1-1</f>
        <v>62</v>
      </c>
      <c r="N9" s="24">
        <f>0+25-10+1-1+10+5-2+1+2+4-1-2+1+2-2+2-1+1-4+5-10+10-5-1+1+5-4-3-5+4+3+5-1+1-1-1+1+1-1-2-2+1+2+2-1-1+1+1+1-4-1+4+1-1</f>
        <v>36</v>
      </c>
      <c r="O9" s="24">
        <f>0+34-1+1-1+5+1-1+1-2-2+2+2-2-1-3+6-3+3-4-1+4+1-4-1+4+1-1+1-3+1-2+3+2-1-1-1+1+1+1-1+1-1+1-1+1</f>
        <v>40</v>
      </c>
      <c r="P9" s="24">
        <f>0+23+1-2-6+1+2-1-1+1+1+1+5-1+1-2-2+2+2-4+4+3-1+1</f>
        <v>28</v>
      </c>
      <c r="Q9" s="24">
        <f>0+29+2-1+1+5-6-1+1-3-1+1</f>
        <v>27</v>
      </c>
      <c r="R9" s="24">
        <f>18-1-1+1-2+2</f>
        <v>17</v>
      </c>
      <c r="S9" s="24">
        <f>0+19-2+2+1-1</f>
        <v>19</v>
      </c>
      <c r="T9" s="26">
        <f t="shared" si="1"/>
        <v>457</v>
      </c>
      <c r="U9" s="12"/>
      <c r="V9" s="12"/>
      <c r="W9" s="12"/>
      <c r="X9" s="12"/>
      <c r="Y9" s="12"/>
      <c r="Z9" s="12"/>
    </row>
    <row r="10" ht="24.0" customHeight="1">
      <c r="A10" s="23" t="s">
        <v>19</v>
      </c>
      <c r="B10" s="24">
        <f>0+12+3-1+1-2+3+2-1+1-1</f>
        <v>17</v>
      </c>
      <c r="C10" s="24">
        <f>0+12-4+3+4-2-9+9-2+4+2-1-1+1+1-1+1-1+1-4+4-2-1+2+1-2+2-1+1-1+1-1-1+1+1-2+2-1+1-1+1-3+1</f>
        <v>15</v>
      </c>
      <c r="D10" s="24">
        <f>0+36-1+3+5+1-1+1-1-3+1-1+1-2-16+16+6-3+3-1+1-2-1+1-1-8+1+8-1+1-1-2</f>
        <v>40</v>
      </c>
      <c r="E10" s="24">
        <f>0+40-1+3+5+1-1+1-3-1+1-1+1-5+5-1+1+3-1+1-1-2-1-1+1+1+1-2+2-1+1-2+2+1-1+1</f>
        <v>47</v>
      </c>
      <c r="F10" s="24">
        <f>0+27+3+5-1-1-1+1+1+1-3+3-1+1-1+1-2+2-1-1+1</f>
        <v>34</v>
      </c>
      <c r="G10" s="24">
        <f>0+21+3+1-1+1-2-1+2-2+2-1-1+1</f>
        <v>23</v>
      </c>
      <c r="H10" s="24">
        <f>0+19+1-1+1-1+1+1</f>
        <v>21</v>
      </c>
      <c r="I10" s="24">
        <f>0+9-1+1</f>
        <v>9</v>
      </c>
      <c r="J10" s="24">
        <f>0+5</f>
        <v>5</v>
      </c>
      <c r="K10" s="24">
        <f>0+15+3-1+1-1-1+1+1-1+1</f>
        <v>18</v>
      </c>
      <c r="L10" s="24">
        <f>0+31-1+3+1-2-1+1-1-5+5-1+1+3-1-2+1+2-5-4+4-1-1+1+2-1+1-1-2+1+2-1+1</f>
        <v>30</v>
      </c>
      <c r="M10" s="24">
        <f>0+35-2+3+2+6-16+16-3-1-1+1-1-1-1+1+1-1+2+1-22+22-2+2-2+2+3+1-2+1-2+2-8+8-1+1-4+4-1-2+1+2+2-1-2-2+1+2+2-1-1+1-3-2+3+2-1+1-1+1+1-1-1+1-1-1+1-2+1</f>
        <v>43</v>
      </c>
      <c r="N10" s="24">
        <f>0+55+3-3+3-1+3+5-2+1+2-1-1+1-1+1-1-1-4+1+1+4-1-1-1-3+1-41-1+41+1+1+1+3-2-1+2+1+3+2-1+2+1-1-2+2+2-4-4+4-2-2+2+2-1+1+1-1+2+1-1-2+1-1+2+1+1+1-1-3-1+3+1-1+1-1+1</f>
        <v>73</v>
      </c>
      <c r="O10" s="24">
        <f>0+18-2+3+5-1-1+1-2+2-16+16+1+3-1+2-1-1-1+1-2+1+2-2+2-1-2-1+2+1-1+1+1-1+3</f>
        <v>29</v>
      </c>
      <c r="P10" s="24">
        <f>0+20+3+6-1+1-6+6-10-1-1+1-1+1-1+1</f>
        <v>18</v>
      </c>
      <c r="Q10" s="24">
        <f>0+11-1+1-2+2-1+1-1+1+2</f>
        <v>13</v>
      </c>
      <c r="R10" s="24">
        <f>0+8+1</f>
        <v>9</v>
      </c>
      <c r="S10" s="24">
        <f>0+7-1+1</f>
        <v>7</v>
      </c>
      <c r="T10" s="26">
        <f t="shared" si="1"/>
        <v>451</v>
      </c>
      <c r="U10" s="12"/>
      <c r="V10" s="12"/>
      <c r="W10" s="12"/>
      <c r="X10" s="12"/>
      <c r="Y10" s="12"/>
      <c r="Z10" s="12"/>
    </row>
    <row r="11" ht="24.0" customHeight="1">
      <c r="A11" s="23" t="s">
        <v>20</v>
      </c>
      <c r="B11" s="24">
        <f>0+12-1+1-1+1-3+3+1</f>
        <v>13</v>
      </c>
      <c r="C11" s="24">
        <f>0+16-1-2+1+2-1+1-1+1-1+1-1+1-1-1+1+1-1+1-4+4+1-3+3-4-1+4-2-4-1+2+4-3+1</f>
        <v>13</v>
      </c>
      <c r="D11" s="24">
        <f>0+22-4+4-1+1-1+1-3+4-1+1-8+2+8-1-1+1-1+1-1+1-8-2+8+2-1-1+1+1-9+9-2+2-4-3</f>
        <v>17</v>
      </c>
      <c r="E11" s="24">
        <f>0+28-1-1+1-1+1-1-2+2-1+1-2+2+1-2+2-1+1-1-1+1+1-6+6-1-1-1+1-1+1+1+1-2-1+2+1-3+3-3</f>
        <v>24</v>
      </c>
      <c r="F11" s="24">
        <f>0+12+1-2+2-1+1-4-1-1-1+4+1+1-2-1+2+1-2-1+2+1-1+1-2+1+2-1+1-1-1+1-1+1+1-1-2+1+2-1+1-1+1-4+1+1</f>
        <v>11</v>
      </c>
      <c r="G11" s="24">
        <f>0+18-4+4-6-2-1+1-1</f>
        <v>9</v>
      </c>
      <c r="H11" s="24">
        <f>0+1-1+1-1+7-1</f>
        <v>6</v>
      </c>
      <c r="I11" s="24">
        <f>0+8</f>
        <v>8</v>
      </c>
      <c r="J11" s="24">
        <f>0+7+1-2+1</f>
        <v>7</v>
      </c>
      <c r="K11" s="24">
        <f>0+17-1+1-1</f>
        <v>16</v>
      </c>
      <c r="L11" s="24">
        <f>0+24+1-6+1+9-1+1-1-1+2+1+1-1+1-1+1-1-1-3+3+1-1-1+1-1+1+1-2-4+2-2+4+2-1+1-1+1</f>
        <v>30</v>
      </c>
      <c r="M11" s="24">
        <f>0+13-1+8+5+1-3+4+11+1-1-2-3-1+1+2+1+3-1-1+1+1-1+1-1+1-2+1-4+4-1+1-2+2-1-1-3+1+1-1+1+3-4+4-1-10+1-1+10-1+1+1+1-2-3+2-1+3+1+1-6-1-1+6+1+1-1-5-1-1-1+1+5+1+1-10+1</f>
        <v>30</v>
      </c>
      <c r="N11" s="24">
        <f>0+15+3+2-6+2+16-1+1-3+3+1-1-4+1-1+4-1+1+1-1-1-1+1-1-1+1-2+2-1-1+1+1+1-3+3-2-10+10+2-1+1-2-1-1+2+1+1-11-5+1+11-3+5+3-5-5+5+5-1+1-6-2-1+6+1+2-1-3+1-5-2+3+5-2+2-1</f>
        <v>29</v>
      </c>
      <c r="O11" s="24">
        <f>0+19-6+2+6-2+5-1-2-1+1+2-2-1+1+1+2-2+2+1-2+2-1+1-1-1-1-8+1-1+8-1+1-4-4+4+4-4-2-2+4+2+2-3-5-4-1+1-1+3+5+4+1-2+1</f>
        <v>21</v>
      </c>
      <c r="P11" s="24">
        <f>0+7-1+2-1+1-1+1-1+1+3-1+1+1-4-1+4+1-3+3-4+4-1-1+1+1-3</f>
        <v>9</v>
      </c>
      <c r="Q11" s="24">
        <f>0+16-1+1-2-1+1-1-1+1-1+1-3+3-4</f>
        <v>9</v>
      </c>
      <c r="R11" s="24">
        <f>0+7+1-1-2+2+1+1-1+1</f>
        <v>9</v>
      </c>
      <c r="S11" s="24">
        <f>0+7-1+1-1+1</f>
        <v>7</v>
      </c>
      <c r="T11" s="26">
        <f t="shared" si="1"/>
        <v>268</v>
      </c>
      <c r="U11" s="12"/>
      <c r="V11" s="12"/>
      <c r="W11" s="12"/>
      <c r="X11" s="12"/>
      <c r="Y11" s="12"/>
      <c r="Z11" s="12"/>
    </row>
    <row r="12" ht="24.0" customHeight="1">
      <c r="A12" s="23" t="s">
        <v>21</v>
      </c>
      <c r="B12" s="30">
        <f>11-1-2-2+2-1-1+1+1-1+1</f>
        <v>8</v>
      </c>
      <c r="C12" s="30">
        <f>24+1+1-1-4+4-10+10-1-1+1+1</f>
        <v>25</v>
      </c>
      <c r="D12" s="30">
        <f>24+1+1+7-1+1+3-3-1-2+1+2-3-1+3+1-1+1-33+33-1+1-4+4-1</f>
        <v>32</v>
      </c>
      <c r="E12" s="30">
        <f>25+1+1+1+1-4-2+2-1-2+1+2-3-1+3-24+26-1+1-12-1+12+1-1</f>
        <v>25</v>
      </c>
      <c r="F12" s="30">
        <f>17+1-1+1+1-2+2-1-4+4+1-1</f>
        <v>18</v>
      </c>
      <c r="G12" s="30">
        <f>18+1-1+1-2-2+2-1</f>
        <v>16</v>
      </c>
      <c r="H12" s="30">
        <f>15-1</f>
        <v>14</v>
      </c>
      <c r="I12" s="30">
        <f>4-1+1</f>
        <v>4</v>
      </c>
      <c r="J12" s="31">
        <f>7</f>
        <v>7</v>
      </c>
      <c r="K12" s="28">
        <f>1+16-2+1+2-1+1+1+1-6</f>
        <v>14</v>
      </c>
      <c r="L12" s="28">
        <f>11+36+1-9+11-5+5-1+1</f>
        <v>50</v>
      </c>
      <c r="M12" s="28">
        <f>31+14+5-1+1-1+1-26+1-1+1+1-1-1+1+1-2+4-25+25</f>
        <v>28</v>
      </c>
      <c r="N12" s="28">
        <f>27+33+1+2-1-1+1-1+1+1-1+2+2-1+1-34-1-2+1+2-2+2-3+3+1-1+1-28+28</f>
        <v>33</v>
      </c>
      <c r="O12" s="28">
        <f>17+33-2+2-1+1-2+1+1+1-18+17-2-1+2-1+1+1</f>
        <v>50</v>
      </c>
      <c r="P12" s="28">
        <f>8+14+8-1+1</f>
        <v>30</v>
      </c>
      <c r="Q12" s="28">
        <f>2+19-6+2-1+1-1+1</f>
        <v>17</v>
      </c>
      <c r="R12" s="28">
        <f>0+5-1+1+5</f>
        <v>10</v>
      </c>
      <c r="S12" s="28">
        <f>0+11+1</f>
        <v>12</v>
      </c>
      <c r="T12" s="26">
        <f t="shared" si="1"/>
        <v>393</v>
      </c>
      <c r="U12" s="12"/>
      <c r="V12" s="12"/>
      <c r="W12" s="12"/>
      <c r="X12" s="12"/>
      <c r="Y12" s="12"/>
      <c r="Z12" s="12"/>
    </row>
    <row r="13" ht="24.0" customHeight="1">
      <c r="A13" s="23" t="s">
        <v>22</v>
      </c>
      <c r="B13" s="32">
        <f>0+8-1+1-1-1-1+1-2+2-2+2-1-1+1+1-1</f>
        <v>5</v>
      </c>
      <c r="C13" s="32">
        <f>0+24-4+1-2-2+1+1-1+1+2+4+3-1-1-1+1+1-2+2-1+1-2+2-6+1+5-1-1-1+1+1+1+1-1+1</f>
        <v>28</v>
      </c>
      <c r="D13" s="32">
        <f>0+12+3+2-1-4-2-3-1+4+1+2+3+1-2-1-2+1+2+2-1+1+6-1+1+1+1-3-1+3-1+1-1+1-4+4-3-1+3+1-1+1-1+1-2-1-1</f>
        <v>20</v>
      </c>
      <c r="E13" s="32">
        <f>0+18-2+1+2-1+1-3+3-1+1+2+3-1-1+1+1-3+2+3-1+1-3-1+3+1-3-1+1+3-2+2-1+1+1-2-3-1</f>
        <v>21</v>
      </c>
      <c r="F13" s="32">
        <f>0+10+1+4-1+1-5+5-1+1-1-1+1+1-1+1-2+2-3+2+2-1-1+1+1+1-1</f>
        <v>16</v>
      </c>
      <c r="G13" s="32">
        <f>0+7+2-1+5+1-1+1-1+1-5-1+1-1+1+1+1-1</f>
        <v>10</v>
      </c>
      <c r="H13" s="32">
        <f>0+9+1-2+2-1+1</f>
        <v>10</v>
      </c>
      <c r="I13" s="32">
        <f>0+8-1+1</f>
        <v>8</v>
      </c>
      <c r="J13" s="32">
        <f>0+9-1-2+2</f>
        <v>8</v>
      </c>
      <c r="K13" s="24">
        <f>0+12-1</f>
        <v>11</v>
      </c>
      <c r="L13" s="24">
        <f>0+28+11-5-1+1</f>
        <v>34</v>
      </c>
      <c r="M13" s="28">
        <f>0+31-1+1+2-4+4+5-1-13+11-1+1-1+1+1-8-1</f>
        <v>27</v>
      </c>
      <c r="N13" s="28">
        <f>0+31-2-1-1-3+2+1+1+3-2-1+1+2-1+1+4-1+1-1+1-1-1+1+1+1-1-1</f>
        <v>34</v>
      </c>
      <c r="O13" s="28">
        <f>0+20-1-1-2+1+1-3+3+2-2+2-1+3-2+2-1+1+1-1-1-2</f>
        <v>19</v>
      </c>
      <c r="P13" s="28">
        <f>0+10-2-1-1-1+2+1+1+1-3+3+2-1+1-3-1+1-1+1-1+1-1</f>
        <v>8</v>
      </c>
      <c r="Q13" s="28">
        <f>0+7+3-1+1+1+1</f>
        <v>12</v>
      </c>
      <c r="R13" s="28">
        <f>0+5</f>
        <v>5</v>
      </c>
      <c r="S13" s="28">
        <f>0+3+8-7</f>
        <v>4</v>
      </c>
      <c r="T13" s="26">
        <f t="shared" si="1"/>
        <v>280</v>
      </c>
      <c r="U13" s="12"/>
      <c r="V13" s="12"/>
      <c r="W13" s="12"/>
      <c r="X13" s="12"/>
      <c r="Y13" s="12"/>
      <c r="Z13" s="12"/>
    </row>
    <row r="14" ht="24.0" customHeight="1">
      <c r="A14" s="23" t="s">
        <v>23</v>
      </c>
      <c r="B14" s="32">
        <f>11+1-1+1-1+1</f>
        <v>12</v>
      </c>
      <c r="C14" s="32">
        <f>0+21-1+1-1+1-1+1</f>
        <v>21</v>
      </c>
      <c r="D14" s="32">
        <f>0+3+1-1+1-1+1-1+1+1</f>
        <v>5</v>
      </c>
      <c r="E14" s="32">
        <f>0+16-1+1-2+2-1+1-1-1+1+1-2+2</f>
        <v>16</v>
      </c>
      <c r="F14" s="32">
        <f>0+4+2+2-3+3-3</f>
        <v>5</v>
      </c>
      <c r="G14" s="32">
        <f>0+7+1-1+1-1+1</f>
        <v>8</v>
      </c>
      <c r="H14" s="32">
        <f>0+4-1+1+1</f>
        <v>5</v>
      </c>
      <c r="I14" s="32">
        <f>0+2</f>
        <v>2</v>
      </c>
      <c r="J14" s="32">
        <f>0+3</f>
        <v>3</v>
      </c>
      <c r="K14" s="28">
        <f>0+12-2+1</f>
        <v>11</v>
      </c>
      <c r="L14" s="28">
        <f>0+15+4-1+1</f>
        <v>19</v>
      </c>
      <c r="M14" s="28">
        <f>0+22-3+3-1-5-1+1+3-2+2-1-1+1+1-3+3-1-1+1+8+1</f>
        <v>27</v>
      </c>
      <c r="N14" s="28">
        <f>0+18-1+1-2-4+4+19-17-1+1-1+1-1+1-1+1+1-2+2+1-1+1-1-1+1</f>
        <v>19</v>
      </c>
      <c r="O14" s="28">
        <f>0+20-1-6+6+1-1+1-1+1-1+1-1+1+1+1</f>
        <v>22</v>
      </c>
      <c r="P14" s="28">
        <f>0+7-1+1+1</f>
        <v>8</v>
      </c>
      <c r="Q14" s="28">
        <f>0+5+1-1+1-1+1</f>
        <v>6</v>
      </c>
      <c r="R14" s="28">
        <f>0+4</f>
        <v>4</v>
      </c>
      <c r="S14" s="28">
        <f>0+5</f>
        <v>5</v>
      </c>
      <c r="T14" s="26">
        <f t="shared" si="1"/>
        <v>198</v>
      </c>
      <c r="U14" s="12"/>
      <c r="V14" s="12"/>
      <c r="W14" s="12"/>
      <c r="X14" s="12"/>
      <c r="Y14" s="12"/>
      <c r="Z14" s="12"/>
    </row>
    <row r="15" ht="24.0" customHeight="1">
      <c r="A15" s="23" t="s">
        <v>24</v>
      </c>
      <c r="B15" s="30">
        <f>10-2+2-1+1-1+1</f>
        <v>10</v>
      </c>
      <c r="C15" s="30">
        <f>23-1-1+5+1+1+1-2-1+2+1-1+1-1-1+1+1+1-3+3+1-2-14+14-1-11+1+11-1-3+1+3-1+1</f>
        <v>29</v>
      </c>
      <c r="D15" s="30">
        <f>21-3+7+3-1+1-3+3-1+1-7+7+1-1-3+3+1-2+2-1-1+1-25+26-6+6-1+1-2-1+2-1+1+1+1-2+2-2+2</f>
        <v>30</v>
      </c>
      <c r="E15" s="30">
        <f>18-1-1+5+1+1-1+1-1+1-1-1-1+1+1-1-5+1-1+5+1+1-3+3+1-14+14-2+2-3+3-3-3+3</f>
        <v>21</v>
      </c>
      <c r="F15" s="30">
        <f>7-1-1+1+1-1-1-1-1-2+1-1+1+1+1+1+2+1+1-1+1-5+5-2+2-1-1+1+1-2+2</f>
        <v>9</v>
      </c>
      <c r="G15" s="30">
        <f>14-1+1-1+1-3+3-1+1-5+2+5-2+2</f>
        <v>16</v>
      </c>
      <c r="H15" s="30">
        <f>14-1+1-1</f>
        <v>13</v>
      </c>
      <c r="I15" s="30">
        <f>4-1+1+5-1+1</f>
        <v>9</v>
      </c>
      <c r="J15" s="31">
        <f>8+4</f>
        <v>12</v>
      </c>
      <c r="K15" s="24">
        <f>0+11+1+1-1+1</f>
        <v>13</v>
      </c>
      <c r="L15" s="24">
        <f>0+34+1-1-5+1-1+1-1+1</f>
        <v>30</v>
      </c>
      <c r="M15" s="28">
        <f>0+30+1-1+1+5+1-1+1+3-1+1-1+1-2+2-1+1-3+3</f>
        <v>40</v>
      </c>
      <c r="N15" s="28">
        <f>0+35+1-1+1-1+1-1+1-1+2+1+1-1+1-1+1-11-1+1+3-1+1</f>
        <v>31</v>
      </c>
      <c r="O15" s="28">
        <f>0+23-1+1-1+1-1+1-1+1+1+1+3-1+1-2-1+1-2+2</f>
        <v>26</v>
      </c>
      <c r="P15" s="28">
        <f>0+26-1+1-4+4-1+1+1-6-1+1-3+3-1+1-1+1</f>
        <v>21</v>
      </c>
      <c r="Q15" s="28">
        <f>0+11-1+1+2</f>
        <v>13</v>
      </c>
      <c r="R15" s="28">
        <f>0+4+5</f>
        <v>9</v>
      </c>
      <c r="S15" s="28">
        <f>0+7+3-3+3</f>
        <v>10</v>
      </c>
      <c r="T15" s="26">
        <f t="shared" si="1"/>
        <v>342</v>
      </c>
      <c r="U15" s="12"/>
      <c r="V15" s="12"/>
      <c r="W15" s="12"/>
      <c r="X15" s="12"/>
      <c r="Y15" s="12"/>
      <c r="Z15" s="12"/>
    </row>
    <row r="16" ht="24.0" customHeight="1">
      <c r="A16" s="23" t="s">
        <v>25</v>
      </c>
      <c r="B16" s="30">
        <f>0+7+5-1-1+1+2-2</f>
        <v>11</v>
      </c>
      <c r="C16" s="30">
        <f>0+31+2+1-1-1+1-11+11-1-1+1</f>
        <v>32</v>
      </c>
      <c r="D16" s="30">
        <f>0+34+3-1-1+1-2+2+1-7-1+7-1+1-1+1</f>
        <v>36</v>
      </c>
      <c r="E16" s="30">
        <f>0+35+3-2+2-1+1+7-2-1+2-6-2-1+6+1</f>
        <v>42</v>
      </c>
      <c r="F16" s="30">
        <f>0+22+1-4-1-4-1+1+4+1-1+1-9-1+1-1+1-2-2+2-1+1</f>
        <v>8</v>
      </c>
      <c r="G16" s="30">
        <f>0+20-2+2-1+1+1-1+1</f>
        <v>21</v>
      </c>
      <c r="H16" s="30">
        <f>10-7</f>
        <v>3</v>
      </c>
      <c r="I16" s="30">
        <f>0+9</f>
        <v>9</v>
      </c>
      <c r="J16" s="30">
        <f>0+8</f>
        <v>8</v>
      </c>
      <c r="K16" s="24">
        <f>0+28+1-5-6+1</f>
        <v>19</v>
      </c>
      <c r="L16" s="24">
        <f>0+38+10-1-9+9-5+5-9-1+9+1</f>
        <v>47</v>
      </c>
      <c r="M16" s="24">
        <f>0+30+3+2+21-1+1-1-2+1+2+1-21+21-1+1-11+11-1+1+1</f>
        <v>58</v>
      </c>
      <c r="N16" s="24">
        <f>0+1+3+1-1+25+1-1+1-1+1-1+1-25-1+1+25-2+2-1-9+1-1+9+1+1-1+1</f>
        <v>31</v>
      </c>
      <c r="O16" s="24">
        <f>0+38+3+4+1-1+10+1-4+4+2-15+10-1+1-3+3+1</f>
        <v>54</v>
      </c>
      <c r="P16" s="24">
        <f>0+17+6</f>
        <v>23</v>
      </c>
      <c r="Q16" s="24">
        <f>0+31+1</f>
        <v>32</v>
      </c>
      <c r="R16" s="24">
        <f>0+12</f>
        <v>12</v>
      </c>
      <c r="S16" s="24">
        <f>0+5</f>
        <v>5</v>
      </c>
      <c r="T16" s="26">
        <f t="shared" si="1"/>
        <v>451</v>
      </c>
      <c r="U16" s="12"/>
      <c r="V16" s="12"/>
      <c r="W16" s="12"/>
      <c r="X16" s="12"/>
      <c r="Y16" s="12"/>
      <c r="Z16" s="12"/>
    </row>
    <row r="17" ht="24.0" customHeight="1">
      <c r="A17" s="23" t="s">
        <v>26</v>
      </c>
      <c r="B17" s="33">
        <f>1+32-1+1-1+1+5-2+2-1+1</f>
        <v>38</v>
      </c>
      <c r="C17" s="33">
        <f>0+40+32+1+4-2+2-2+2-33-4+4-5-1+1-4-5+4+5-1</f>
        <v>38</v>
      </c>
      <c r="D17" s="33">
        <f>0+32-1+1-3-1+3+1-1+1-1+1+1-1-5+1+5-2+2-3-5+3-2-1+2+5+1-2</f>
        <v>31</v>
      </c>
      <c r="E17" s="33">
        <f>38-1+1-2+2-1-3+1+3-1+1</f>
        <v>38</v>
      </c>
      <c r="F17" s="33">
        <f>0+21+3-2+2-2+2</f>
        <v>24</v>
      </c>
      <c r="G17" s="33">
        <f>0+23-2+2+1-1+1-1</f>
        <v>23</v>
      </c>
      <c r="H17" s="33">
        <f>0+15-1+1</f>
        <v>15</v>
      </c>
      <c r="I17" s="30">
        <f>0</f>
        <v>0</v>
      </c>
      <c r="J17" s="33">
        <f>0+9</f>
        <v>9</v>
      </c>
      <c r="K17" s="28">
        <f>0+20+1</f>
        <v>21</v>
      </c>
      <c r="L17" s="28">
        <f>0+46+1-1+1-2+2-1+1-1+1</f>
        <v>47</v>
      </c>
      <c r="M17" s="28">
        <f>0+31+2-2+2-2+2-1+1-1-1+1-1+1-1-1-1+1-10+1-2-1-1+1+2+10-1+1+1+1-3-1+1-2+2</f>
        <v>29</v>
      </c>
      <c r="N17" s="28">
        <f>0+27+2-1+1-1+1+1-1+1-2-3+2+3-1-1+1-5-1-2-1+1+2+1</f>
        <v>24</v>
      </c>
      <c r="O17" s="28">
        <f>0+24+1-1+1-1+1-1+1-4+4-1+1-1+1</f>
        <v>25</v>
      </c>
      <c r="P17" s="28">
        <f>0+17+2-3-6+6-1+1</f>
        <v>16</v>
      </c>
      <c r="Q17" s="28">
        <f>0+13+2-1+1+2</f>
        <v>17</v>
      </c>
      <c r="R17" s="28">
        <f>0+14+2-1+1-3</f>
        <v>13</v>
      </c>
      <c r="S17" s="28">
        <f>0+8</f>
        <v>8</v>
      </c>
      <c r="T17" s="26">
        <f t="shared" si="1"/>
        <v>416</v>
      </c>
      <c r="U17" s="12"/>
      <c r="V17" s="12" t="s">
        <v>13</v>
      </c>
      <c r="W17" s="12"/>
      <c r="X17" s="12"/>
      <c r="Y17" s="12"/>
      <c r="Z17" s="12"/>
    </row>
    <row r="18" ht="24.0" customHeight="1">
      <c r="A18" s="23" t="s">
        <v>27</v>
      </c>
      <c r="B18" s="30">
        <f>0+15-1+1-1+1-1+1</f>
        <v>15</v>
      </c>
      <c r="C18" s="30">
        <f>0+20+2-1+1-1+1-1+1+1-2+2-1+1-1+1</f>
        <v>23</v>
      </c>
      <c r="D18" s="30">
        <f>0+25+1-1-2+1+2+1+1-1+1-1-1+1+1-3-1+3+2-10+10-1+1-2+2+1-1+1-5+5</f>
        <v>30</v>
      </c>
      <c r="E18" s="30">
        <f>0+35+1-1+1+1+1-2+2-1+1-1+1-1+1-3-2+3-1+1-1+1-1+1-1-1+1+1</f>
        <v>36</v>
      </c>
      <c r="F18" s="30">
        <f>0+7+1-2+1+2-1-1+1+1-1+1-1+1+1-3+3-2+2-2+2</f>
        <v>10</v>
      </c>
      <c r="G18" s="30">
        <f>0+6+10</f>
        <v>16</v>
      </c>
      <c r="H18" s="30">
        <f>0+25-2+2</f>
        <v>25</v>
      </c>
      <c r="I18" s="30">
        <f>0+5</f>
        <v>5</v>
      </c>
      <c r="J18" s="30">
        <f>0+5-2</f>
        <v>3</v>
      </c>
      <c r="K18" s="28">
        <f>0+7+1+4+1</f>
        <v>13</v>
      </c>
      <c r="L18" s="28">
        <f>0+36-1+4+1-1+1-1+1+26+4</f>
        <v>70</v>
      </c>
      <c r="M18" s="28">
        <f>0+29+1+24-1+1-24+24-1-1+1+1+1-2+2+8</f>
        <v>63</v>
      </c>
      <c r="N18" s="28">
        <f>0+33-1+10+1-1-1+1+1-2+10-1+1-1+1-1+1-2+2-1</f>
        <v>50</v>
      </c>
      <c r="O18" s="28">
        <f>0+30+3-2+1-1+20-1+2+1+1-1+1-1+1-1-17-10+20-1+1+1</f>
        <v>47</v>
      </c>
      <c r="P18" s="24">
        <f>0+12+10</f>
        <v>22</v>
      </c>
      <c r="Q18" s="28">
        <f>0+18-1-1+1</f>
        <v>17</v>
      </c>
      <c r="R18" s="28">
        <f>0+2+3-1+1-3+3-1+1-1+1</f>
        <v>5</v>
      </c>
      <c r="S18" s="28">
        <f>0+7-1+1+1+2-1+1</f>
        <v>10</v>
      </c>
      <c r="T18" s="26">
        <f t="shared" si="1"/>
        <v>460</v>
      </c>
      <c r="U18" s="12"/>
      <c r="V18" s="12"/>
      <c r="W18" s="12"/>
      <c r="X18" s="12"/>
      <c r="Y18" s="12"/>
      <c r="Z18" s="12"/>
    </row>
    <row r="19" ht="24.0" customHeight="1">
      <c r="A19" s="23" t="s">
        <v>28</v>
      </c>
      <c r="B19" s="30">
        <f>0+10-2+2</f>
        <v>10</v>
      </c>
      <c r="C19" s="30">
        <f>0+20+2-1-1-4+12-2+2-1+1-3+3</f>
        <v>28</v>
      </c>
      <c r="D19" s="30">
        <f>0+23+1+6-2+2-8-1-1+1-1+1-14+14-1-1+1-1+1+1+1-1-1+1+1</f>
        <v>22</v>
      </c>
      <c r="E19" s="30">
        <f>0+16+1+6-1+1-1+1-8+8-2+2-2+2+1-3+3</f>
        <v>24</v>
      </c>
      <c r="F19" s="30">
        <f>0+5+6-1+1-1+1-1+1</f>
        <v>11</v>
      </c>
      <c r="G19" s="30">
        <f>0+8+1-2+2-1+1</f>
        <v>9</v>
      </c>
      <c r="H19" s="30">
        <f>0+7-1+1+1</f>
        <v>8</v>
      </c>
      <c r="I19" s="30">
        <f>0+3+1-1+1-1+1</f>
        <v>4</v>
      </c>
      <c r="J19" s="30">
        <f>0+3-1+1-1+1</f>
        <v>3</v>
      </c>
      <c r="K19" s="28">
        <f>0+12-1</f>
        <v>11</v>
      </c>
      <c r="L19" s="28">
        <f>0+32+1-4+6-2+2-3+3</f>
        <v>35</v>
      </c>
      <c r="M19" s="28">
        <f>0+34-8+13+1-3+3-1+1-1+1-3-1+1+3-2+2</f>
        <v>40</v>
      </c>
      <c r="N19" s="28">
        <f>0+31+2-1+1-6+6-2+2-1+1-4+4+1-1-1-1+1+1</f>
        <v>33</v>
      </c>
      <c r="O19" s="28">
        <f>0+27+3+1-4+2-1+1-3+3-1+1-2-1+2+1</f>
        <v>29</v>
      </c>
      <c r="P19" s="28">
        <f>0+14+2+1-2+2-1+1-1+1</f>
        <v>17</v>
      </c>
      <c r="Q19" s="28">
        <f>0+12-1</f>
        <v>11</v>
      </c>
      <c r="R19" s="28">
        <f>0+12-3</f>
        <v>9</v>
      </c>
      <c r="S19" s="28">
        <f>0+7+3</f>
        <v>10</v>
      </c>
      <c r="T19" s="26">
        <f t="shared" si="1"/>
        <v>314</v>
      </c>
      <c r="U19" s="12"/>
      <c r="V19" s="12"/>
      <c r="W19" s="12"/>
      <c r="X19" s="12"/>
      <c r="Y19" s="12"/>
      <c r="Z19" s="12"/>
    </row>
    <row r="20" ht="24.0" customHeight="1">
      <c r="A20" s="23" t="s">
        <v>29</v>
      </c>
      <c r="B20" s="30">
        <f>0+14+1-1+1-1+1</f>
        <v>15</v>
      </c>
      <c r="C20" s="30">
        <f>0+28-1-1-1+1+1</f>
        <v>27</v>
      </c>
      <c r="D20" s="30">
        <f>0+29+1-1+1-1+1-1</f>
        <v>29</v>
      </c>
      <c r="E20" s="30">
        <f>0+24-1+1-1+1+1-1+1-1</f>
        <v>24</v>
      </c>
      <c r="F20" s="30">
        <f>0+23-1+1-1+1+1-1</f>
        <v>23</v>
      </c>
      <c r="G20" s="30">
        <f>0+24+1-1</f>
        <v>24</v>
      </c>
      <c r="H20" s="30">
        <f>0+16-1+1</f>
        <v>16</v>
      </c>
      <c r="I20" s="30">
        <f>0+4+1</f>
        <v>5</v>
      </c>
      <c r="J20" s="30">
        <f>0+4</f>
        <v>4</v>
      </c>
      <c r="K20" s="28">
        <f>0+21</f>
        <v>21</v>
      </c>
      <c r="L20" s="28">
        <f>0+36+10-10+10-1+1</f>
        <v>46</v>
      </c>
      <c r="M20" s="28">
        <f>0+22-1+1+20-1-2+2-2+2-6+20-1+1</f>
        <v>55</v>
      </c>
      <c r="N20" s="28">
        <f>0+36+1-1+25-1+1+1-2+2-2+2-2-37+25-1+1-1+1-1+1-1+1-1</f>
        <v>47</v>
      </c>
      <c r="O20" s="28">
        <f>0+17+1+10-2+2-9+10-1-1+1</f>
        <v>28</v>
      </c>
      <c r="P20" s="28">
        <f>0+16+2+5-1+1-5+5</f>
        <v>23</v>
      </c>
      <c r="Q20" s="28">
        <f>0+10-1-1+1+1</f>
        <v>10</v>
      </c>
      <c r="R20" s="28">
        <f>0+10</f>
        <v>10</v>
      </c>
      <c r="S20" s="28">
        <f>0+10-1+1</f>
        <v>10</v>
      </c>
      <c r="T20" s="26">
        <f t="shared" si="1"/>
        <v>417</v>
      </c>
      <c r="U20" s="12"/>
      <c r="V20" s="12"/>
      <c r="W20" s="12"/>
      <c r="X20" s="12"/>
      <c r="Y20" s="12"/>
      <c r="Z20" s="12"/>
    </row>
    <row r="21" ht="24.0" customHeight="1">
      <c r="A21" s="23" t="s">
        <v>30</v>
      </c>
      <c r="B21" s="30">
        <f>0+10+2-1+1</f>
        <v>12</v>
      </c>
      <c r="C21" s="30">
        <f>0+48+9-1+1+2-2+2-3-1+3+1</f>
        <v>59</v>
      </c>
      <c r="D21" s="30">
        <f>0+43+6-6+6-6-1-1+1-1-1+1+1-1+1-1</f>
        <v>41</v>
      </c>
      <c r="E21" s="30">
        <f>0+33+6-6+6-3+3</f>
        <v>39</v>
      </c>
      <c r="F21" s="30">
        <f>0+5+6-6+6+2-1+1</f>
        <v>13</v>
      </c>
      <c r="G21" s="34" t="s">
        <v>31</v>
      </c>
      <c r="H21" s="30">
        <f>0+36-1+1+1</f>
        <v>37</v>
      </c>
      <c r="I21" s="30">
        <f>0+6-1+1</f>
        <v>6</v>
      </c>
      <c r="J21" s="30">
        <f>0+6</f>
        <v>6</v>
      </c>
      <c r="K21" s="28">
        <f>0+14+10</f>
        <v>24</v>
      </c>
      <c r="L21" s="28">
        <f>0+50+2-2+2-7</f>
        <v>45</v>
      </c>
      <c r="M21" s="28">
        <f>0+25+5-5+5-5-1+1-3+3+1-2+2+1</f>
        <v>27</v>
      </c>
      <c r="N21" s="28">
        <f>0+30-1+2+1-2+2+2+1-1+1</f>
        <v>35</v>
      </c>
      <c r="O21" s="28">
        <f>0+21+4-4+4+1-1+1-1+1-1+1-2+2</f>
        <v>26</v>
      </c>
      <c r="P21" s="28">
        <f>0+23-5-1+1</f>
        <v>18</v>
      </c>
      <c r="Q21" s="28">
        <f>0+25+1</f>
        <v>26</v>
      </c>
      <c r="R21" s="28">
        <f>0+3</f>
        <v>3</v>
      </c>
      <c r="S21" s="35">
        <f>0+6</f>
        <v>6</v>
      </c>
      <c r="T21" s="26">
        <f t="shared" si="1"/>
        <v>423</v>
      </c>
      <c r="U21" s="12"/>
      <c r="V21" s="12"/>
      <c r="W21" s="12"/>
      <c r="X21" s="12"/>
      <c r="Y21" s="12"/>
      <c r="Z21" s="12"/>
    </row>
    <row r="22" ht="24.0" customHeight="1">
      <c r="A22" s="23" t="s">
        <v>32</v>
      </c>
      <c r="B22" s="30">
        <f>13+1</f>
        <v>14</v>
      </c>
      <c r="C22" s="30">
        <f>25+1-4-15-2+2</f>
        <v>7</v>
      </c>
      <c r="D22" s="30">
        <f>24-1+1-1+1-4+4-1+1</f>
        <v>24</v>
      </c>
      <c r="E22" s="30">
        <f>30+1+1-4-6+5-1+1</f>
        <v>27</v>
      </c>
      <c r="F22" s="30">
        <f>9+5+1-1-4+11-1+1-1+1-1+1</f>
        <v>21</v>
      </c>
      <c r="G22" s="30">
        <f>15+1-6</f>
        <v>10</v>
      </c>
      <c r="H22" s="30">
        <f>12+5</f>
        <v>17</v>
      </c>
      <c r="I22" s="30">
        <f>7</f>
        <v>7</v>
      </c>
      <c r="J22" s="31">
        <f>6-4</f>
        <v>2</v>
      </c>
      <c r="K22" s="28">
        <f>0+18</f>
        <v>18</v>
      </c>
      <c r="L22" s="28">
        <f>0+31+1-12+13-3+3</f>
        <v>33</v>
      </c>
      <c r="M22" s="28">
        <f>0+38-1+1-4+4-18+18-7+7-1+1</f>
        <v>38</v>
      </c>
      <c r="N22" s="28">
        <f>0+34+6-6+6-14+14-8+8</f>
        <v>40</v>
      </c>
      <c r="O22" s="28">
        <f>0+28-5+5-20+20-6+6</f>
        <v>28</v>
      </c>
      <c r="P22" s="28">
        <f>0+18+1-3+3-1+1+1</f>
        <v>20</v>
      </c>
      <c r="Q22" s="28">
        <f>0+15-1</f>
        <v>14</v>
      </c>
      <c r="R22" s="28">
        <f t="shared" ref="R22:S22" si="2">0+5</f>
        <v>5</v>
      </c>
      <c r="S22" s="28">
        <f t="shared" si="2"/>
        <v>5</v>
      </c>
      <c r="T22" s="26">
        <f t="shared" si="1"/>
        <v>330</v>
      </c>
      <c r="U22" s="12"/>
      <c r="V22" s="12"/>
      <c r="W22" s="12"/>
      <c r="X22" s="12"/>
      <c r="Y22" s="12"/>
      <c r="Z22" s="12"/>
    </row>
    <row r="23" ht="24.0" customHeight="1">
      <c r="A23" s="23" t="s">
        <v>33</v>
      </c>
      <c r="B23" s="30">
        <f>0+12-1+1+1-1+1</f>
        <v>13</v>
      </c>
      <c r="C23" s="30">
        <f>0+15+1-2+2-9+10-1+1-1+1</f>
        <v>17</v>
      </c>
      <c r="D23" s="30">
        <f>0+30-1+1-2+2-1+1-1+1+1</f>
        <v>31</v>
      </c>
      <c r="E23" s="30">
        <f>0+14+1-1+1-2+2-1+1-1+1</f>
        <v>15</v>
      </c>
      <c r="F23" s="30">
        <f>0+16-1+1-1+1</f>
        <v>16</v>
      </c>
      <c r="G23" s="30">
        <f>0+12+3-1+1</f>
        <v>15</v>
      </c>
      <c r="H23" s="30">
        <f>0+15</f>
        <v>15</v>
      </c>
      <c r="I23" s="30">
        <f>0+7-1+1-5+1</f>
        <v>3</v>
      </c>
      <c r="J23" s="30">
        <f>0+7</f>
        <v>7</v>
      </c>
      <c r="K23" s="24">
        <f>12</f>
        <v>12</v>
      </c>
      <c r="L23" s="24">
        <f>30-1-1+1</f>
        <v>29</v>
      </c>
      <c r="M23" s="24">
        <f>15+18-1+1+1</f>
        <v>34</v>
      </c>
      <c r="N23" s="24">
        <f>18-1+1</f>
        <v>18</v>
      </c>
      <c r="O23" s="24">
        <f>0+25-1-1-2+2+1+2-2+2</f>
        <v>26</v>
      </c>
      <c r="P23" s="24">
        <f>0+24-1+2</f>
        <v>25</v>
      </c>
      <c r="Q23" s="24">
        <f>0+15-1+1</f>
        <v>15</v>
      </c>
      <c r="R23" s="24">
        <f>0+8+1</f>
        <v>9</v>
      </c>
      <c r="S23" s="24">
        <f>0+3-1+1-1+1+1</f>
        <v>4</v>
      </c>
      <c r="T23" s="26">
        <f t="shared" si="1"/>
        <v>304</v>
      </c>
      <c r="U23" s="12"/>
      <c r="V23" s="12"/>
      <c r="W23" s="12"/>
      <c r="X23" s="12"/>
      <c r="Y23" s="12"/>
      <c r="Z23" s="12"/>
    </row>
    <row r="24" ht="24.0" customHeight="1">
      <c r="A24" s="23" t="s">
        <v>34</v>
      </c>
      <c r="B24" s="30">
        <f>0+13-1+1-1+1-1+1-2+1-2+2-1+1+1-1+1-1+1</f>
        <v>13</v>
      </c>
      <c r="C24" s="30">
        <f>0+10+2-2-1-1+2+1-5+5-1+1-3+3-1+1-1+1-1+1-5+1+5-3-1+3-2+1+2+2-1+1-1-1-1+1-1+1+1</f>
        <v>13</v>
      </c>
      <c r="D24" s="30">
        <f>0+24+1-2+2-1-2+1+2-1-5+1+5-2+2-1-1+1+1-2+2-3-1+3+1-2-2+2-3+2+3-1+3-4+1+4-3+1-1+3+1-1+1-1-4</f>
        <v>24</v>
      </c>
      <c r="E24" s="30">
        <f>16+1+1-1-1+1-1+1+1-5+5-1+1-1+9+1-1-1+1-1-3+1+3-1-5-1+1+5-1+1+1-3+1-3+3+3-1-3+1+3-1-1+1+1-1-1+1+1-1-6+1</f>
        <v>21</v>
      </c>
      <c r="F24" s="30">
        <f>12+4-1-1+1-3-1+3+1-1+1-1+1+1-1+1-2-1+2+2+1-1-2-1+1+1+2+1+1-1+1+1-1+1</f>
        <v>21</v>
      </c>
      <c r="G24" s="30">
        <f>20+1-1+1-4+4-1+1+2-1+3+1+1-2+1+1-1+2+1+1</f>
        <v>30</v>
      </c>
      <c r="H24" s="30">
        <f>12-3-1+1-1-1</f>
        <v>7</v>
      </c>
      <c r="I24" s="30">
        <f>6-1+1-1+1-1+1-1-5+1</f>
        <v>1</v>
      </c>
      <c r="J24" s="31">
        <f>5-5</f>
        <v>0</v>
      </c>
      <c r="K24" s="28">
        <f>0+17-1+2-1-1+1</f>
        <v>17</v>
      </c>
      <c r="L24" s="28">
        <f>0+22-1+1+1-2-12+12+20-1+1-1+1-2+2-1+1</f>
        <v>41</v>
      </c>
      <c r="M24" s="28">
        <f>0+31+4-1+1+1-1-1-1+1+1-3+3-2-33+33-1+1-1+1+1-4+4-1+1-7+7-1+1</f>
        <v>34</v>
      </c>
      <c r="N24" s="28">
        <f>0+39-1+1+1-2-3+3-1-28+28-2-1+1+1-2+2-2+2-4+4-1+1</f>
        <v>36</v>
      </c>
      <c r="O24" s="28">
        <f>34-1-2+1+2-1+1-2+1+2-1-21+21-1+1+1-1+1+1+1-1+1+1-2+2-2</f>
        <v>36</v>
      </c>
      <c r="P24" s="28">
        <f>0+15+1-1+1+1-1+1-4+4-1+1-1+1+1-2+2-1-1-1+1+1+1-1+1-1</f>
        <v>17</v>
      </c>
      <c r="Q24" s="28">
        <f>0+13-4+4+1-1+1</f>
        <v>14</v>
      </c>
      <c r="R24" s="28">
        <f>0+8-1+1+1</f>
        <v>9</v>
      </c>
      <c r="S24" s="28">
        <f>0+10</f>
        <v>10</v>
      </c>
      <c r="T24" s="26">
        <f t="shared" si="1"/>
        <v>344</v>
      </c>
      <c r="U24" s="12"/>
      <c r="V24" s="12"/>
      <c r="W24" s="12"/>
      <c r="X24" s="12"/>
      <c r="Y24" s="12"/>
      <c r="Z24" s="12"/>
    </row>
    <row r="25" ht="24.0" customHeight="1">
      <c r="A25" s="36" t="s">
        <v>35</v>
      </c>
      <c r="B25" s="37">
        <f>0+12+2-1-1+1+1-1+1</f>
        <v>14</v>
      </c>
      <c r="C25" s="37">
        <f>0+15-1+1+1-2-2-1+2+1-1+1-3+3-3+1+1+1-1+1-1+1-1-1+1+1-1+1-1+1-1+2-1-2+1-3+2</f>
        <v>12</v>
      </c>
      <c r="D25" s="37">
        <f>0+23-1+1-1+1-4-1+4-2+2+5-1+1-1+1+1+2-1-1+1-1+1-1+1-1-2+1+1-4+2</f>
        <v>26</v>
      </c>
      <c r="E25" s="37">
        <f>0+17-1+1-1-2+2+1-1-1+1-4+4+1-2+2-2+2-1-1+1+1+1-1+1+1+3-1-2+1-3+2</f>
        <v>19</v>
      </c>
      <c r="F25" s="37">
        <f>0+23-1-1+1+1+1-1-1+1-2-2-1+1-2+2-2-1+2+1+1+3-2+2+1-3-1+1-4</f>
        <v>17</v>
      </c>
      <c r="G25" s="37">
        <f>0+16-3+3+1+2-1-1+1-1</f>
        <v>17</v>
      </c>
      <c r="H25" s="37">
        <f>0+1+11-1+1+1-1+1-1+1-1</f>
        <v>12</v>
      </c>
      <c r="I25" s="37">
        <f>0+7+5</f>
        <v>12</v>
      </c>
      <c r="J25" s="37">
        <f>0+5-2+2+1</f>
        <v>6</v>
      </c>
      <c r="K25" s="28">
        <f>0+9-7+7-1-1-1+1</f>
        <v>7</v>
      </c>
      <c r="L25" s="28">
        <f>0+30-1-2-1+1+2+2-2-2+2-1-1+1-3-1+1+3-1+1-2+2-1-2+1+2</f>
        <v>28</v>
      </c>
      <c r="M25" s="28">
        <f>0+19+1-1-1-2+2+1-3+3-1+1-4+4+6-2+2-1+1-1+1-1+1-1+1-1-2+1+1+2-2-1-2-1+1+2+1+1-1+1-1+1-2-1+2+1-4+4-1-2-1+1-10+2</f>
        <v>14</v>
      </c>
      <c r="N25" s="28">
        <f>0+29-1+1+1-4+4-8-3+3+8+1-2-5+5-1+2-1+1-2+2+1-2+2-1+1-2-1+2+1+1-1+1-2+2-3+3-1+1-2</f>
        <v>30</v>
      </c>
      <c r="O25" s="28">
        <f>0+16-1+1-2-1+2+1-1+1-1+1-3+3+4-1+1-1+1-1-1-3-1+1+1+1-1-1-2+1-2+2</f>
        <v>14</v>
      </c>
      <c r="P25" s="28">
        <f>0+19+1-1+1-1-1-1-2+1-3+2</f>
        <v>15</v>
      </c>
      <c r="Q25" s="28">
        <f>0+10-1+1-4</f>
        <v>6</v>
      </c>
      <c r="R25" s="28">
        <f>0+6-1+1-1+1</f>
        <v>6</v>
      </c>
      <c r="S25" s="28">
        <f>0+6+1-1+1-1</f>
        <v>6</v>
      </c>
      <c r="T25" s="26">
        <f t="shared" si="1"/>
        <v>261</v>
      </c>
      <c r="U25" s="12"/>
      <c r="V25" s="12"/>
      <c r="W25" s="12"/>
      <c r="X25" s="12"/>
      <c r="Y25" s="12"/>
      <c r="Z25" s="12"/>
    </row>
    <row r="26" ht="24.0" customHeight="1">
      <c r="A26" s="36" t="s">
        <v>36</v>
      </c>
      <c r="B26" s="37">
        <f>10-1+1-1+1+1-2+1-1+2-1+1-1+1-1-4+1+4-2+2-1+1-1+1</f>
        <v>11</v>
      </c>
      <c r="C26" s="37">
        <f>13-1+1-1-1-1+3-1+1-3+3-6+6-1+1-2+2-1+1-1-2+1+2-1-1+1+1</f>
        <v>13</v>
      </c>
      <c r="D26" s="37">
        <f>15-1+1+1-1-2+1+2+5-1-1-1+1+1+1+1-1+1+5+3-3-1+1-2-1+2+1-1-17-1+17+1-3+3-1+1-1+1-2-4+4</f>
        <v>24</v>
      </c>
      <c r="E26" s="37">
        <f>8-1+1-1+1+3-1+1+1-1-1+1-1+1+1-6-4+4+1-1-1+1-8+10-1+1+8+1-3+3-1+1-1+1-5-2+5+2</f>
        <v>17</v>
      </c>
      <c r="F26" s="37">
        <f>12+1-1-1+1-4-1+1-1+1-2-1+2-4+4-6+6+1</f>
        <v>8</v>
      </c>
      <c r="G26" s="37">
        <f>10-1+1+1-1+1-2+2+1-2-1+2</f>
        <v>11</v>
      </c>
      <c r="H26" s="37">
        <f>15-1-1+1-3+3-1+1</f>
        <v>14</v>
      </c>
      <c r="I26" s="37">
        <f>6-1+1+1-1</f>
        <v>6</v>
      </c>
      <c r="J26" s="38">
        <f>5</f>
        <v>5</v>
      </c>
      <c r="K26" s="28">
        <f>0+11-1-1+1+1-1+1</f>
        <v>11</v>
      </c>
      <c r="L26" s="28">
        <f>0+25-1+1+2+2-2+2-1+1-5+5-1+1</f>
        <v>29</v>
      </c>
      <c r="M26" s="28">
        <f>0+17-1+1+2-1-2+1+2+2-3+3-2+2-7-1+6+1+1-1+1</f>
        <v>21</v>
      </c>
      <c r="N26" s="28">
        <f>0+17+1+4-1+1+4+4-1+1-2+2-1-1+1+1-1+1-1+1</f>
        <v>30</v>
      </c>
      <c r="O26" s="28">
        <f>0+29+1-2+2-4-1+1-1+1+1-1+1-1</f>
        <v>26</v>
      </c>
      <c r="P26" s="28">
        <f>0+17-1+1+1-1</f>
        <v>17</v>
      </c>
      <c r="Q26" s="39" t="s">
        <v>13</v>
      </c>
      <c r="R26" s="28">
        <f t="shared" ref="R26:S26" si="3">0+6</f>
        <v>6</v>
      </c>
      <c r="S26" s="28">
        <f t="shared" si="3"/>
        <v>6</v>
      </c>
      <c r="T26" s="26">
        <f t="shared" si="1"/>
        <v>255</v>
      </c>
      <c r="U26" s="12"/>
      <c r="V26" s="12"/>
      <c r="W26" s="12"/>
      <c r="X26" s="12"/>
      <c r="Y26" s="12"/>
      <c r="Z26" s="12"/>
    </row>
    <row r="27" ht="24.0" customHeight="1">
      <c r="A27" s="36" t="s">
        <v>37</v>
      </c>
      <c r="B27" s="37">
        <f>0+23-15</f>
        <v>8</v>
      </c>
      <c r="C27" s="37">
        <f>0+11-5+2+8</f>
        <v>16</v>
      </c>
      <c r="D27" s="37">
        <f>0+36-7+7-15</f>
        <v>21</v>
      </c>
      <c r="E27" s="37">
        <f>0+21</f>
        <v>21</v>
      </c>
      <c r="F27" s="37">
        <f>0+7</f>
        <v>7</v>
      </c>
      <c r="G27" s="37">
        <f>0+15</f>
        <v>15</v>
      </c>
      <c r="H27" s="37">
        <f>0+13</f>
        <v>13</v>
      </c>
      <c r="I27" s="37">
        <f>0+8</f>
        <v>8</v>
      </c>
      <c r="J27" s="37">
        <f>0+7</f>
        <v>7</v>
      </c>
      <c r="K27" s="28">
        <f>0+10</f>
        <v>10</v>
      </c>
      <c r="L27" s="28">
        <f>0+30-3+3</f>
        <v>30</v>
      </c>
      <c r="M27" s="28">
        <f>0+27-3+3-1+1+1</f>
        <v>28</v>
      </c>
      <c r="N27" s="28">
        <f>0+25+1-4+4+1</f>
        <v>27</v>
      </c>
      <c r="O27" s="28">
        <f>0+9-6+6+17</f>
        <v>26</v>
      </c>
      <c r="P27" s="28">
        <f>0+5</f>
        <v>5</v>
      </c>
      <c r="Q27" s="28">
        <f t="shared" ref="Q27:S27" si="4">0+3</f>
        <v>3</v>
      </c>
      <c r="R27" s="28">
        <f t="shared" si="4"/>
        <v>3</v>
      </c>
      <c r="S27" s="28">
        <f t="shared" si="4"/>
        <v>3</v>
      </c>
      <c r="T27" s="26">
        <f t="shared" si="1"/>
        <v>251</v>
      </c>
      <c r="U27" s="12"/>
      <c r="V27" s="12"/>
      <c r="W27" s="12"/>
      <c r="X27" s="12"/>
      <c r="Y27" s="12"/>
      <c r="Z27" s="12"/>
    </row>
    <row r="28" ht="24.0" customHeight="1">
      <c r="A28" s="36" t="s">
        <v>38</v>
      </c>
      <c r="B28" s="40">
        <f>0+4-1-1+1+1-1+1-1+1-4+4-1+1</f>
        <v>4</v>
      </c>
      <c r="C28" s="40">
        <f>0+3+1-2+1+1-2-1+1+2-2+2+1-3+1+3-2-4+4-2+1+2-1-1+1-1-2+1+2-1+1</f>
        <v>4</v>
      </c>
      <c r="D28" s="40">
        <f>0+5+1-5+2+1+3-1-1+1+1-2+2-1-6+1+1+6-1-1+1+1-1-1+1-1+1-1-6+1+6+1-1+1-2+2</f>
        <v>8</v>
      </c>
      <c r="E28" s="40">
        <f>0+3+1-4+2-1+1+1+1-1+1-3+1-2+2+3-2+2-2+2-4+4-5+5-1+1-2+2-2+2</f>
        <v>5</v>
      </c>
      <c r="F28" s="40">
        <f>0+4+1-4+1+3-1+1-1-1+1-1-1+1+1+1-4-1+3+1-1+1-1+1-1+1-2+2-4+4+1-5+5-1+1-1+1</f>
        <v>5</v>
      </c>
      <c r="G28" s="40">
        <f>0+4-3+2+1-1+1-1+1-1-3+3+1+1</f>
        <v>5</v>
      </c>
      <c r="H28" s="37">
        <f>0+1-1+1</f>
        <v>1</v>
      </c>
      <c r="I28" s="40">
        <f t="shared" ref="I28:J28" si="5">0+3</f>
        <v>3</v>
      </c>
      <c r="J28" s="40">
        <f t="shared" si="5"/>
        <v>3</v>
      </c>
      <c r="K28" s="28">
        <f>1+4-1+1</f>
        <v>5</v>
      </c>
      <c r="L28" s="28">
        <f>11+7-1+1-1+1-11+11-8+8-1+1-1+1</f>
        <v>18</v>
      </c>
      <c r="M28" s="28">
        <f>0+30+1+7+1+1-1-1-5+1+1+5+1-30+30-1+1-1+1-1+1</f>
        <v>41</v>
      </c>
      <c r="N28" s="28">
        <f>0+27+7-2+2-3+3-1-2+1+1+2-28+27-4+4-1+1-2+2</f>
        <v>34</v>
      </c>
      <c r="O28" s="28">
        <f>0+17+1+7+1-1+1-1+1-1+1-1-1+1+1+1-19-2+17-4+4</f>
        <v>23</v>
      </c>
      <c r="P28" s="28">
        <f>0+9+5+1-1+1+1-9+9-1+1-2+2-2-1+2+1</f>
        <v>16</v>
      </c>
      <c r="Q28" s="24">
        <f>0+2+3+1-1+1-2+2-1+1</f>
        <v>6</v>
      </c>
      <c r="R28" s="28">
        <f t="shared" ref="R28:R29" si="7">0+2</f>
        <v>2</v>
      </c>
      <c r="S28" s="28">
        <f t="shared" ref="S28:S29" si="8">0+3</f>
        <v>3</v>
      </c>
      <c r="T28" s="26">
        <f t="shared" si="1"/>
        <v>186</v>
      </c>
      <c r="U28" s="12"/>
      <c r="V28" s="12"/>
      <c r="W28" s="12"/>
      <c r="X28" s="12"/>
      <c r="Y28" s="12"/>
      <c r="Z28" s="12"/>
    </row>
    <row r="29" ht="24.0" customHeight="1">
      <c r="A29" s="36" t="s">
        <v>39</v>
      </c>
      <c r="B29" s="37">
        <f>0+6+B30</f>
        <v>6</v>
      </c>
      <c r="C29" s="37">
        <f>0+5-1</f>
        <v>4</v>
      </c>
      <c r="D29" s="37">
        <f>0+13</f>
        <v>13</v>
      </c>
      <c r="E29" s="37">
        <f>0+15+5-2+2</f>
        <v>20</v>
      </c>
      <c r="F29" s="37">
        <f>0+7</f>
        <v>7</v>
      </c>
      <c r="G29" s="37">
        <f>0+5</f>
        <v>5</v>
      </c>
      <c r="H29" s="37">
        <f>0+6-3</f>
        <v>3</v>
      </c>
      <c r="I29" s="37">
        <f t="shared" ref="I29:J29" si="6">0+3</f>
        <v>3</v>
      </c>
      <c r="J29" s="37">
        <f t="shared" si="6"/>
        <v>3</v>
      </c>
      <c r="K29" s="28">
        <f>0+10+1</f>
        <v>11</v>
      </c>
      <c r="L29" s="28">
        <f>0+18-1+1+1</f>
        <v>19</v>
      </c>
      <c r="M29" s="28">
        <f>0+22</f>
        <v>22</v>
      </c>
      <c r="N29" s="28">
        <f>0+23-1-1+1+1-1-1+1</f>
        <v>22</v>
      </c>
      <c r="O29" s="28">
        <f>0+22-1+1-1</f>
        <v>21</v>
      </c>
      <c r="P29" s="28">
        <f>0+11</f>
        <v>11</v>
      </c>
      <c r="Q29" s="28">
        <f>0+3</f>
        <v>3</v>
      </c>
      <c r="R29" s="28">
        <f t="shared" si="7"/>
        <v>2</v>
      </c>
      <c r="S29" s="28">
        <f t="shared" si="8"/>
        <v>3</v>
      </c>
      <c r="T29" s="26">
        <f t="shared" si="1"/>
        <v>178</v>
      </c>
      <c r="U29" s="12"/>
      <c r="V29" s="12"/>
      <c r="W29" s="12"/>
      <c r="X29" s="12"/>
      <c r="Y29" s="12"/>
      <c r="Z29" s="12"/>
    </row>
    <row r="30" ht="24.0" customHeight="1">
      <c r="A30" s="41"/>
      <c r="B30" s="7"/>
      <c r="C30" s="7"/>
      <c r="D30" s="7"/>
      <c r="E30" s="7"/>
      <c r="F30" s="7"/>
      <c r="G30" s="7"/>
      <c r="H30" s="7"/>
      <c r="I30" s="7"/>
      <c r="J30" s="7"/>
      <c r="K30" s="7"/>
      <c r="L30" s="7" t="s">
        <v>13</v>
      </c>
      <c r="M30" s="7"/>
      <c r="N30" s="7"/>
      <c r="O30" s="7"/>
      <c r="P30" s="7"/>
      <c r="Q30" s="7"/>
      <c r="R30" s="7"/>
      <c r="S30" s="7"/>
      <c r="T30" s="42">
        <f>SUM(T5:T29)</f>
        <v>8825</v>
      </c>
      <c r="U30" s="43"/>
      <c r="V30" s="43"/>
      <c r="W30" s="43"/>
      <c r="X30" s="43"/>
      <c r="Y30" s="43"/>
      <c r="Z30" s="43"/>
    </row>
    <row r="31" ht="14.2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11"/>
      <c r="U31" s="43"/>
      <c r="V31" s="43"/>
      <c r="W31" s="43"/>
      <c r="X31" s="43"/>
      <c r="Y31" s="43"/>
      <c r="Z31" s="43"/>
    </row>
    <row r="32" ht="21.0" customHeight="1">
      <c r="A32" s="7"/>
      <c r="B32" s="44" t="s">
        <v>40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  <c r="T32" s="11"/>
      <c r="U32" s="43"/>
      <c r="V32" s="43"/>
      <c r="W32" s="43"/>
      <c r="X32" s="43"/>
      <c r="Y32" s="43"/>
      <c r="Z32" s="43"/>
    </row>
    <row r="33" ht="21.0" customHeight="1">
      <c r="A33" s="7"/>
      <c r="B33" s="13" t="s">
        <v>1</v>
      </c>
      <c r="C33" s="14"/>
      <c r="D33" s="14"/>
      <c r="E33" s="14"/>
      <c r="F33" s="14"/>
      <c r="G33" s="14"/>
      <c r="H33" s="14"/>
      <c r="I33" s="14"/>
      <c r="J33" s="15"/>
      <c r="K33" s="16" t="s">
        <v>2</v>
      </c>
      <c r="L33" s="14"/>
      <c r="M33" s="14"/>
      <c r="N33" s="14"/>
      <c r="O33" s="14"/>
      <c r="P33" s="14"/>
      <c r="Q33" s="14"/>
      <c r="R33" s="14"/>
      <c r="S33" s="15"/>
      <c r="T33" s="11"/>
      <c r="U33" s="43"/>
      <c r="V33" s="43"/>
      <c r="W33" s="43"/>
      <c r="X33" s="43"/>
      <c r="Y33" s="43"/>
      <c r="Z33" s="43"/>
    </row>
    <row r="34" ht="21.0" customHeight="1">
      <c r="A34" s="17" t="s">
        <v>3</v>
      </c>
      <c r="B34" s="18" t="s">
        <v>4</v>
      </c>
      <c r="C34" s="19" t="s">
        <v>5</v>
      </c>
      <c r="D34" s="19" t="s">
        <v>6</v>
      </c>
      <c r="E34" s="19" t="s">
        <v>7</v>
      </c>
      <c r="F34" s="19" t="s">
        <v>8</v>
      </c>
      <c r="G34" s="19" t="s">
        <v>9</v>
      </c>
      <c r="H34" s="19" t="s">
        <v>10</v>
      </c>
      <c r="I34" s="19" t="s">
        <v>11</v>
      </c>
      <c r="J34" s="45" t="s">
        <v>12</v>
      </c>
      <c r="K34" s="46" t="s">
        <v>4</v>
      </c>
      <c r="L34" s="20" t="s">
        <v>5</v>
      </c>
      <c r="M34" s="20" t="s">
        <v>6</v>
      </c>
      <c r="N34" s="20" t="s">
        <v>7</v>
      </c>
      <c r="O34" s="20" t="s">
        <v>8</v>
      </c>
      <c r="P34" s="20" t="s">
        <v>9</v>
      </c>
      <c r="Q34" s="20" t="s">
        <v>10</v>
      </c>
      <c r="R34" s="20" t="s">
        <v>11</v>
      </c>
      <c r="S34" s="21" t="s">
        <v>12</v>
      </c>
      <c r="T34" s="11"/>
      <c r="U34" s="43"/>
      <c r="V34" s="43"/>
      <c r="W34" s="43"/>
      <c r="X34" s="43"/>
      <c r="Y34" s="43"/>
      <c r="Z34" s="43"/>
    </row>
    <row r="35" ht="21.0" customHeight="1">
      <c r="A35" s="23" t="s">
        <v>14</v>
      </c>
      <c r="B35" s="47">
        <f>0+2+2-1+1+1-1-1+1+2-1+1-1+1</f>
        <v>6</v>
      </c>
      <c r="C35" s="47">
        <f>0+1-1+1-1+1+1</f>
        <v>2</v>
      </c>
      <c r="D35" s="47">
        <f>0+7+2-1+1+1-1+1-8+8-1-1+1</f>
        <v>9</v>
      </c>
      <c r="E35" s="47">
        <f>0+8+1-1-1+1+1+1-1+1-2-1+2-1+1+1-1-2+2</f>
        <v>9</v>
      </c>
      <c r="F35" s="47">
        <f>0+6+1-1+1+1-1+1-1+1</f>
        <v>8</v>
      </c>
      <c r="G35" s="47">
        <f>0+4-1+1-1+1+1-1+1+1</f>
        <v>6</v>
      </c>
      <c r="H35" s="47">
        <f>0+1-1+1+1+4</f>
        <v>6</v>
      </c>
      <c r="I35" s="47">
        <f>0</f>
        <v>0</v>
      </c>
      <c r="J35" s="47">
        <f>0+5-1+1+1</f>
        <v>6</v>
      </c>
      <c r="K35" s="47">
        <f>0+6-2-1-1+1+1+1-1+1+2</f>
        <v>7</v>
      </c>
      <c r="L35" s="47">
        <f>0+16+1+1+1-1-1+1+1+1-1-2-1-4-2-1+1+1+4+2-3+3+1+1+2+1+1-1-1+1-2-2+2</f>
        <v>20</v>
      </c>
      <c r="M35" s="47">
        <f>0+14-2-1+1+1-1+1+1+1+1-5-2+5-1-2+2+1-1-3+1+2-4-9+10+5+4-2+3+2-4-1+4+2-6-1+1+1-3-10+6+3</f>
        <v>14</v>
      </c>
      <c r="N35" s="47">
        <f>0+20+6-1+1-1-1-1-1+1+1+1-8-1-8-1+8+8+1+1-1-1-1+1+1+1-10+10-1+1-1+1+1-2+1+3-2+1-3-4+3+4-5-1</f>
        <v>21</v>
      </c>
      <c r="O35" s="47">
        <f>0+9+1-2-1-1-1+1+1+1-1+1-2-2+2+2-4-2-1-1+2-2+4+1+3+3-7+7-1+2+2+1-3+3-2+2-1+1-1+1-4-3</f>
        <v>8</v>
      </c>
      <c r="P35" s="47">
        <f>0+6+2-1-1-1+1+1+1+1-3+3+1+1-2-2+2</f>
        <v>9</v>
      </c>
      <c r="Q35" s="47">
        <f>0+5-2-1+2+1+1-1-1+1+1</f>
        <v>6</v>
      </c>
      <c r="R35" s="47">
        <f>0+4-1+1-1+1+1-1+1+1</f>
        <v>6</v>
      </c>
      <c r="S35" s="47">
        <f>0+6-1+1+1-1</f>
        <v>6</v>
      </c>
      <c r="T35" s="48">
        <f t="shared" ref="T35:T41" si="10">SUM(B35:S35)</f>
        <v>149</v>
      </c>
      <c r="U35" s="12"/>
      <c r="V35" s="12"/>
      <c r="W35" s="12"/>
      <c r="X35" s="12"/>
      <c r="Y35" s="12"/>
      <c r="Z35" s="12"/>
    </row>
    <row r="36" ht="21.0" customHeight="1">
      <c r="A36" s="23" t="s">
        <v>15</v>
      </c>
      <c r="B36" s="47">
        <f>0+6-1+1</f>
        <v>6</v>
      </c>
      <c r="C36" s="47">
        <f>0+2+2-1+1+1-2-3</f>
        <v>0</v>
      </c>
      <c r="D36" s="47">
        <f>0+6-2+1-1+1</f>
        <v>5</v>
      </c>
      <c r="E36" s="47">
        <f>0+4+1-1-1+1-1+1</f>
        <v>4</v>
      </c>
      <c r="F36" s="47">
        <f>0+4+1-1</f>
        <v>4</v>
      </c>
      <c r="G36" s="47">
        <f>0+5-1</f>
        <v>4</v>
      </c>
      <c r="H36" s="47">
        <f>0+5-1+1-1</f>
        <v>4</v>
      </c>
      <c r="I36" s="47">
        <f>0+4-1+1+1</f>
        <v>5</v>
      </c>
      <c r="J36" s="47">
        <f>0+4</f>
        <v>4</v>
      </c>
      <c r="K36" s="47">
        <f>0+6+1-4+4-2</f>
        <v>5</v>
      </c>
      <c r="L36" s="47">
        <f>0+12-1-1-2+1-3+3-1-2+2-2</f>
        <v>6</v>
      </c>
      <c r="M36" s="47">
        <f>0+25-1-3+3+1-2+2+1+2+1-2+2-2-4+1-1-2+2-5+5-2-1-1+2+1+1-1+1-10+10-8+8-10-2</f>
        <v>11</v>
      </c>
      <c r="N36" s="47">
        <f>0+12+5+2-1-2-1+2+1-4-7+4+7-2-1-1+2+2-10+10-1-3+1-4+4-5+5-2+2-3+3-3-1+3+1-8+8-1+1-2+2-2-1+2</f>
        <v>14</v>
      </c>
      <c r="O36" s="47">
        <f>0+13-1+1-1-4-4-1-1+1+4+1-3-3+5-4+4-5+5-3+3-7+7-3</f>
        <v>4</v>
      </c>
      <c r="P36" s="47">
        <f>0+5+2-1+1-1+1-1-1+1+1-1+2+1-1-2+2+1-1+1-4+4-3</f>
        <v>6</v>
      </c>
      <c r="Q36" s="47">
        <f t="shared" ref="Q36:S36" si="9">0+5-1+1</f>
        <v>5</v>
      </c>
      <c r="R36" s="47">
        <f t="shared" si="9"/>
        <v>5</v>
      </c>
      <c r="S36" s="47">
        <f t="shared" si="9"/>
        <v>5</v>
      </c>
      <c r="T36" s="49">
        <f t="shared" si="10"/>
        <v>97</v>
      </c>
      <c r="U36" s="12"/>
      <c r="V36" s="12"/>
      <c r="W36" s="12"/>
      <c r="X36" s="12"/>
      <c r="Y36" s="12"/>
      <c r="Z36" s="12"/>
    </row>
    <row r="37" ht="21.0" customHeight="1">
      <c r="A37" s="23" t="s">
        <v>41</v>
      </c>
      <c r="B37" s="47">
        <f t="shared" ref="B37:B38" si="13">0+3-1+1</f>
        <v>3</v>
      </c>
      <c r="C37" s="47">
        <f>0+3+2-1+1</f>
        <v>5</v>
      </c>
      <c r="D37" s="47">
        <f>0+8-1+1+1-1+1+1</f>
        <v>10</v>
      </c>
      <c r="E37" s="47">
        <f>0+6+1</f>
        <v>7</v>
      </c>
      <c r="F37" s="47">
        <f>0+9+1</f>
        <v>10</v>
      </c>
      <c r="G37" s="47">
        <f t="shared" ref="G37:H37" si="11">0+5</f>
        <v>5</v>
      </c>
      <c r="H37" s="47">
        <f t="shared" si="11"/>
        <v>5</v>
      </c>
      <c r="I37" s="47">
        <f>0+5-1</f>
        <v>4</v>
      </c>
      <c r="J37" s="47">
        <f>0+3+1</f>
        <v>4</v>
      </c>
      <c r="K37" s="47">
        <f>0+4-1+1-1+1+3</f>
        <v>7</v>
      </c>
      <c r="L37" s="47">
        <f>0+10-1+1-1+1+1-3+3-2+2-5</f>
        <v>6</v>
      </c>
      <c r="M37" s="47">
        <f>0+10-1+1-4+4-1+1-1+1-2+2-6+6-10+10-1-1+1+1-1+1-2+2-6</f>
        <v>4</v>
      </c>
      <c r="N37" s="47">
        <f>0+8+2-4+4-1+1-8+8-3+3-1-1-6+1+3-1+1-4+6+1+4-5+5-1+1-9+9</f>
        <v>13</v>
      </c>
      <c r="O37" s="47">
        <f>0+8-1+1-1+1-2+2-1-2+3-5+2-2+5-8+8-1+1-1+1+1-4</f>
        <v>5</v>
      </c>
      <c r="P37" s="47">
        <f>0+8+1-1+1-1+1+1-1+1-5</f>
        <v>5</v>
      </c>
      <c r="Q37" s="47">
        <f>0+5-1+1-3</f>
        <v>2</v>
      </c>
      <c r="R37" s="47">
        <f t="shared" ref="R37:S37" si="12">0+4</f>
        <v>4</v>
      </c>
      <c r="S37" s="47">
        <f t="shared" si="12"/>
        <v>4</v>
      </c>
      <c r="T37" s="48">
        <f t="shared" si="10"/>
        <v>103</v>
      </c>
      <c r="U37" s="12"/>
      <c r="V37" s="12"/>
      <c r="W37" s="12"/>
      <c r="X37" s="12"/>
      <c r="Y37" s="12"/>
      <c r="Z37" s="12"/>
    </row>
    <row r="38" ht="21.0" customHeight="1">
      <c r="A38" s="23" t="s">
        <v>17</v>
      </c>
      <c r="B38" s="47">
        <f t="shared" si="13"/>
        <v>3</v>
      </c>
      <c r="C38" s="47">
        <f>0+6-1+1-1+1-2+2</f>
        <v>6</v>
      </c>
      <c r="D38" s="47">
        <f>0+5-1-1+1+1-3+3</f>
        <v>5</v>
      </c>
      <c r="E38" s="47">
        <f>0+6-1+1+1-3+3</f>
        <v>7</v>
      </c>
      <c r="F38" s="47">
        <f>0+4-1+1+1</f>
        <v>5</v>
      </c>
      <c r="G38" s="47">
        <f t="shared" ref="G38:H38" si="14">0+3</f>
        <v>3</v>
      </c>
      <c r="H38" s="47">
        <f t="shared" si="14"/>
        <v>3</v>
      </c>
      <c r="I38" s="47">
        <f>0+1</f>
        <v>1</v>
      </c>
      <c r="J38" s="47">
        <f>0+5-1+1+1-1</f>
        <v>5</v>
      </c>
      <c r="K38" s="47">
        <f t="shared" ref="K38:K39" si="16">0+5</f>
        <v>5</v>
      </c>
      <c r="L38" s="47">
        <f>0+10-2+2-5</f>
        <v>5</v>
      </c>
      <c r="M38" s="47">
        <f>0+13-2+2-1-9+9-5</f>
        <v>7</v>
      </c>
      <c r="N38" s="47">
        <f>0+10+2-1+1-1+1-1+1-1+1-10-1+10-1+1-5</f>
        <v>6</v>
      </c>
      <c r="O38" s="47">
        <f>0+10-4+4-4-1</f>
        <v>5</v>
      </c>
      <c r="P38" s="50">
        <f>0+9-1+1-1+1-2+2-3</f>
        <v>6</v>
      </c>
      <c r="Q38" s="47">
        <f>0+7-1-2</f>
        <v>4</v>
      </c>
      <c r="R38" s="47">
        <f>0+4+1-2</f>
        <v>3</v>
      </c>
      <c r="S38" s="47">
        <f>0+5-2</f>
        <v>3</v>
      </c>
      <c r="T38" s="48">
        <f t="shared" si="10"/>
        <v>82</v>
      </c>
      <c r="U38" s="12"/>
      <c r="V38" s="12"/>
      <c r="W38" s="12"/>
      <c r="X38" s="12"/>
      <c r="Y38" s="12"/>
      <c r="Z38" s="12"/>
    </row>
    <row r="39" ht="21.0" customHeight="1">
      <c r="A39" s="23" t="s">
        <v>18</v>
      </c>
      <c r="B39" s="47">
        <f t="shared" ref="B39:B40" si="17">0+3</f>
        <v>3</v>
      </c>
      <c r="C39" s="47">
        <f>0+4-1+1</f>
        <v>4</v>
      </c>
      <c r="D39" s="47">
        <f>0+6</f>
        <v>6</v>
      </c>
      <c r="E39" s="47">
        <f>0+5</f>
        <v>5</v>
      </c>
      <c r="F39" s="47">
        <f>0+4-1+1-1+1</f>
        <v>4</v>
      </c>
      <c r="G39" s="47">
        <f t="shared" ref="G39:H39" si="15">0+3</f>
        <v>3</v>
      </c>
      <c r="H39" s="47">
        <f t="shared" si="15"/>
        <v>3</v>
      </c>
      <c r="I39" s="47">
        <f>0+4</f>
        <v>4</v>
      </c>
      <c r="J39" s="47">
        <f>0+3</f>
        <v>3</v>
      </c>
      <c r="K39" s="47">
        <f t="shared" si="16"/>
        <v>5</v>
      </c>
      <c r="L39" s="47">
        <f>0+11-5+5-2+2-5</f>
        <v>6</v>
      </c>
      <c r="M39" s="47">
        <f>0+10-9+9-1+1-2+2-1-7+7+1-3</f>
        <v>7</v>
      </c>
      <c r="N39" s="47">
        <f>0+10-4+4-1+1-1-5+5+1-5</f>
        <v>5</v>
      </c>
      <c r="O39" s="47">
        <f>0+10-1-4</f>
        <v>5</v>
      </c>
      <c r="P39" s="47">
        <f>0+7+1+1-5</f>
        <v>4</v>
      </c>
      <c r="Q39" s="47">
        <f>0+5+1-1-3</f>
        <v>2</v>
      </c>
      <c r="R39" s="47">
        <f>0+4-2</f>
        <v>2</v>
      </c>
      <c r="S39" s="47">
        <f>0+3</f>
        <v>3</v>
      </c>
      <c r="T39" s="48">
        <f t="shared" si="10"/>
        <v>74</v>
      </c>
      <c r="U39" s="12"/>
      <c r="V39" s="12"/>
      <c r="W39" s="12"/>
      <c r="X39" s="12"/>
      <c r="Y39" s="12"/>
      <c r="Z39" s="12"/>
    </row>
    <row r="40" ht="21.0" customHeight="1">
      <c r="A40" s="23" t="s">
        <v>19</v>
      </c>
      <c r="B40" s="47">
        <f t="shared" si="17"/>
        <v>3</v>
      </c>
      <c r="C40" s="47">
        <f>0+4+3-1+1</f>
        <v>7</v>
      </c>
      <c r="D40" s="47">
        <f>0+2+3+1-1+1</f>
        <v>6</v>
      </c>
      <c r="E40" s="47">
        <f>0+4+3-1</f>
        <v>6</v>
      </c>
      <c r="F40" s="47">
        <f>0+2+3</f>
        <v>5</v>
      </c>
      <c r="G40" s="47">
        <f t="shared" ref="G40:I40" si="18">0+3</f>
        <v>3</v>
      </c>
      <c r="H40" s="47">
        <f t="shared" si="18"/>
        <v>3</v>
      </c>
      <c r="I40" s="47">
        <f t="shared" si="18"/>
        <v>3</v>
      </c>
      <c r="J40" s="47">
        <f>0+6-3</f>
        <v>3</v>
      </c>
      <c r="K40" s="47">
        <f>0+2+3-1+1+3</f>
        <v>8</v>
      </c>
      <c r="L40" s="47">
        <f>0+7+3-5</f>
        <v>5</v>
      </c>
      <c r="M40" s="47">
        <f>0+7+3-2+2-10+10+10-10</f>
        <v>10</v>
      </c>
      <c r="N40" s="47">
        <f>0+6+3-2+2-5+5+5-10</f>
        <v>4</v>
      </c>
      <c r="O40" s="47">
        <f>0+6+3-1+1-1+1-1+1+1-5</f>
        <v>5</v>
      </c>
      <c r="P40" s="47">
        <f>0+2+3-4+4</f>
        <v>5</v>
      </c>
      <c r="Q40" s="47">
        <f>0+6-1-2</f>
        <v>3</v>
      </c>
      <c r="R40" s="47">
        <f>0+4</f>
        <v>4</v>
      </c>
      <c r="S40" s="47">
        <f>0+1</f>
        <v>1</v>
      </c>
      <c r="T40" s="48">
        <f t="shared" si="10"/>
        <v>84</v>
      </c>
      <c r="U40" s="12"/>
      <c r="V40" s="12"/>
      <c r="W40" s="12"/>
      <c r="X40" s="12"/>
      <c r="Y40" s="12"/>
      <c r="Z40" s="12"/>
    </row>
    <row r="41" ht="21.0" customHeight="1">
      <c r="A41" s="23" t="s">
        <v>20</v>
      </c>
      <c r="B41" s="47">
        <f>0+2+1</f>
        <v>3</v>
      </c>
      <c r="C41" s="47">
        <f>0+5+1-1+1</f>
        <v>6</v>
      </c>
      <c r="D41" s="50">
        <f>0+16-1+1</f>
        <v>16</v>
      </c>
      <c r="E41" s="47">
        <f>0+3-1+1-1+1+1</f>
        <v>4</v>
      </c>
      <c r="F41" s="47">
        <f>0+4</f>
        <v>4</v>
      </c>
      <c r="G41" s="47">
        <f>0+3</f>
        <v>3</v>
      </c>
      <c r="H41" s="47">
        <f>0+3-1+1</f>
        <v>3</v>
      </c>
      <c r="I41" s="47">
        <f t="shared" ref="I41:J41" si="19">0+3</f>
        <v>3</v>
      </c>
      <c r="J41" s="47">
        <f t="shared" si="19"/>
        <v>3</v>
      </c>
      <c r="K41" s="47">
        <f>0+6-1+1-1+1</f>
        <v>6</v>
      </c>
      <c r="L41" s="47">
        <f>0+11-5+5-1+1+1-1+1-5</f>
        <v>7</v>
      </c>
      <c r="M41" s="47">
        <f>0+25-10+10-1+1-2-1+1+2+1-1+1-15</f>
        <v>11</v>
      </c>
      <c r="N41" s="47">
        <f>0+8-4+4+1-1+1-1+1-1+1-1-1</f>
        <v>7</v>
      </c>
      <c r="O41" s="47">
        <f>0+11-1-1+1-1-2+1+2+2+1-6</f>
        <v>7</v>
      </c>
      <c r="P41" s="47">
        <f>0+4-1+1-1+1</f>
        <v>4</v>
      </c>
      <c r="Q41" s="47">
        <f>0+4+1</f>
        <v>5</v>
      </c>
      <c r="R41" s="47">
        <f>0+4-1+1-2</f>
        <v>2</v>
      </c>
      <c r="S41" s="47">
        <f>0+4</f>
        <v>4</v>
      </c>
      <c r="T41" s="48">
        <f t="shared" si="10"/>
        <v>98</v>
      </c>
      <c r="U41" s="12"/>
      <c r="V41" s="12"/>
      <c r="W41" s="12"/>
      <c r="X41" s="12"/>
      <c r="Y41" s="12"/>
      <c r="Z41" s="12"/>
    </row>
    <row r="42" ht="21.0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42">
        <f>SUM(T35:T41)</f>
        <v>687</v>
      </c>
      <c r="U42" s="12"/>
      <c r="V42" s="12"/>
      <c r="W42" s="12"/>
      <c r="X42" s="12"/>
      <c r="Y42" s="12"/>
      <c r="Z42" s="12"/>
    </row>
    <row r="43" ht="14.2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11"/>
      <c r="U43" s="12"/>
      <c r="V43" s="12"/>
      <c r="W43" s="12"/>
      <c r="X43" s="12"/>
      <c r="Y43" s="12"/>
      <c r="Z43" s="12"/>
    </row>
    <row r="44" ht="21.0" customHeight="1">
      <c r="A44" s="7"/>
      <c r="B44" s="51" t="s">
        <v>42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3"/>
      <c r="T44" s="11"/>
      <c r="U44" s="12"/>
      <c r="V44" s="12"/>
      <c r="W44" s="12"/>
      <c r="X44" s="12"/>
      <c r="Y44" s="12"/>
      <c r="Z44" s="12"/>
    </row>
    <row r="45" ht="17.25" customHeight="1">
      <c r="A45" s="7"/>
      <c r="B45" s="54" t="s">
        <v>43</v>
      </c>
      <c r="C45" s="3"/>
      <c r="D45" s="3"/>
      <c r="E45" s="3"/>
      <c r="F45" s="3"/>
      <c r="G45" s="3"/>
      <c r="H45" s="3"/>
      <c r="I45" s="3"/>
      <c r="J45" s="55"/>
      <c r="K45" s="56"/>
      <c r="L45" s="7"/>
      <c r="M45" s="7"/>
      <c r="N45" s="7"/>
      <c r="O45" s="7"/>
      <c r="P45" s="7"/>
      <c r="Q45" s="7"/>
      <c r="R45" s="7"/>
      <c r="S45" s="7"/>
      <c r="T45" s="57"/>
      <c r="U45" s="12"/>
      <c r="V45" s="12"/>
      <c r="W45" s="12"/>
      <c r="X45" s="12"/>
      <c r="Y45" s="12"/>
      <c r="Z45" s="12"/>
    </row>
    <row r="46" ht="20.25" customHeight="1">
      <c r="A46" s="17" t="s">
        <v>3</v>
      </c>
      <c r="B46" s="58" t="s">
        <v>4</v>
      </c>
      <c r="C46" s="58" t="s">
        <v>5</v>
      </c>
      <c r="D46" s="58" t="s">
        <v>6</v>
      </c>
      <c r="E46" s="58" t="s">
        <v>7</v>
      </c>
      <c r="F46" s="58" t="s">
        <v>8</v>
      </c>
      <c r="G46" s="58" t="s">
        <v>9</v>
      </c>
      <c r="H46" s="58" t="s">
        <v>10</v>
      </c>
      <c r="I46" s="58" t="s">
        <v>11</v>
      </c>
      <c r="J46" s="59" t="s">
        <v>12</v>
      </c>
      <c r="K46" s="56"/>
      <c r="L46" s="7"/>
      <c r="M46" s="7"/>
      <c r="N46" s="7"/>
      <c r="O46" s="7"/>
      <c r="P46" s="7"/>
      <c r="Q46" s="7"/>
      <c r="R46" s="7"/>
      <c r="S46" s="7"/>
      <c r="T46" s="57"/>
      <c r="U46" s="12"/>
      <c r="V46" s="12"/>
      <c r="W46" s="12"/>
      <c r="X46" s="12"/>
      <c r="Y46" s="12"/>
      <c r="Z46" s="12"/>
    </row>
    <row r="47" ht="18.75" customHeight="1">
      <c r="A47" s="23" t="s">
        <v>14</v>
      </c>
      <c r="B47" s="47">
        <f>0+4-2+2</f>
        <v>4</v>
      </c>
      <c r="C47" s="47">
        <f>0+9+3+3-3-3-1+3+1-1-1+1+1</f>
        <v>12</v>
      </c>
      <c r="D47" s="47">
        <f>0+4+7+7-1-3-6+1+3+6-1-1+1-1-2+1+2+1-1+1-4+4-2+2+2</f>
        <v>20</v>
      </c>
      <c r="E47" s="47">
        <f>0+10+2+2-1-2-2+2+2-3+3-1+1-4+4+1-1-2+2-2+2-1+1+2</f>
        <v>15</v>
      </c>
      <c r="F47" s="47">
        <f>0+7+1+1-2-2+2+2-1-1+1+1-1+1+1-1+1+2-3+3</f>
        <v>12</v>
      </c>
      <c r="G47" s="47">
        <f>0+5-1+1</f>
        <v>5</v>
      </c>
      <c r="H47" s="47">
        <f>0+4-1+1-2+2-1+1</f>
        <v>4</v>
      </c>
      <c r="I47" s="47">
        <f>0+4</f>
        <v>4</v>
      </c>
      <c r="J47" s="47">
        <f>0+3-2+2</f>
        <v>3</v>
      </c>
      <c r="K47" s="60">
        <f t="shared" ref="K47:K52" si="20">SUM(B47:J47)</f>
        <v>79</v>
      </c>
      <c r="L47" s="7"/>
      <c r="M47" s="7"/>
      <c r="N47" s="7"/>
      <c r="O47" s="7"/>
      <c r="P47" s="7"/>
      <c r="Q47" s="7"/>
      <c r="R47" s="7"/>
      <c r="S47" s="7"/>
      <c r="T47" s="57"/>
      <c r="U47" s="12"/>
      <c r="V47" s="12"/>
      <c r="W47" s="12"/>
      <c r="X47" s="12"/>
      <c r="Y47" s="12"/>
      <c r="Z47" s="12"/>
    </row>
    <row r="48" ht="17.25" customHeight="1">
      <c r="A48" s="23" t="s">
        <v>15</v>
      </c>
      <c r="B48" s="47">
        <f>0+3</f>
        <v>3</v>
      </c>
      <c r="C48" s="47">
        <f>0+6+3+1+2-1+1+1</f>
        <v>13</v>
      </c>
      <c r="D48" s="47">
        <f>0+5+7+7-1+1+1</f>
        <v>20</v>
      </c>
      <c r="E48" s="47">
        <f>0+8+2+2-1+1+1-1+1+1</f>
        <v>14</v>
      </c>
      <c r="F48" s="47">
        <f>0+9+1+1-1+1-2+2</f>
        <v>11</v>
      </c>
      <c r="G48" s="47">
        <f>0+6</f>
        <v>6</v>
      </c>
      <c r="H48" s="47">
        <f>0+5-1+1-1+1-1+1</f>
        <v>5</v>
      </c>
      <c r="I48" s="47">
        <f>0+4-1+1+1</f>
        <v>5</v>
      </c>
      <c r="J48" s="47">
        <f>0+4</f>
        <v>4</v>
      </c>
      <c r="K48" s="60">
        <f t="shared" si="20"/>
        <v>81</v>
      </c>
      <c r="L48" s="7"/>
      <c r="M48" s="7"/>
      <c r="N48" s="7"/>
      <c r="O48" s="7"/>
      <c r="P48" s="7"/>
      <c r="Q48" s="7"/>
      <c r="R48" s="7"/>
      <c r="S48" s="7"/>
      <c r="T48" s="57"/>
      <c r="U48" s="12"/>
      <c r="V48" s="12"/>
      <c r="W48" s="12"/>
      <c r="X48" s="12"/>
      <c r="Y48" s="12"/>
      <c r="Z48" s="12"/>
    </row>
    <row r="49" ht="18.75" customHeight="1">
      <c r="A49" s="23" t="s">
        <v>44</v>
      </c>
      <c r="B49" s="47">
        <f>0+3+1</f>
        <v>4</v>
      </c>
      <c r="C49" s="47">
        <f>0+2+3+3-1-1+1</f>
        <v>7</v>
      </c>
      <c r="D49" s="47">
        <f>0+4+1+6+7+1-1+1+2</f>
        <v>21</v>
      </c>
      <c r="E49" s="47">
        <f>0+4+2+3-1-1+1-1+1+2</f>
        <v>10</v>
      </c>
      <c r="F49" s="47">
        <f>0+5+1+1-1-1+1-1+1-2+2</f>
        <v>6</v>
      </c>
      <c r="G49" s="47">
        <f>0+4-1+1</f>
        <v>4</v>
      </c>
      <c r="H49" s="47">
        <f>0+4-1+1-1+1</f>
        <v>4</v>
      </c>
      <c r="I49" s="47">
        <f t="shared" ref="I49:J49" si="21">0+4</f>
        <v>4</v>
      </c>
      <c r="J49" s="47">
        <f t="shared" si="21"/>
        <v>4</v>
      </c>
      <c r="K49" s="60">
        <f t="shared" si="20"/>
        <v>64</v>
      </c>
      <c r="L49" s="7"/>
      <c r="M49" s="7"/>
      <c r="N49" s="7"/>
      <c r="O49" s="7"/>
      <c r="P49" s="7"/>
      <c r="Q49" s="7"/>
      <c r="R49" s="7"/>
      <c r="S49" s="7"/>
      <c r="T49" s="57"/>
      <c r="U49" s="12"/>
      <c r="V49" s="12"/>
      <c r="W49" s="12"/>
      <c r="X49" s="12"/>
      <c r="Y49" s="12"/>
      <c r="Z49" s="12"/>
    </row>
    <row r="50" ht="18.0" customHeight="1">
      <c r="A50" s="23" t="s">
        <v>18</v>
      </c>
      <c r="B50" s="47">
        <f>0+3-1+1-1+1</f>
        <v>3</v>
      </c>
      <c r="C50" s="47">
        <f>0+7-1+1+1</f>
        <v>8</v>
      </c>
      <c r="D50" s="47">
        <f>0+8-1+1-4+4-1+1+1+1</f>
        <v>10</v>
      </c>
      <c r="E50" s="47">
        <f>0+8-1+1+1</f>
        <v>9</v>
      </c>
      <c r="F50" s="47">
        <f>0+5-2+2-1+1</f>
        <v>5</v>
      </c>
      <c r="G50" s="47">
        <f>0+7-3</f>
        <v>4</v>
      </c>
      <c r="H50" s="47">
        <f>0+1+2-1+1-1+1+1</f>
        <v>4</v>
      </c>
      <c r="I50" s="47">
        <f t="shared" ref="I50:I51" si="22">0+4</f>
        <v>4</v>
      </c>
      <c r="J50" s="47">
        <f>0+4-1+1+1</f>
        <v>5</v>
      </c>
      <c r="K50" s="60">
        <f t="shared" si="20"/>
        <v>52</v>
      </c>
      <c r="L50" s="7"/>
      <c r="M50" s="7"/>
      <c r="N50" s="7"/>
      <c r="O50" s="7"/>
      <c r="P50" s="7"/>
      <c r="Q50" s="7"/>
      <c r="R50" s="7"/>
      <c r="S50" s="7"/>
      <c r="T50" s="57"/>
      <c r="U50" s="12"/>
      <c r="V50" s="12"/>
      <c r="W50" s="12"/>
      <c r="X50" s="12"/>
      <c r="Y50" s="12"/>
      <c r="Z50" s="12"/>
    </row>
    <row r="51" ht="21.0" customHeight="1">
      <c r="A51" s="23" t="s">
        <v>19</v>
      </c>
      <c r="B51" s="47">
        <f>0+2-1+1-1</f>
        <v>1</v>
      </c>
      <c r="C51" s="47">
        <f>0+2-1+1-1+3-1+1</f>
        <v>4</v>
      </c>
      <c r="D51" s="47">
        <f>0+1+1+1+1</f>
        <v>4</v>
      </c>
      <c r="E51" s="47">
        <f>0+1</f>
        <v>1</v>
      </c>
      <c r="F51" s="47">
        <f>0+5-1</f>
        <v>4</v>
      </c>
      <c r="G51" s="47">
        <f>0+3-1+1+1-1+1</f>
        <v>4</v>
      </c>
      <c r="H51" s="47">
        <f>0+4+1</f>
        <v>5</v>
      </c>
      <c r="I51" s="47">
        <f t="shared" si="22"/>
        <v>4</v>
      </c>
      <c r="J51" s="47">
        <f>0+4</f>
        <v>4</v>
      </c>
      <c r="K51" s="60">
        <f t="shared" si="20"/>
        <v>31</v>
      </c>
      <c r="L51" s="7"/>
      <c r="M51" s="7"/>
      <c r="N51" s="7"/>
      <c r="O51" s="7"/>
      <c r="P51" s="7"/>
      <c r="Q51" s="7"/>
      <c r="R51" s="7"/>
      <c r="S51" s="7"/>
      <c r="T51" s="57"/>
      <c r="U51" s="12"/>
      <c r="V51" s="12"/>
      <c r="W51" s="12"/>
      <c r="X51" s="12"/>
      <c r="Y51" s="12"/>
      <c r="Z51" s="12"/>
    </row>
    <row r="52" ht="20.25" customHeight="1">
      <c r="A52" s="23" t="s">
        <v>20</v>
      </c>
      <c r="B52" s="47">
        <f>0+5-1+1+1</f>
        <v>6</v>
      </c>
      <c r="C52" s="47">
        <f>0+10-3-1+1</f>
        <v>7</v>
      </c>
      <c r="D52" s="47">
        <f>0+11-1+1-4+4-1-1+1</f>
        <v>10</v>
      </c>
      <c r="E52" s="47">
        <f>0+8-1+1</f>
        <v>8</v>
      </c>
      <c r="F52" s="47">
        <f>0+16-2+2-7+7</f>
        <v>16</v>
      </c>
      <c r="G52" s="47">
        <f>0+4-1+1-1+1</f>
        <v>4</v>
      </c>
      <c r="H52" s="47">
        <f>0+5-1+1-1+1+1</f>
        <v>6</v>
      </c>
      <c r="I52" s="47">
        <f>0+4+1</f>
        <v>5</v>
      </c>
      <c r="J52" s="47">
        <f>0+4-1+1</f>
        <v>4</v>
      </c>
      <c r="K52" s="61">
        <f t="shared" si="20"/>
        <v>66</v>
      </c>
      <c r="L52" s="7"/>
      <c r="M52" s="7"/>
      <c r="N52" s="7"/>
      <c r="O52" s="7"/>
      <c r="P52" s="7"/>
      <c r="Q52" s="7"/>
      <c r="R52" s="7"/>
      <c r="S52" s="7"/>
      <c r="T52" s="57"/>
      <c r="U52" s="12"/>
      <c r="V52" s="12"/>
      <c r="W52" s="12"/>
      <c r="X52" s="12"/>
      <c r="Y52" s="12"/>
      <c r="Z52" s="12"/>
    </row>
    <row r="53" ht="19.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62">
        <f>SUM(K47:K52)</f>
        <v>373</v>
      </c>
      <c r="L53" s="53"/>
      <c r="M53" s="7"/>
      <c r="N53" s="7"/>
      <c r="O53" s="7"/>
      <c r="P53" s="7"/>
      <c r="Q53" s="7"/>
      <c r="R53" s="7"/>
      <c r="S53" s="7"/>
      <c r="T53" s="57"/>
      <c r="U53" s="12"/>
      <c r="V53" s="12"/>
      <c r="W53" s="12"/>
      <c r="X53" s="12"/>
      <c r="Y53" s="12"/>
      <c r="Z53" s="12"/>
    </row>
    <row r="54" ht="14.2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11"/>
      <c r="U54" s="12"/>
      <c r="V54" s="12"/>
      <c r="W54" s="12"/>
      <c r="X54" s="12"/>
      <c r="Y54" s="12"/>
      <c r="Z54" s="12"/>
    </row>
    <row r="55" ht="14.2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11"/>
      <c r="U55" s="12"/>
      <c r="V55" s="12"/>
      <c r="W55" s="12"/>
      <c r="X55" s="12"/>
      <c r="Y55" s="12"/>
      <c r="Z55" s="12"/>
    </row>
    <row r="56" ht="14.2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11"/>
      <c r="U56" s="12"/>
      <c r="V56" s="12"/>
      <c r="W56" s="12"/>
      <c r="X56" s="12"/>
      <c r="Y56" s="12"/>
      <c r="Z56" s="12"/>
    </row>
    <row r="57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11"/>
      <c r="U57" s="12"/>
      <c r="V57" s="12"/>
      <c r="W57" s="12"/>
      <c r="X57" s="12"/>
      <c r="Y57" s="12"/>
      <c r="Z57" s="12"/>
    </row>
    <row r="58" ht="14.2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11"/>
      <c r="U58" s="12"/>
      <c r="V58" s="12"/>
      <c r="W58" s="12"/>
      <c r="X58" s="12"/>
      <c r="Y58" s="12"/>
      <c r="Z58" s="12"/>
    </row>
    <row r="59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11"/>
      <c r="U59" s="12"/>
      <c r="V59" s="12"/>
      <c r="W59" s="12"/>
      <c r="X59" s="12"/>
      <c r="Y59" s="12"/>
      <c r="Z59" s="12"/>
    </row>
    <row r="60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63"/>
      <c r="Q60" s="7"/>
      <c r="R60" s="7"/>
      <c r="S60" s="7"/>
      <c r="T60" s="11"/>
      <c r="U60" s="12"/>
      <c r="V60" s="12"/>
      <c r="W60" s="12"/>
      <c r="X60" s="12"/>
      <c r="Y60" s="12"/>
      <c r="Z60" s="12"/>
    </row>
    <row r="61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11"/>
      <c r="U61" s="12"/>
      <c r="V61" s="12"/>
      <c r="W61" s="12"/>
      <c r="X61" s="12"/>
      <c r="Y61" s="12"/>
      <c r="Z61" s="12"/>
    </row>
    <row r="62" ht="14.2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64"/>
      <c r="U62" s="12"/>
      <c r="V62" s="12"/>
      <c r="W62" s="12"/>
      <c r="X62" s="12"/>
      <c r="Y62" s="12"/>
      <c r="Z62" s="12"/>
    </row>
    <row r="63" ht="14.2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64"/>
      <c r="U63" s="12"/>
      <c r="V63" s="12"/>
      <c r="W63" s="12"/>
      <c r="X63" s="12"/>
      <c r="Y63" s="12"/>
      <c r="Z63" s="12"/>
    </row>
    <row r="64" ht="14.2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64"/>
      <c r="U64" s="12"/>
      <c r="V64" s="12"/>
      <c r="W64" s="12"/>
      <c r="X64" s="12"/>
      <c r="Y64" s="12"/>
      <c r="Z64" s="12"/>
    </row>
    <row r="65" ht="14.2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64"/>
      <c r="U65" s="12"/>
      <c r="V65" s="12"/>
      <c r="W65" s="12"/>
      <c r="X65" s="12"/>
      <c r="Y65" s="12"/>
      <c r="Z65" s="12"/>
    </row>
    <row r="66" ht="14.2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64"/>
      <c r="U66" s="12"/>
      <c r="V66" s="12"/>
      <c r="W66" s="12"/>
      <c r="X66" s="12"/>
      <c r="Y66" s="12"/>
      <c r="Z66" s="12"/>
    </row>
    <row r="67" ht="14.2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64"/>
      <c r="U67" s="12"/>
      <c r="V67" s="12"/>
      <c r="W67" s="12"/>
      <c r="X67" s="12"/>
      <c r="Y67" s="12"/>
      <c r="Z67" s="12"/>
    </row>
    <row r="68" ht="14.2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64"/>
      <c r="U68" s="12"/>
      <c r="V68" s="12"/>
      <c r="W68" s="12"/>
      <c r="X68" s="12"/>
      <c r="Y68" s="12"/>
      <c r="Z68" s="12"/>
    </row>
    <row r="69" ht="14.2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64"/>
      <c r="U69" s="12"/>
      <c r="V69" s="12"/>
      <c r="W69" s="12"/>
      <c r="X69" s="12"/>
      <c r="Y69" s="12"/>
      <c r="Z69" s="12"/>
    </row>
    <row r="70" ht="14.2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64"/>
      <c r="U70" s="12"/>
      <c r="V70" s="12"/>
      <c r="W70" s="12"/>
      <c r="X70" s="12"/>
      <c r="Y70" s="12"/>
      <c r="Z70" s="12"/>
    </row>
    <row r="71" ht="14.2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64"/>
      <c r="U71" s="12"/>
      <c r="V71" s="12"/>
      <c r="W71" s="12"/>
      <c r="X71" s="12"/>
      <c r="Y71" s="12"/>
      <c r="Z71" s="12"/>
    </row>
    <row r="72" ht="14.2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64"/>
      <c r="U72" s="12"/>
      <c r="V72" s="12"/>
      <c r="W72" s="12"/>
      <c r="X72" s="12"/>
      <c r="Y72" s="12"/>
      <c r="Z72" s="12"/>
    </row>
    <row r="73" ht="14.2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64"/>
      <c r="U73" s="12"/>
      <c r="V73" s="12"/>
      <c r="W73" s="12"/>
      <c r="X73" s="12"/>
      <c r="Y73" s="12"/>
      <c r="Z73" s="12"/>
    </row>
    <row r="74" ht="14.2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64"/>
      <c r="U74" s="12"/>
      <c r="V74" s="12"/>
      <c r="W74" s="12"/>
      <c r="X74" s="12"/>
      <c r="Y74" s="12"/>
      <c r="Z74" s="12"/>
    </row>
    <row r="75" ht="14.2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64"/>
      <c r="U75" s="12"/>
      <c r="V75" s="12"/>
      <c r="W75" s="12"/>
      <c r="X75" s="12"/>
      <c r="Y75" s="12"/>
      <c r="Z75" s="12"/>
    </row>
    <row r="76" ht="14.2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64"/>
      <c r="U76" s="12"/>
      <c r="V76" s="12"/>
      <c r="W76" s="12"/>
      <c r="X76" s="12"/>
      <c r="Y76" s="12"/>
      <c r="Z76" s="12"/>
    </row>
    <row r="77" ht="14.2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64"/>
      <c r="U77" s="12"/>
      <c r="V77" s="12"/>
      <c r="W77" s="12"/>
      <c r="X77" s="12"/>
      <c r="Y77" s="12"/>
      <c r="Z77" s="12"/>
    </row>
    <row r="78" ht="14.2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64"/>
      <c r="U78" s="12"/>
      <c r="V78" s="12"/>
      <c r="W78" s="12"/>
      <c r="X78" s="12"/>
      <c r="Y78" s="12"/>
      <c r="Z78" s="12"/>
    </row>
    <row r="79" ht="14.2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64"/>
      <c r="U79" s="12"/>
      <c r="V79" s="12"/>
      <c r="W79" s="12"/>
      <c r="X79" s="12"/>
      <c r="Y79" s="12"/>
      <c r="Z79" s="12"/>
    </row>
    <row r="80" ht="14.2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64"/>
      <c r="U80" s="12"/>
      <c r="V80" s="12"/>
      <c r="W80" s="12"/>
      <c r="X80" s="12"/>
      <c r="Y80" s="12"/>
      <c r="Z80" s="12"/>
    </row>
    <row r="81" ht="14.2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64"/>
      <c r="U81" s="12"/>
      <c r="V81" s="12"/>
      <c r="W81" s="12"/>
      <c r="X81" s="12"/>
      <c r="Y81" s="12"/>
      <c r="Z81" s="12"/>
    </row>
    <row r="82" ht="14.2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64"/>
      <c r="U82" s="12"/>
      <c r="V82" s="12"/>
      <c r="W82" s="12"/>
      <c r="X82" s="12"/>
      <c r="Y82" s="12"/>
      <c r="Z82" s="12"/>
    </row>
    <row r="83" ht="14.2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64"/>
      <c r="U83" s="12"/>
      <c r="V83" s="12"/>
      <c r="W83" s="12"/>
      <c r="X83" s="12"/>
      <c r="Y83" s="12"/>
      <c r="Z83" s="12"/>
    </row>
    <row r="84" ht="14.2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64"/>
      <c r="U84" s="12"/>
      <c r="V84" s="12"/>
      <c r="W84" s="12"/>
      <c r="X84" s="12"/>
      <c r="Y84" s="12"/>
      <c r="Z84" s="12"/>
    </row>
    <row r="85" ht="14.2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64"/>
      <c r="U85" s="12"/>
      <c r="V85" s="12"/>
      <c r="W85" s="12"/>
      <c r="X85" s="12"/>
      <c r="Y85" s="12"/>
      <c r="Z85" s="12"/>
    </row>
    <row r="86" ht="14.2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64"/>
      <c r="U86" s="12"/>
      <c r="V86" s="12"/>
      <c r="W86" s="12"/>
      <c r="X86" s="12"/>
      <c r="Y86" s="12"/>
      <c r="Z86" s="12"/>
    </row>
    <row r="87" ht="14.2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64"/>
      <c r="U87" s="12"/>
      <c r="V87" s="12"/>
      <c r="W87" s="12"/>
      <c r="X87" s="12"/>
      <c r="Y87" s="12"/>
      <c r="Z87" s="12"/>
    </row>
    <row r="88" ht="14.2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64"/>
      <c r="U88" s="12"/>
      <c r="V88" s="12"/>
      <c r="W88" s="12"/>
      <c r="X88" s="12"/>
      <c r="Y88" s="12"/>
      <c r="Z88" s="12"/>
    </row>
    <row r="89" ht="14.2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64"/>
      <c r="U89" s="12"/>
      <c r="V89" s="12"/>
      <c r="W89" s="12"/>
      <c r="X89" s="12"/>
      <c r="Y89" s="12"/>
      <c r="Z89" s="12"/>
    </row>
    <row r="90" ht="14.2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64"/>
      <c r="U90" s="12"/>
      <c r="V90" s="12"/>
      <c r="W90" s="12"/>
      <c r="X90" s="12"/>
      <c r="Y90" s="12"/>
      <c r="Z90" s="12"/>
    </row>
    <row r="91" ht="14.2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64"/>
      <c r="U91" s="12"/>
      <c r="V91" s="12"/>
      <c r="W91" s="12"/>
      <c r="X91" s="12"/>
      <c r="Y91" s="12"/>
      <c r="Z91" s="12"/>
    </row>
    <row r="92" ht="14.2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64"/>
      <c r="U92" s="12"/>
      <c r="V92" s="12"/>
      <c r="W92" s="12"/>
      <c r="X92" s="12"/>
      <c r="Y92" s="12"/>
      <c r="Z92" s="12"/>
    </row>
    <row r="93" ht="14.2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64"/>
      <c r="U93" s="12"/>
      <c r="V93" s="12"/>
      <c r="W93" s="12"/>
      <c r="X93" s="12"/>
      <c r="Y93" s="12"/>
      <c r="Z93" s="12"/>
    </row>
    <row r="94" ht="14.2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64"/>
      <c r="U94" s="12"/>
      <c r="V94" s="12"/>
      <c r="W94" s="12"/>
      <c r="X94" s="12"/>
      <c r="Y94" s="12"/>
      <c r="Z94" s="12"/>
    </row>
    <row r="95" ht="14.2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64"/>
      <c r="U95" s="12"/>
      <c r="V95" s="12"/>
      <c r="W95" s="12"/>
      <c r="X95" s="12"/>
      <c r="Y95" s="12"/>
      <c r="Z95" s="12"/>
    </row>
    <row r="96" ht="14.2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64"/>
      <c r="U96" s="12"/>
      <c r="V96" s="12"/>
      <c r="W96" s="12"/>
      <c r="X96" s="12"/>
      <c r="Y96" s="12"/>
      <c r="Z96" s="12"/>
    </row>
    <row r="97" ht="14.2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64"/>
      <c r="U97" s="12"/>
      <c r="V97" s="12"/>
      <c r="W97" s="12"/>
      <c r="X97" s="12"/>
      <c r="Y97" s="12"/>
      <c r="Z97" s="12"/>
    </row>
    <row r="98" ht="14.2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64"/>
      <c r="U98" s="12"/>
      <c r="V98" s="12"/>
      <c r="W98" s="12"/>
      <c r="X98" s="12"/>
      <c r="Y98" s="12"/>
      <c r="Z98" s="12"/>
    </row>
    <row r="99" ht="14.2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64"/>
      <c r="U99" s="12"/>
      <c r="V99" s="12"/>
      <c r="W99" s="12"/>
      <c r="X99" s="12"/>
      <c r="Y99" s="12"/>
      <c r="Z99" s="12"/>
    </row>
    <row r="100" ht="14.2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64"/>
      <c r="U100" s="12"/>
      <c r="V100" s="12"/>
      <c r="W100" s="12"/>
      <c r="X100" s="12"/>
      <c r="Y100" s="12"/>
      <c r="Z100" s="12"/>
    </row>
    <row r="101" ht="14.2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64"/>
      <c r="U101" s="12"/>
      <c r="V101" s="12"/>
      <c r="W101" s="12"/>
      <c r="X101" s="12"/>
      <c r="Y101" s="12"/>
      <c r="Z101" s="12"/>
    </row>
    <row r="102" ht="14.2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64"/>
      <c r="U102" s="12"/>
      <c r="V102" s="12"/>
      <c r="W102" s="12"/>
      <c r="X102" s="12"/>
      <c r="Y102" s="12"/>
      <c r="Z102" s="12"/>
    </row>
    <row r="103" ht="14.2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64"/>
      <c r="U103" s="12"/>
      <c r="V103" s="12"/>
      <c r="W103" s="12"/>
      <c r="X103" s="12"/>
      <c r="Y103" s="12"/>
      <c r="Z103" s="12"/>
    </row>
    <row r="104" ht="14.2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64"/>
      <c r="U104" s="12"/>
      <c r="V104" s="12"/>
      <c r="W104" s="12"/>
      <c r="X104" s="12"/>
      <c r="Y104" s="12"/>
      <c r="Z104" s="12"/>
    </row>
    <row r="105" ht="14.2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64"/>
      <c r="U105" s="12"/>
      <c r="V105" s="12"/>
      <c r="W105" s="12"/>
      <c r="X105" s="12"/>
      <c r="Y105" s="12"/>
      <c r="Z105" s="12"/>
    </row>
    <row r="106" ht="14.2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64"/>
      <c r="U106" s="12"/>
      <c r="V106" s="12"/>
      <c r="W106" s="12"/>
      <c r="X106" s="12"/>
      <c r="Y106" s="12"/>
      <c r="Z106" s="12"/>
    </row>
    <row r="107" ht="14.2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64"/>
      <c r="U107" s="12"/>
      <c r="V107" s="12"/>
      <c r="W107" s="12"/>
      <c r="X107" s="12"/>
      <c r="Y107" s="12"/>
      <c r="Z107" s="12"/>
    </row>
    <row r="108" ht="14.2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64"/>
      <c r="U108" s="12"/>
      <c r="V108" s="12"/>
      <c r="W108" s="12"/>
      <c r="X108" s="12"/>
      <c r="Y108" s="12"/>
      <c r="Z108" s="12"/>
    </row>
    <row r="109" ht="14.2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64"/>
      <c r="U109" s="12"/>
      <c r="V109" s="12"/>
      <c r="W109" s="12"/>
      <c r="X109" s="12"/>
      <c r="Y109" s="12"/>
      <c r="Z109" s="12"/>
    </row>
    <row r="110" ht="14.2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64"/>
      <c r="U110" s="12"/>
      <c r="V110" s="12"/>
      <c r="W110" s="12"/>
      <c r="X110" s="12"/>
      <c r="Y110" s="12"/>
      <c r="Z110" s="12"/>
    </row>
    <row r="111" ht="14.2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64"/>
      <c r="U111" s="12"/>
      <c r="V111" s="12"/>
      <c r="W111" s="12"/>
      <c r="X111" s="12"/>
      <c r="Y111" s="12"/>
      <c r="Z111" s="12"/>
    </row>
    <row r="112" ht="14.2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64"/>
      <c r="U112" s="12"/>
      <c r="V112" s="12"/>
      <c r="W112" s="12"/>
      <c r="X112" s="12"/>
      <c r="Y112" s="12"/>
      <c r="Z112" s="12"/>
    </row>
    <row r="113" ht="14.2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64"/>
      <c r="U113" s="12"/>
      <c r="V113" s="12"/>
      <c r="W113" s="12"/>
      <c r="X113" s="12"/>
      <c r="Y113" s="12"/>
      <c r="Z113" s="12"/>
    </row>
    <row r="114" ht="14.2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64"/>
      <c r="U114" s="12"/>
      <c r="V114" s="12"/>
      <c r="W114" s="12"/>
      <c r="X114" s="12"/>
      <c r="Y114" s="12"/>
      <c r="Z114" s="12"/>
    </row>
    <row r="115" ht="14.2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64"/>
      <c r="U115" s="12"/>
      <c r="V115" s="12"/>
      <c r="W115" s="12"/>
      <c r="X115" s="12"/>
      <c r="Y115" s="12"/>
      <c r="Z115" s="12"/>
    </row>
    <row r="116" ht="14.2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64"/>
      <c r="U116" s="12"/>
      <c r="V116" s="12"/>
      <c r="W116" s="12"/>
      <c r="X116" s="12"/>
      <c r="Y116" s="12"/>
      <c r="Z116" s="12"/>
    </row>
    <row r="117" ht="14.2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64"/>
      <c r="U117" s="12"/>
      <c r="V117" s="12"/>
      <c r="W117" s="12"/>
      <c r="X117" s="12"/>
      <c r="Y117" s="12"/>
      <c r="Z117" s="12"/>
    </row>
    <row r="118" ht="14.2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64"/>
      <c r="U118" s="12"/>
      <c r="V118" s="12"/>
      <c r="W118" s="12"/>
      <c r="X118" s="12"/>
      <c r="Y118" s="12"/>
      <c r="Z118" s="12"/>
    </row>
    <row r="119" ht="14.2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64"/>
      <c r="U119" s="12"/>
      <c r="V119" s="12"/>
      <c r="W119" s="12"/>
      <c r="X119" s="12"/>
      <c r="Y119" s="12"/>
      <c r="Z119" s="12"/>
    </row>
    <row r="120" ht="14.2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64"/>
      <c r="U120" s="12"/>
      <c r="V120" s="12"/>
      <c r="W120" s="12"/>
      <c r="X120" s="12"/>
      <c r="Y120" s="12"/>
      <c r="Z120" s="12"/>
    </row>
    <row r="121" ht="14.2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64"/>
      <c r="U121" s="12"/>
      <c r="V121" s="12"/>
      <c r="W121" s="12"/>
      <c r="X121" s="12"/>
      <c r="Y121" s="12"/>
      <c r="Z121" s="12"/>
    </row>
    <row r="122" ht="14.2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64"/>
      <c r="U122" s="12"/>
      <c r="V122" s="12"/>
      <c r="W122" s="12"/>
      <c r="X122" s="12"/>
      <c r="Y122" s="12"/>
      <c r="Z122" s="12"/>
    </row>
    <row r="123" ht="14.2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64"/>
      <c r="U123" s="12"/>
      <c r="V123" s="12"/>
      <c r="W123" s="12"/>
      <c r="X123" s="12"/>
      <c r="Y123" s="12"/>
      <c r="Z123" s="12"/>
    </row>
    <row r="124" ht="14.2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64"/>
      <c r="U124" s="12"/>
      <c r="V124" s="12"/>
      <c r="W124" s="12"/>
      <c r="X124" s="12"/>
      <c r="Y124" s="12"/>
      <c r="Z124" s="12"/>
    </row>
    <row r="125" ht="14.2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64"/>
      <c r="U125" s="12"/>
      <c r="V125" s="12"/>
      <c r="W125" s="12"/>
      <c r="X125" s="12"/>
      <c r="Y125" s="12"/>
      <c r="Z125" s="12"/>
    </row>
    <row r="126" ht="14.2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64"/>
      <c r="U126" s="12"/>
      <c r="V126" s="12"/>
      <c r="W126" s="12"/>
      <c r="X126" s="12"/>
      <c r="Y126" s="12"/>
      <c r="Z126" s="12"/>
    </row>
    <row r="127" ht="14.2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64"/>
      <c r="U127" s="12"/>
      <c r="V127" s="12"/>
      <c r="W127" s="12"/>
      <c r="X127" s="12"/>
      <c r="Y127" s="12"/>
      <c r="Z127" s="12"/>
    </row>
    <row r="128" ht="14.2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64"/>
      <c r="U128" s="12"/>
      <c r="V128" s="12"/>
      <c r="W128" s="12"/>
      <c r="X128" s="12"/>
      <c r="Y128" s="12"/>
      <c r="Z128" s="12"/>
    </row>
    <row r="129" ht="14.2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64"/>
      <c r="U129" s="12"/>
      <c r="V129" s="12"/>
      <c r="W129" s="12"/>
      <c r="X129" s="12"/>
      <c r="Y129" s="12"/>
      <c r="Z129" s="12"/>
    </row>
    <row r="130" ht="14.2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64"/>
      <c r="U130" s="12"/>
      <c r="V130" s="12"/>
      <c r="W130" s="12"/>
      <c r="X130" s="12"/>
      <c r="Y130" s="12"/>
      <c r="Z130" s="12"/>
    </row>
    <row r="131" ht="14.2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64"/>
      <c r="U131" s="12"/>
      <c r="V131" s="12"/>
      <c r="W131" s="12"/>
      <c r="X131" s="12"/>
      <c r="Y131" s="12"/>
      <c r="Z131" s="12"/>
    </row>
    <row r="132" ht="14.2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64"/>
      <c r="U132" s="12"/>
      <c r="V132" s="12"/>
      <c r="W132" s="12"/>
      <c r="X132" s="12"/>
      <c r="Y132" s="12"/>
      <c r="Z132" s="12"/>
    </row>
    <row r="133" ht="14.2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64"/>
      <c r="U133" s="12"/>
      <c r="V133" s="12"/>
      <c r="W133" s="12"/>
      <c r="X133" s="12"/>
      <c r="Y133" s="12"/>
      <c r="Z133" s="12"/>
    </row>
    <row r="134" ht="14.2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64"/>
      <c r="U134" s="12"/>
      <c r="V134" s="12"/>
      <c r="W134" s="12"/>
      <c r="X134" s="12"/>
      <c r="Y134" s="12"/>
      <c r="Z134" s="12"/>
    </row>
    <row r="135" ht="14.2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64"/>
      <c r="U135" s="12"/>
      <c r="V135" s="12"/>
      <c r="W135" s="12"/>
      <c r="X135" s="12"/>
      <c r="Y135" s="12"/>
      <c r="Z135" s="12"/>
    </row>
    <row r="136" ht="14.2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64"/>
      <c r="U136" s="12"/>
      <c r="V136" s="12"/>
      <c r="W136" s="12"/>
      <c r="X136" s="12"/>
      <c r="Y136" s="12"/>
      <c r="Z136" s="12"/>
    </row>
    <row r="137" ht="14.2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64"/>
      <c r="U137" s="12"/>
      <c r="V137" s="12"/>
      <c r="W137" s="12"/>
      <c r="X137" s="12"/>
      <c r="Y137" s="12"/>
      <c r="Z137" s="12"/>
    </row>
    <row r="138" ht="14.2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64"/>
      <c r="U138" s="12"/>
      <c r="V138" s="12"/>
      <c r="W138" s="12"/>
      <c r="X138" s="12"/>
      <c r="Y138" s="12"/>
      <c r="Z138" s="12"/>
    </row>
    <row r="139" ht="14.2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64"/>
      <c r="U139" s="12"/>
      <c r="V139" s="12"/>
      <c r="W139" s="12"/>
      <c r="X139" s="12"/>
      <c r="Y139" s="12"/>
      <c r="Z139" s="12"/>
    </row>
    <row r="140" ht="14.2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64"/>
      <c r="U140" s="12"/>
      <c r="V140" s="12"/>
      <c r="W140" s="12"/>
      <c r="X140" s="12"/>
      <c r="Y140" s="12"/>
      <c r="Z140" s="12"/>
    </row>
    <row r="141" ht="14.2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64"/>
      <c r="U141" s="12"/>
      <c r="V141" s="12"/>
      <c r="W141" s="12"/>
      <c r="X141" s="12"/>
      <c r="Y141" s="12"/>
      <c r="Z141" s="12"/>
    </row>
    <row r="142" ht="14.2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64"/>
      <c r="U142" s="12"/>
      <c r="V142" s="12"/>
      <c r="W142" s="12"/>
      <c r="X142" s="12"/>
      <c r="Y142" s="12"/>
      <c r="Z142" s="12"/>
    </row>
    <row r="143" ht="14.2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64"/>
      <c r="U143" s="12"/>
      <c r="V143" s="12"/>
      <c r="W143" s="12"/>
      <c r="X143" s="12"/>
      <c r="Y143" s="12"/>
      <c r="Z143" s="12"/>
    </row>
    <row r="144" ht="14.2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64"/>
      <c r="U144" s="12"/>
      <c r="V144" s="12"/>
      <c r="W144" s="12"/>
      <c r="X144" s="12"/>
      <c r="Y144" s="12"/>
      <c r="Z144" s="12"/>
    </row>
    <row r="145" ht="14.2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64"/>
      <c r="U145" s="12"/>
      <c r="V145" s="12"/>
      <c r="W145" s="12"/>
      <c r="X145" s="12"/>
      <c r="Y145" s="12"/>
      <c r="Z145" s="12"/>
    </row>
    <row r="146" ht="14.2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64"/>
      <c r="U146" s="12"/>
      <c r="V146" s="12"/>
      <c r="W146" s="12"/>
      <c r="X146" s="12"/>
      <c r="Y146" s="12"/>
      <c r="Z146" s="12"/>
    </row>
    <row r="147" ht="14.2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64"/>
      <c r="U147" s="12"/>
      <c r="V147" s="12"/>
      <c r="W147" s="12"/>
      <c r="X147" s="12"/>
      <c r="Y147" s="12"/>
      <c r="Z147" s="12"/>
    </row>
    <row r="148" ht="14.2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64"/>
      <c r="U148" s="12"/>
      <c r="V148" s="12"/>
      <c r="W148" s="12"/>
      <c r="X148" s="12"/>
      <c r="Y148" s="12"/>
      <c r="Z148" s="12"/>
    </row>
    <row r="149" ht="14.2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64"/>
      <c r="U149" s="12"/>
      <c r="V149" s="12"/>
      <c r="W149" s="12"/>
      <c r="X149" s="12"/>
      <c r="Y149" s="12"/>
      <c r="Z149" s="12"/>
    </row>
    <row r="150" ht="14.2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64"/>
      <c r="U150" s="12"/>
      <c r="V150" s="12"/>
      <c r="W150" s="12"/>
      <c r="X150" s="12"/>
      <c r="Y150" s="12"/>
      <c r="Z150" s="12"/>
    </row>
    <row r="151" ht="14.2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64"/>
      <c r="U151" s="12"/>
      <c r="V151" s="12"/>
      <c r="W151" s="12"/>
      <c r="X151" s="12"/>
      <c r="Y151" s="12"/>
      <c r="Z151" s="12"/>
    </row>
    <row r="152" ht="14.2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64"/>
      <c r="U152" s="12"/>
      <c r="V152" s="12"/>
      <c r="W152" s="12"/>
      <c r="X152" s="12"/>
      <c r="Y152" s="12"/>
      <c r="Z152" s="12"/>
    </row>
    <row r="153" ht="14.2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64"/>
      <c r="U153" s="12"/>
      <c r="V153" s="12"/>
      <c r="W153" s="12"/>
      <c r="X153" s="12"/>
      <c r="Y153" s="12"/>
      <c r="Z153" s="12"/>
    </row>
    <row r="154" ht="14.2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64"/>
      <c r="U154" s="12"/>
      <c r="V154" s="12"/>
      <c r="W154" s="12"/>
      <c r="X154" s="12"/>
      <c r="Y154" s="12"/>
      <c r="Z154" s="12"/>
    </row>
    <row r="155" ht="14.2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64"/>
      <c r="U155" s="12"/>
      <c r="V155" s="12"/>
      <c r="W155" s="12"/>
      <c r="X155" s="12"/>
      <c r="Y155" s="12"/>
      <c r="Z155" s="12"/>
    </row>
    <row r="156" ht="14.2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64"/>
      <c r="U156" s="12"/>
      <c r="V156" s="12"/>
      <c r="W156" s="12"/>
      <c r="X156" s="12"/>
      <c r="Y156" s="12"/>
      <c r="Z156" s="12"/>
    </row>
    <row r="157" ht="14.2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64"/>
      <c r="U157" s="12"/>
      <c r="V157" s="12"/>
      <c r="W157" s="12"/>
      <c r="X157" s="12"/>
      <c r="Y157" s="12"/>
      <c r="Z157" s="12"/>
    </row>
    <row r="158" ht="14.2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64"/>
      <c r="U158" s="12"/>
      <c r="V158" s="12"/>
      <c r="W158" s="12"/>
      <c r="X158" s="12"/>
      <c r="Y158" s="12"/>
      <c r="Z158" s="12"/>
    </row>
    <row r="159" ht="14.2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64"/>
      <c r="U159" s="12"/>
      <c r="V159" s="12"/>
      <c r="W159" s="12"/>
      <c r="X159" s="12"/>
      <c r="Y159" s="12"/>
      <c r="Z159" s="12"/>
    </row>
    <row r="160" ht="14.2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64"/>
      <c r="U160" s="12"/>
      <c r="V160" s="12"/>
      <c r="W160" s="12"/>
      <c r="X160" s="12"/>
      <c r="Y160" s="12"/>
      <c r="Z160" s="12"/>
    </row>
    <row r="161" ht="14.2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64"/>
      <c r="U161" s="12"/>
      <c r="V161" s="12"/>
      <c r="W161" s="12"/>
      <c r="X161" s="12"/>
      <c r="Y161" s="12"/>
      <c r="Z161" s="12"/>
    </row>
    <row r="162" ht="14.2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64"/>
      <c r="U162" s="12"/>
      <c r="V162" s="12"/>
      <c r="W162" s="12"/>
      <c r="X162" s="12"/>
      <c r="Y162" s="12"/>
      <c r="Z162" s="12"/>
    </row>
    <row r="163" ht="14.2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64"/>
      <c r="U163" s="12"/>
      <c r="V163" s="12"/>
      <c r="W163" s="12"/>
      <c r="X163" s="12"/>
      <c r="Y163" s="12"/>
      <c r="Z163" s="12"/>
    </row>
    <row r="164" ht="14.2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64"/>
      <c r="U164" s="12"/>
      <c r="V164" s="12"/>
      <c r="W164" s="12"/>
      <c r="X164" s="12"/>
      <c r="Y164" s="12"/>
      <c r="Z164" s="12"/>
    </row>
    <row r="165" ht="14.2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64"/>
      <c r="U165" s="12"/>
      <c r="V165" s="12"/>
      <c r="W165" s="12"/>
      <c r="X165" s="12"/>
      <c r="Y165" s="12"/>
      <c r="Z165" s="12"/>
    </row>
    <row r="166" ht="14.2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64"/>
      <c r="U166" s="12"/>
      <c r="V166" s="12"/>
      <c r="W166" s="12"/>
      <c r="X166" s="12"/>
      <c r="Y166" s="12"/>
      <c r="Z166" s="12"/>
    </row>
    <row r="167" ht="14.2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64"/>
      <c r="U167" s="12"/>
      <c r="V167" s="12"/>
      <c r="W167" s="12"/>
      <c r="X167" s="12"/>
      <c r="Y167" s="12"/>
      <c r="Z167" s="12"/>
    </row>
    <row r="168" ht="14.2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64"/>
      <c r="U168" s="12"/>
      <c r="V168" s="12"/>
      <c r="W168" s="12"/>
      <c r="X168" s="12"/>
      <c r="Y168" s="12"/>
      <c r="Z168" s="12"/>
    </row>
    <row r="169" ht="14.2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64"/>
      <c r="U169" s="12"/>
      <c r="V169" s="12"/>
      <c r="W169" s="12"/>
      <c r="X169" s="12"/>
      <c r="Y169" s="12"/>
      <c r="Z169" s="12"/>
    </row>
    <row r="170" ht="14.2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64"/>
      <c r="U170" s="12"/>
      <c r="V170" s="12"/>
      <c r="W170" s="12"/>
      <c r="X170" s="12"/>
      <c r="Y170" s="12"/>
      <c r="Z170" s="12"/>
    </row>
    <row r="171" ht="14.2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64"/>
      <c r="U171" s="12"/>
      <c r="V171" s="12"/>
      <c r="W171" s="12"/>
      <c r="X171" s="12"/>
      <c r="Y171" s="12"/>
      <c r="Z171" s="12"/>
    </row>
    <row r="172" ht="14.2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64"/>
      <c r="U172" s="12"/>
      <c r="V172" s="12"/>
      <c r="W172" s="12"/>
      <c r="X172" s="12"/>
      <c r="Y172" s="12"/>
      <c r="Z172" s="12"/>
    </row>
    <row r="173" ht="14.2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64"/>
      <c r="U173" s="12"/>
      <c r="V173" s="12"/>
      <c r="W173" s="12"/>
      <c r="X173" s="12"/>
      <c r="Y173" s="12"/>
      <c r="Z173" s="12"/>
    </row>
    <row r="174" ht="14.2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64"/>
      <c r="U174" s="12"/>
      <c r="V174" s="12"/>
      <c r="W174" s="12"/>
      <c r="X174" s="12"/>
      <c r="Y174" s="12"/>
      <c r="Z174" s="12"/>
    </row>
    <row r="175" ht="14.2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64"/>
      <c r="U175" s="12"/>
      <c r="V175" s="12"/>
      <c r="W175" s="12"/>
      <c r="X175" s="12"/>
      <c r="Y175" s="12"/>
      <c r="Z175" s="12"/>
    </row>
    <row r="176" ht="14.2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64"/>
      <c r="U176" s="12"/>
      <c r="V176" s="12"/>
      <c r="W176" s="12"/>
      <c r="X176" s="12"/>
      <c r="Y176" s="12"/>
      <c r="Z176" s="12"/>
    </row>
    <row r="177" ht="14.2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64"/>
      <c r="U177" s="12"/>
      <c r="V177" s="12"/>
      <c r="W177" s="12"/>
      <c r="X177" s="12"/>
      <c r="Y177" s="12"/>
      <c r="Z177" s="12"/>
    </row>
    <row r="178" ht="14.2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64"/>
      <c r="U178" s="12"/>
      <c r="V178" s="12"/>
      <c r="W178" s="12"/>
      <c r="X178" s="12"/>
      <c r="Y178" s="12"/>
      <c r="Z178" s="12"/>
    </row>
    <row r="179" ht="14.2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64"/>
      <c r="U179" s="12"/>
      <c r="V179" s="12"/>
      <c r="W179" s="12"/>
      <c r="X179" s="12"/>
      <c r="Y179" s="12"/>
      <c r="Z179" s="12"/>
    </row>
    <row r="180" ht="14.2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64"/>
      <c r="U180" s="12"/>
      <c r="V180" s="12"/>
      <c r="W180" s="12"/>
      <c r="X180" s="12"/>
      <c r="Y180" s="12"/>
      <c r="Z180" s="12"/>
    </row>
    <row r="181" ht="14.2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64"/>
      <c r="U181" s="12"/>
      <c r="V181" s="12"/>
      <c r="W181" s="12"/>
      <c r="X181" s="12"/>
      <c r="Y181" s="12"/>
      <c r="Z181" s="12"/>
    </row>
    <row r="182" ht="14.2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64"/>
      <c r="U182" s="12"/>
      <c r="V182" s="12"/>
      <c r="W182" s="12"/>
      <c r="X182" s="12"/>
      <c r="Y182" s="12"/>
      <c r="Z182" s="12"/>
    </row>
    <row r="183" ht="14.2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64"/>
      <c r="U183" s="12"/>
      <c r="V183" s="12"/>
      <c r="W183" s="12"/>
      <c r="X183" s="12"/>
      <c r="Y183" s="12"/>
      <c r="Z183" s="12"/>
    </row>
    <row r="184" ht="14.2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64"/>
      <c r="U184" s="12"/>
      <c r="V184" s="12"/>
      <c r="W184" s="12"/>
      <c r="X184" s="12"/>
      <c r="Y184" s="12"/>
      <c r="Z184" s="12"/>
    </row>
    <row r="185" ht="14.2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64"/>
      <c r="U185" s="12"/>
      <c r="V185" s="12"/>
      <c r="W185" s="12"/>
      <c r="X185" s="12"/>
      <c r="Y185" s="12"/>
      <c r="Z185" s="12"/>
    </row>
    <row r="186" ht="14.2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64"/>
      <c r="U186" s="12"/>
      <c r="V186" s="12"/>
      <c r="W186" s="12"/>
      <c r="X186" s="12"/>
      <c r="Y186" s="12"/>
      <c r="Z186" s="12"/>
    </row>
    <row r="187" ht="14.2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64"/>
      <c r="U187" s="12"/>
      <c r="V187" s="12"/>
      <c r="W187" s="12"/>
      <c r="X187" s="12"/>
      <c r="Y187" s="12"/>
      <c r="Z187" s="12"/>
    </row>
    <row r="188" ht="14.2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64"/>
      <c r="U188" s="12"/>
      <c r="V188" s="12"/>
      <c r="W188" s="12"/>
      <c r="X188" s="12"/>
      <c r="Y188" s="12"/>
      <c r="Z188" s="12"/>
    </row>
    <row r="189" ht="14.2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64"/>
      <c r="U189" s="12"/>
      <c r="V189" s="12"/>
      <c r="W189" s="12"/>
      <c r="X189" s="12"/>
      <c r="Y189" s="12"/>
      <c r="Z189" s="12"/>
    </row>
    <row r="190" ht="14.2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64"/>
      <c r="U190" s="43"/>
      <c r="V190" s="43"/>
      <c r="W190" s="43"/>
      <c r="X190" s="43"/>
      <c r="Y190" s="43"/>
      <c r="Z190" s="43"/>
    </row>
    <row r="191" ht="14.2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64"/>
      <c r="U191" s="43"/>
      <c r="V191" s="43"/>
      <c r="W191" s="43"/>
      <c r="X191" s="43"/>
      <c r="Y191" s="43"/>
      <c r="Z191" s="43"/>
    </row>
    <row r="192" ht="14.2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64"/>
      <c r="U192" s="43"/>
      <c r="V192" s="43"/>
      <c r="W192" s="43"/>
      <c r="X192" s="43"/>
      <c r="Y192" s="43"/>
      <c r="Z192" s="43"/>
    </row>
    <row r="193" ht="14.2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64"/>
      <c r="U193" s="43"/>
      <c r="V193" s="43"/>
      <c r="W193" s="43"/>
      <c r="X193" s="43"/>
      <c r="Y193" s="43"/>
      <c r="Z193" s="43"/>
    </row>
    <row r="194" ht="14.2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64"/>
      <c r="U194" s="43"/>
      <c r="V194" s="43"/>
      <c r="W194" s="43"/>
      <c r="X194" s="43"/>
      <c r="Y194" s="43"/>
      <c r="Z194" s="43"/>
    </row>
    <row r="195" ht="14.2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64"/>
      <c r="U195" s="43"/>
      <c r="V195" s="43"/>
      <c r="W195" s="43"/>
      <c r="X195" s="43"/>
      <c r="Y195" s="43"/>
      <c r="Z195" s="43"/>
    </row>
    <row r="196" ht="14.2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64"/>
      <c r="U196" s="43"/>
      <c r="V196" s="43"/>
      <c r="W196" s="43"/>
      <c r="X196" s="43"/>
      <c r="Y196" s="43"/>
      <c r="Z196" s="43"/>
    </row>
    <row r="197" ht="14.2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64"/>
      <c r="U197" s="43"/>
      <c r="V197" s="43"/>
      <c r="W197" s="43"/>
      <c r="X197" s="43"/>
      <c r="Y197" s="43"/>
      <c r="Z197" s="43"/>
    </row>
    <row r="198" ht="14.25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64"/>
      <c r="U198" s="43"/>
      <c r="V198" s="43"/>
      <c r="W198" s="43"/>
      <c r="X198" s="43"/>
      <c r="Y198" s="43"/>
      <c r="Z198" s="43"/>
    </row>
    <row r="199" ht="14.25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64"/>
      <c r="U199" s="43"/>
      <c r="V199" s="43"/>
      <c r="W199" s="43"/>
      <c r="X199" s="43"/>
      <c r="Y199" s="43"/>
      <c r="Z199" s="43"/>
    </row>
    <row r="200" ht="14.25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64"/>
      <c r="U200" s="43"/>
      <c r="V200" s="43"/>
      <c r="W200" s="43"/>
      <c r="X200" s="43"/>
      <c r="Y200" s="43"/>
      <c r="Z200" s="43"/>
    </row>
    <row r="201" ht="14.2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64"/>
      <c r="U201" s="43"/>
      <c r="V201" s="43"/>
      <c r="W201" s="43"/>
      <c r="X201" s="43"/>
      <c r="Y201" s="43"/>
      <c r="Z201" s="43"/>
    </row>
    <row r="202" ht="14.2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64"/>
      <c r="U202" s="43"/>
      <c r="V202" s="43"/>
      <c r="W202" s="43"/>
      <c r="X202" s="43"/>
      <c r="Y202" s="43"/>
      <c r="Z202" s="43"/>
    </row>
    <row r="203" ht="14.2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64"/>
      <c r="U203" s="43"/>
      <c r="V203" s="43"/>
      <c r="W203" s="43"/>
      <c r="X203" s="43"/>
      <c r="Y203" s="43"/>
      <c r="Z203" s="43"/>
    </row>
    <row r="204" ht="14.2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64"/>
      <c r="U204" s="43"/>
      <c r="V204" s="43"/>
      <c r="W204" s="43"/>
      <c r="X204" s="43"/>
      <c r="Y204" s="43"/>
      <c r="Z204" s="43"/>
    </row>
    <row r="205" ht="14.2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64"/>
      <c r="U205" s="43"/>
      <c r="V205" s="43"/>
      <c r="W205" s="43"/>
      <c r="X205" s="43"/>
      <c r="Y205" s="43"/>
      <c r="Z205" s="43"/>
    </row>
    <row r="206" ht="14.2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64"/>
      <c r="U206" s="43"/>
      <c r="V206" s="43"/>
      <c r="W206" s="43"/>
      <c r="X206" s="43"/>
      <c r="Y206" s="43"/>
      <c r="Z206" s="43"/>
    </row>
    <row r="207" ht="14.2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64"/>
      <c r="U207" s="43"/>
      <c r="V207" s="43"/>
      <c r="W207" s="43"/>
      <c r="X207" s="43"/>
      <c r="Y207" s="43"/>
      <c r="Z207" s="43"/>
    </row>
    <row r="208" ht="14.2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64"/>
      <c r="U208" s="43"/>
      <c r="V208" s="43"/>
      <c r="W208" s="43"/>
      <c r="X208" s="43"/>
      <c r="Y208" s="43"/>
      <c r="Z208" s="43"/>
    </row>
    <row r="209" ht="14.2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64"/>
      <c r="U209" s="43"/>
      <c r="V209" s="43"/>
      <c r="W209" s="43"/>
      <c r="X209" s="43"/>
      <c r="Y209" s="43"/>
      <c r="Z209" s="43"/>
    </row>
    <row r="210" ht="14.2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64"/>
      <c r="U210" s="43"/>
      <c r="V210" s="43"/>
      <c r="W210" s="43"/>
      <c r="X210" s="43"/>
      <c r="Y210" s="43"/>
      <c r="Z210" s="43"/>
    </row>
    <row r="211" ht="14.2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64"/>
      <c r="U211" s="43"/>
      <c r="V211" s="43"/>
      <c r="W211" s="43"/>
      <c r="X211" s="43"/>
      <c r="Y211" s="43"/>
      <c r="Z211" s="43"/>
    </row>
    <row r="212" ht="14.2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64"/>
      <c r="U212" s="43"/>
      <c r="V212" s="43"/>
      <c r="W212" s="43"/>
      <c r="X212" s="43"/>
      <c r="Y212" s="43"/>
      <c r="Z212" s="43"/>
    </row>
    <row r="213" ht="14.2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64"/>
      <c r="U213" s="43"/>
      <c r="V213" s="43"/>
      <c r="W213" s="43"/>
      <c r="X213" s="43"/>
      <c r="Y213" s="43"/>
      <c r="Z213" s="43"/>
    </row>
    <row r="214" ht="14.2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64"/>
      <c r="U214" s="43"/>
      <c r="V214" s="43"/>
      <c r="W214" s="43"/>
      <c r="X214" s="43"/>
      <c r="Y214" s="43"/>
      <c r="Z214" s="43"/>
    </row>
    <row r="215" ht="14.2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64"/>
      <c r="U215" s="43"/>
      <c r="V215" s="43"/>
      <c r="W215" s="43"/>
      <c r="X215" s="43"/>
      <c r="Y215" s="43"/>
      <c r="Z215" s="43"/>
    </row>
    <row r="216" ht="14.2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64"/>
      <c r="U216" s="43"/>
      <c r="V216" s="43"/>
      <c r="W216" s="43"/>
      <c r="X216" s="43"/>
      <c r="Y216" s="43"/>
      <c r="Z216" s="43"/>
    </row>
    <row r="217" ht="14.2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64"/>
      <c r="U217" s="43"/>
      <c r="V217" s="43"/>
      <c r="W217" s="43"/>
      <c r="X217" s="43"/>
      <c r="Y217" s="43"/>
      <c r="Z217" s="43"/>
    </row>
    <row r="218" ht="14.2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64"/>
      <c r="U218" s="43"/>
      <c r="V218" s="43"/>
      <c r="W218" s="43"/>
      <c r="X218" s="43"/>
      <c r="Y218" s="43"/>
      <c r="Z218" s="43"/>
    </row>
    <row r="219" ht="14.2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64"/>
      <c r="U219" s="43"/>
      <c r="V219" s="43"/>
      <c r="W219" s="43"/>
      <c r="X219" s="43"/>
      <c r="Y219" s="43"/>
      <c r="Z219" s="43"/>
    </row>
    <row r="220" ht="14.2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64"/>
      <c r="U220" s="43"/>
      <c r="V220" s="43"/>
      <c r="W220" s="43"/>
      <c r="X220" s="43"/>
      <c r="Y220" s="43"/>
      <c r="Z220" s="43"/>
    </row>
    <row r="221" ht="14.2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64"/>
      <c r="U221" s="43"/>
      <c r="V221" s="43"/>
      <c r="W221" s="43"/>
      <c r="X221" s="43"/>
      <c r="Y221" s="43"/>
      <c r="Z221" s="43"/>
    </row>
    <row r="222" ht="14.2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64"/>
      <c r="U222" s="43"/>
      <c r="V222" s="43"/>
      <c r="W222" s="43"/>
      <c r="X222" s="43"/>
      <c r="Y222" s="43"/>
      <c r="Z222" s="43"/>
    </row>
    <row r="223" ht="14.2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64"/>
      <c r="U223" s="43"/>
      <c r="V223" s="43"/>
      <c r="W223" s="43"/>
      <c r="X223" s="43"/>
      <c r="Y223" s="43"/>
      <c r="Z223" s="43"/>
    </row>
    <row r="224" ht="14.2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64"/>
      <c r="U224" s="43"/>
      <c r="V224" s="43"/>
      <c r="W224" s="43"/>
      <c r="X224" s="43"/>
      <c r="Y224" s="43"/>
      <c r="Z224" s="43"/>
    </row>
    <row r="225" ht="14.2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64"/>
      <c r="U225" s="43"/>
      <c r="V225" s="43"/>
      <c r="W225" s="43"/>
      <c r="X225" s="43"/>
      <c r="Y225" s="43"/>
      <c r="Z225" s="43"/>
    </row>
    <row r="226" ht="14.2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64"/>
      <c r="U226" s="43"/>
      <c r="V226" s="43"/>
      <c r="W226" s="43"/>
      <c r="X226" s="43"/>
      <c r="Y226" s="43"/>
      <c r="Z226" s="43"/>
    </row>
    <row r="227" ht="14.2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64"/>
      <c r="U227" s="43"/>
      <c r="V227" s="43"/>
      <c r="W227" s="43"/>
      <c r="X227" s="43"/>
      <c r="Y227" s="43"/>
      <c r="Z227" s="43"/>
    </row>
    <row r="228" ht="14.2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64"/>
      <c r="U228" s="43"/>
      <c r="V228" s="43"/>
      <c r="W228" s="43"/>
      <c r="X228" s="43"/>
      <c r="Y228" s="43"/>
      <c r="Z228" s="43"/>
    </row>
    <row r="229" ht="14.2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64"/>
      <c r="U229" s="43"/>
      <c r="V229" s="43"/>
      <c r="W229" s="43"/>
      <c r="X229" s="43"/>
      <c r="Y229" s="43"/>
      <c r="Z229" s="43"/>
    </row>
    <row r="230" ht="14.2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64"/>
      <c r="U230" s="43"/>
      <c r="V230" s="43"/>
      <c r="W230" s="43"/>
      <c r="X230" s="43"/>
      <c r="Y230" s="43"/>
      <c r="Z230" s="43"/>
    </row>
    <row r="231" ht="14.2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64"/>
      <c r="U231" s="43"/>
      <c r="V231" s="43"/>
      <c r="W231" s="43"/>
      <c r="X231" s="43"/>
      <c r="Y231" s="43"/>
      <c r="Z231" s="43"/>
    </row>
    <row r="232" ht="14.2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64"/>
      <c r="U232" s="43"/>
      <c r="V232" s="43"/>
      <c r="W232" s="43"/>
      <c r="X232" s="43"/>
      <c r="Y232" s="43"/>
      <c r="Z232" s="43"/>
    </row>
    <row r="233" ht="14.2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64"/>
      <c r="U233" s="43"/>
      <c r="V233" s="43"/>
      <c r="W233" s="43"/>
      <c r="X233" s="43"/>
      <c r="Y233" s="43"/>
      <c r="Z233" s="43"/>
    </row>
    <row r="234" ht="14.2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64"/>
      <c r="U234" s="43"/>
      <c r="V234" s="43"/>
      <c r="W234" s="43"/>
      <c r="X234" s="43"/>
      <c r="Y234" s="43"/>
      <c r="Z234" s="43"/>
    </row>
    <row r="235" ht="14.2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64"/>
      <c r="U235" s="43"/>
      <c r="V235" s="43"/>
      <c r="W235" s="43"/>
      <c r="X235" s="43"/>
      <c r="Y235" s="43"/>
      <c r="Z235" s="43"/>
    </row>
    <row r="236" ht="14.2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64"/>
      <c r="U236" s="43"/>
      <c r="V236" s="43"/>
      <c r="W236" s="43"/>
      <c r="X236" s="43"/>
      <c r="Y236" s="43"/>
      <c r="Z236" s="43"/>
    </row>
    <row r="237" ht="14.2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64"/>
      <c r="U237" s="43"/>
      <c r="V237" s="43"/>
      <c r="W237" s="43"/>
      <c r="X237" s="43"/>
      <c r="Y237" s="43"/>
      <c r="Z237" s="43"/>
    </row>
    <row r="238" ht="14.2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64"/>
      <c r="U238" s="43"/>
      <c r="V238" s="43"/>
      <c r="W238" s="43"/>
      <c r="X238" s="43"/>
      <c r="Y238" s="43"/>
      <c r="Z238" s="43"/>
    </row>
    <row r="239" ht="14.2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64"/>
      <c r="U239" s="43"/>
      <c r="V239" s="43"/>
      <c r="W239" s="43"/>
      <c r="X239" s="43"/>
      <c r="Y239" s="43"/>
      <c r="Z239" s="43"/>
    </row>
    <row r="240" ht="14.2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64"/>
      <c r="U240" s="43"/>
      <c r="V240" s="43"/>
      <c r="W240" s="43"/>
      <c r="X240" s="43"/>
      <c r="Y240" s="43"/>
      <c r="Z240" s="43"/>
    </row>
    <row r="241" ht="14.2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64"/>
      <c r="U241" s="43"/>
      <c r="V241" s="43"/>
      <c r="W241" s="43"/>
      <c r="X241" s="43"/>
      <c r="Y241" s="43"/>
      <c r="Z241" s="43"/>
    </row>
    <row r="242" ht="14.2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64"/>
      <c r="U242" s="43"/>
      <c r="V242" s="43"/>
      <c r="W242" s="43"/>
      <c r="X242" s="43"/>
      <c r="Y242" s="43"/>
      <c r="Z242" s="43"/>
    </row>
    <row r="243" ht="14.2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64"/>
      <c r="U243" s="43"/>
      <c r="V243" s="43"/>
      <c r="W243" s="43"/>
      <c r="X243" s="43"/>
      <c r="Y243" s="43"/>
      <c r="Z243" s="43"/>
    </row>
    <row r="244" ht="14.2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64"/>
      <c r="U244" s="43"/>
      <c r="V244" s="43"/>
      <c r="W244" s="43"/>
      <c r="X244" s="43"/>
      <c r="Y244" s="43"/>
      <c r="Z244" s="43"/>
    </row>
    <row r="245" ht="14.2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64"/>
      <c r="U245" s="43"/>
      <c r="V245" s="43"/>
      <c r="W245" s="43"/>
      <c r="X245" s="43"/>
      <c r="Y245" s="43"/>
      <c r="Z245" s="43"/>
    </row>
    <row r="246" ht="14.2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64"/>
      <c r="U246" s="43"/>
      <c r="V246" s="43"/>
      <c r="W246" s="43"/>
      <c r="X246" s="43"/>
      <c r="Y246" s="43"/>
      <c r="Z246" s="43"/>
    </row>
    <row r="247" ht="14.2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64"/>
      <c r="U247" s="43"/>
      <c r="V247" s="43"/>
      <c r="W247" s="43"/>
      <c r="X247" s="43"/>
      <c r="Y247" s="43"/>
      <c r="Z247" s="43"/>
    </row>
    <row r="248" ht="14.2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64"/>
      <c r="U248" s="43"/>
      <c r="V248" s="43"/>
      <c r="W248" s="43"/>
      <c r="X248" s="43"/>
      <c r="Y248" s="43"/>
      <c r="Z248" s="43"/>
    </row>
    <row r="249" ht="14.25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64"/>
      <c r="U249" s="43"/>
      <c r="V249" s="43"/>
      <c r="W249" s="43"/>
      <c r="X249" s="43"/>
      <c r="Y249" s="43"/>
      <c r="Z249" s="43"/>
    </row>
    <row r="250" ht="14.25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64"/>
      <c r="U250" s="43"/>
      <c r="V250" s="43"/>
      <c r="W250" s="43"/>
      <c r="X250" s="43"/>
      <c r="Y250" s="43"/>
      <c r="Z250" s="43"/>
    </row>
    <row r="251" ht="14.25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64"/>
      <c r="U251" s="43"/>
      <c r="V251" s="43"/>
      <c r="W251" s="43"/>
      <c r="X251" s="43"/>
      <c r="Y251" s="43"/>
      <c r="Z251" s="43"/>
    </row>
    <row r="252" ht="14.25" customHeight="1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64"/>
      <c r="U252" s="43"/>
      <c r="V252" s="43"/>
      <c r="W252" s="43"/>
      <c r="X252" s="43"/>
      <c r="Y252" s="43"/>
      <c r="Z252" s="43"/>
    </row>
    <row r="253" ht="14.25" customHeight="1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64"/>
      <c r="U253" s="43"/>
      <c r="V253" s="43"/>
      <c r="W253" s="43"/>
      <c r="X253" s="43"/>
      <c r="Y253" s="43"/>
      <c r="Z253" s="43"/>
    </row>
    <row r="254" ht="15.75" customHeight="1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ht="15.75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ht="15.75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ht="15.75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ht="15.75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ht="15.75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ht="15.75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ht="15.75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ht="15.75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ht="15.75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ht="15.75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ht="15.75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ht="15.75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ht="15.75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ht="15.75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ht="15.75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ht="15.75" customHeight="1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ht="15.75" customHeight="1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ht="15.75" customHeight="1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ht="15.75" customHeigh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ht="15.75" customHeigh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ht="15.75" customHeigh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ht="15.75" customHeigh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ht="15.75" customHeigh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ht="15.75" customHeigh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ht="15.75" customHeigh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ht="15.75" customHeigh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ht="15.75" customHeigh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ht="15.75" customHeigh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ht="15.75" customHeigh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ht="15.75" customHeigh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ht="15.75" customHeigh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ht="15.75" customHeigh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ht="15.75" customHeigh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ht="15.75" customHeight="1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ht="15.75" customHeight="1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ht="15.75" customHeight="1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ht="15.75" customHeigh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ht="15.75" customHeigh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ht="15.75" customHeigh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ht="15.75" customHeigh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ht="15.75" customHeigh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ht="15.75" customHeigh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ht="15.75" customHeigh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ht="15.75" customHeigh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ht="15.75" customHeigh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ht="15.75" customHeigh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ht="15.75" customHeight="1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ht="15.75" customHeight="1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ht="15.75" customHeight="1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ht="15.75" customHeight="1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ht="15.75" customHeight="1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ht="15.75" customHeight="1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ht="15.75" customHeight="1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ht="15.75" customHeight="1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ht="15.75" customHeight="1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ht="15.75" customHeight="1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ht="15.75" customHeight="1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ht="15.75" customHeight="1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ht="15.75" customHeight="1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ht="15.75" customHeight="1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ht="15.75" customHeight="1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ht="15.75" customHeight="1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ht="15.75" customHeight="1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ht="15.75" customHeight="1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ht="15.75" customHeight="1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ht="15.75" customHeight="1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ht="15.75" customHeight="1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ht="15.75" customHeight="1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ht="15.75" customHeight="1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ht="15.75" customHeight="1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ht="15.75" customHeight="1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ht="15.75" customHeight="1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ht="15.75" customHeight="1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ht="15.75" customHeight="1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ht="15.75" customHeight="1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ht="15.75" customHeight="1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ht="15.75" customHeight="1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ht="15.75" customHeight="1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ht="15.75" customHeight="1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ht="15.75" customHeight="1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ht="15.75" customHeight="1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ht="15.75" customHeight="1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ht="15.75" customHeight="1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ht="15.75" customHeight="1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ht="15.75" customHeight="1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ht="15.75" customHeight="1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ht="15.75" customHeight="1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ht="15.75" customHeight="1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ht="15.75" customHeight="1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ht="15.75" customHeight="1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ht="15.75" customHeight="1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ht="15.75" customHeight="1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ht="15.75" customHeight="1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ht="15.75" customHeight="1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ht="15.75" customHeight="1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ht="15.75" customHeight="1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ht="15.75" customHeight="1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ht="15.75" customHeight="1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ht="15.75" customHeight="1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ht="15.75" customHeight="1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ht="15.75" customHeight="1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ht="15.75" customHeight="1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ht="15.75" customHeight="1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ht="15.75" customHeight="1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ht="15.75" customHeight="1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ht="15.75" customHeight="1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ht="15.75" customHeight="1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ht="15.75" customHeight="1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ht="15.75" customHeight="1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ht="15.75" customHeight="1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ht="15.75" customHeight="1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ht="15.75" customHeight="1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ht="15.75" customHeight="1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ht="15.75" customHeight="1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ht="15.75" customHeight="1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ht="15.75" customHeight="1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ht="15.75" customHeight="1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ht="15.75" customHeight="1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ht="15.75" customHeight="1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ht="15.75" customHeight="1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ht="15.75" customHeight="1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ht="15.75" customHeight="1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ht="15.75" customHeight="1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ht="15.75" customHeight="1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ht="15.75" customHeight="1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ht="15.75" customHeight="1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ht="15.75" customHeight="1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ht="15.75" customHeight="1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ht="15.75" customHeight="1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ht="15.75" customHeight="1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ht="15.75" customHeight="1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ht="15.75" customHeight="1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ht="15.75" customHeight="1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ht="15.75" customHeight="1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ht="15.75" customHeight="1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ht="15.75" customHeight="1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ht="15.75" customHeight="1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ht="15.75" customHeight="1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ht="15.75" customHeight="1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ht="15.75" customHeight="1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ht="15.75" customHeight="1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ht="15.75" customHeight="1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ht="15.75" customHeight="1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ht="15.75" customHeight="1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ht="15.75" customHeight="1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ht="15.75" customHeight="1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ht="15.75" customHeight="1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ht="15.75" customHeight="1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ht="15.75" customHeight="1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ht="15.75" customHeight="1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ht="15.75" customHeight="1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ht="15.75" customHeight="1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ht="15.75" customHeight="1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ht="15.75" customHeight="1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ht="15.75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ht="15.75" customHeight="1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ht="15.75" customHeight="1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ht="15.75" customHeight="1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ht="15.75" customHeight="1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ht="15.75" customHeight="1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ht="15.75" customHeight="1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ht="15.75" customHeight="1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ht="15.75" customHeight="1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ht="15.75" customHeight="1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ht="15.75" customHeight="1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ht="15.75" customHeight="1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ht="15.75" customHeight="1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ht="15.75" customHeigh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ht="15.75" customHeight="1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ht="15.75" customHeight="1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ht="15.75" customHeight="1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ht="15.75" customHeight="1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ht="15.75" customHeight="1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ht="15.75" customHeight="1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ht="15.75" customHeight="1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ht="15.75" customHeight="1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ht="15.75" customHeight="1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ht="15.75" customHeight="1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ht="15.75" customHeight="1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ht="15.75" customHeight="1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ht="15.75" customHeight="1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ht="15.75" customHeight="1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ht="15.75" customHeight="1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ht="15.75" customHeight="1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ht="15.75" customHeight="1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ht="15.75" customHeight="1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ht="15.75" customHeight="1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ht="15.75" customHeight="1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ht="15.75" customHeight="1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ht="15.75" customHeight="1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ht="15.75" customHeight="1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ht="15.75" customHeight="1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ht="15.75" customHeight="1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ht="15.75" customHeight="1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ht="15.75" customHeight="1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ht="15.75" customHeight="1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ht="15.75" customHeight="1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ht="15.75" customHeight="1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ht="15.75" customHeight="1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ht="15.75" customHeight="1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ht="15.75" customHeight="1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ht="15.75" customHeight="1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ht="15.75" customHeight="1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ht="15.75" customHeight="1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ht="15.75" customHeight="1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ht="15.75" customHeight="1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ht="15.75" customHeight="1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ht="15.75" customHeight="1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ht="15.75" customHeight="1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ht="15.75" customHeight="1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ht="15.75" customHeight="1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ht="15.75" customHeight="1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ht="15.75" customHeight="1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ht="15.75" customHeight="1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ht="15.75" customHeight="1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ht="15.75" customHeight="1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ht="15.75" customHeight="1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ht="15.75" customHeight="1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ht="15.75" customHeight="1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ht="15.75" customHeight="1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ht="15.75" customHeight="1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ht="15.75" customHeight="1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ht="15.75" customHeight="1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ht="15.75" customHeight="1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ht="15.75" customHeight="1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ht="15.75" customHeight="1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ht="15.75" customHeight="1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ht="15.75" customHeight="1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ht="15.75" customHeight="1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ht="15.75" customHeight="1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ht="15.75" customHeight="1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ht="15.75" customHeight="1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ht="15.75" customHeight="1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ht="15.75" customHeight="1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ht="15.75" customHeight="1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ht="15.75" customHeight="1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ht="15.75" customHeight="1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ht="15.75" customHeight="1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ht="15.75" customHeight="1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ht="15.75" customHeight="1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ht="15.75" customHeight="1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ht="15.75" customHeight="1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ht="15.75" customHeight="1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ht="15.75" customHeight="1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ht="15.75" customHeight="1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ht="15.75" customHeight="1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ht="15.75" customHeight="1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ht="15.75" customHeight="1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ht="15.75" customHeight="1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ht="15.75" customHeight="1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ht="15.75" customHeight="1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ht="15.75" customHeight="1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ht="15.75" customHeight="1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ht="15.75" customHeight="1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ht="15.75" customHeight="1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ht="15.75" customHeight="1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ht="15.75" customHeight="1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ht="15.75" customHeight="1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ht="15.75" customHeight="1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ht="15.75" customHeight="1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ht="15.75" customHeight="1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ht="15.75" customHeight="1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ht="15.75" customHeight="1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ht="15.75" customHeight="1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ht="15.75" customHeight="1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ht="15.75" customHeight="1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ht="15.75" customHeight="1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ht="15.75" customHeight="1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ht="15.75" customHeight="1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ht="15.75" customHeight="1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ht="15.75" customHeight="1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ht="15.75" customHeight="1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ht="15.75" customHeight="1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ht="15.75" customHeight="1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ht="15.75" customHeight="1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ht="15.75" customHeight="1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ht="15.75" customHeight="1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ht="15.75" customHeight="1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ht="15.75" customHeight="1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ht="15.75" customHeight="1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ht="15.75" customHeight="1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ht="15.75" customHeight="1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ht="15.75" customHeight="1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ht="15.75" customHeight="1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ht="15.75" customHeight="1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ht="15.75" customHeight="1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ht="15.75" customHeight="1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ht="15.75" customHeight="1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ht="15.75" customHeight="1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ht="15.75" customHeight="1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ht="15.75" customHeight="1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ht="15.75" customHeight="1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ht="15.75" customHeight="1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ht="15.75" customHeight="1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ht="15.75" customHeight="1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ht="15.75" customHeight="1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ht="15.75" customHeight="1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ht="15.75" customHeight="1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ht="15.75" customHeight="1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ht="15.75" customHeight="1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ht="15.75" customHeight="1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ht="15.75" customHeight="1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ht="15.75" customHeight="1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ht="15.75" customHeight="1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ht="15.75" customHeight="1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ht="15.75" customHeight="1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ht="15.75" customHeight="1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ht="15.75" customHeight="1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ht="15.75" customHeight="1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ht="15.75" customHeight="1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ht="15.75" customHeight="1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ht="15.75" customHeight="1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ht="15.75" customHeight="1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ht="15.75" customHeight="1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ht="15.75" customHeight="1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ht="15.75" customHeight="1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ht="15.75" customHeight="1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ht="15.75" customHeight="1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ht="15.75" customHeight="1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ht="15.75" customHeight="1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ht="15.75" customHeight="1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ht="15.75" customHeight="1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ht="15.75" customHeight="1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ht="15.75" customHeight="1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ht="15.75" customHeight="1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ht="15.75" customHeight="1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ht="15.75" customHeight="1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ht="15.75" customHeight="1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ht="15.75" customHeight="1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ht="15.75" customHeight="1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ht="15.75" customHeight="1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ht="15.75" customHeight="1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ht="15.75" customHeight="1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ht="15.75" customHeight="1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ht="15.75" customHeight="1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ht="15.75" customHeight="1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ht="15.75" customHeight="1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ht="15.75" customHeight="1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ht="15.75" customHeight="1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ht="15.75" customHeight="1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ht="15.75" customHeight="1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ht="15.75" customHeight="1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ht="15.75" customHeight="1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ht="15.75" customHeight="1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ht="15.75" customHeight="1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ht="15.75" customHeight="1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ht="15.75" customHeight="1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ht="15.75" customHeight="1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ht="15.75" customHeight="1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ht="15.75" customHeight="1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ht="15.75" customHeight="1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ht="15.75" customHeight="1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ht="15.75" customHeight="1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ht="15.75" customHeight="1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ht="15.75" customHeight="1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ht="15.75" customHeight="1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ht="15.75" customHeight="1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ht="15.75" customHeight="1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ht="15.75" customHeight="1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ht="15.75" customHeight="1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ht="15.75" customHeight="1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ht="15.75" customHeight="1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ht="15.75" customHeight="1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ht="15.75" customHeight="1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ht="15.75" customHeight="1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ht="15.75" customHeight="1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ht="15.75" customHeight="1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ht="15.75" customHeight="1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ht="15.75" customHeight="1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ht="15.75" customHeight="1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ht="15.75" customHeight="1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ht="15.75" customHeight="1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ht="15.75" customHeight="1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ht="15.75" customHeight="1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ht="15.75" customHeight="1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ht="15.75" customHeight="1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ht="15.75" customHeight="1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ht="15.75" customHeight="1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ht="15.75" customHeight="1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ht="15.75" customHeight="1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ht="15.75" customHeight="1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ht="15.75" customHeight="1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ht="15.75" customHeight="1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ht="15.75" customHeight="1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ht="15.75" customHeight="1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ht="15.75" customHeight="1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ht="15.75" customHeight="1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ht="15.75" customHeight="1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ht="15.75" customHeight="1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ht="15.75" customHeight="1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ht="15.75" customHeight="1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ht="15.75" customHeight="1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ht="15.75" customHeight="1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ht="15.75" customHeight="1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ht="15.75" customHeight="1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ht="15.75" customHeight="1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ht="15.75" customHeight="1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ht="15.75" customHeight="1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ht="15.75" customHeight="1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ht="15.75" customHeight="1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ht="15.75" customHeight="1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ht="15.75" customHeight="1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ht="15.75" customHeight="1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ht="15.75" customHeight="1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ht="15.75" customHeight="1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ht="15.75" customHeight="1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ht="15.75" customHeight="1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ht="15.75" customHeight="1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ht="15.75" customHeight="1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ht="15.75" customHeight="1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ht="15.75" customHeight="1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ht="15.75" customHeight="1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ht="15.75" customHeight="1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ht="15.75" customHeight="1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ht="15.75" customHeight="1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ht="15.75" customHeight="1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ht="15.75" customHeight="1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ht="15.75" customHeight="1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ht="15.75" customHeight="1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ht="15.75" customHeight="1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ht="15.75" customHeight="1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ht="15.75" customHeight="1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ht="15.75" customHeight="1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ht="15.75" customHeight="1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ht="15.75" customHeight="1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ht="15.75" customHeight="1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ht="15.75" customHeight="1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ht="15.75" customHeight="1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ht="15.75" customHeight="1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ht="15.75" customHeight="1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ht="15.75" customHeight="1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ht="15.75" customHeight="1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ht="15.75" customHeight="1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ht="15.75" customHeight="1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ht="15.75" customHeight="1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ht="15.75" customHeight="1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ht="15.75" customHeight="1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ht="15.75" customHeight="1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ht="15.75" customHeight="1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ht="15.75" customHeight="1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ht="15.75" customHeight="1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ht="15.75" customHeight="1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ht="15.75" customHeight="1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ht="15.75" customHeight="1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ht="15.75" customHeight="1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ht="15.75" customHeight="1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ht="15.75" customHeight="1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ht="15.75" customHeight="1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ht="15.75" customHeight="1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ht="15.75" customHeight="1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ht="15.75" customHeight="1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ht="15.75" customHeight="1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ht="15.75" customHeight="1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ht="15.75" customHeight="1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ht="15.75" customHeight="1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ht="15.75" customHeight="1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ht="15.75" customHeight="1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ht="15.75" customHeight="1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ht="15.75" customHeight="1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ht="15.75" customHeight="1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ht="15.75" customHeight="1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ht="15.75" customHeight="1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ht="15.75" customHeight="1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ht="15.75" customHeight="1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ht="15.75" customHeight="1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ht="15.75" customHeight="1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ht="15.75" customHeight="1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ht="15.75" customHeight="1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ht="15.75" customHeight="1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ht="15.75" customHeight="1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ht="15.75" customHeight="1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ht="15.75" customHeight="1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ht="15.75" customHeight="1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ht="15.75" customHeight="1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ht="15.75" customHeight="1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ht="15.75" customHeight="1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ht="15.75" customHeight="1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ht="15.75" customHeight="1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ht="15.75" customHeight="1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ht="15.75" customHeight="1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ht="15.75" customHeight="1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ht="15.75" customHeight="1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ht="15.75" customHeight="1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ht="15.75" customHeight="1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ht="15.75" customHeight="1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ht="15.75" customHeight="1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ht="15.75" customHeight="1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ht="15.75" customHeight="1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ht="15.75" customHeight="1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ht="15.75" customHeight="1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ht="15.75" customHeight="1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ht="15.75" customHeight="1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ht="15.75" customHeight="1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ht="15.75" customHeight="1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ht="15.75" customHeight="1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ht="15.75" customHeight="1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ht="15.75" customHeight="1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ht="15.75" customHeight="1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ht="15.75" customHeight="1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ht="15.75" customHeight="1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ht="15.75" customHeight="1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ht="15.75" customHeight="1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ht="15.75" customHeight="1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ht="15.75" customHeight="1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ht="15.75" customHeight="1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ht="15.75" customHeight="1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ht="15.75" customHeight="1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ht="15.75" customHeight="1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ht="15.75" customHeight="1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ht="15.75" customHeight="1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ht="15.75" customHeight="1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ht="15.75" customHeight="1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ht="15.75" customHeight="1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ht="15.75" customHeight="1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ht="15.75" customHeight="1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ht="15.75" customHeight="1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ht="15.75" customHeight="1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ht="15.75" customHeight="1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ht="15.75" customHeight="1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ht="15.75" customHeight="1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ht="15.75" customHeight="1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ht="15.75" customHeight="1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ht="15.75" customHeight="1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ht="15.75" customHeight="1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ht="15.75" customHeight="1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ht="15.75" customHeight="1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ht="15.75" customHeight="1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ht="15.75" customHeight="1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ht="15.75" customHeight="1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ht="15.75" customHeight="1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ht="15.75" customHeight="1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ht="15.75" customHeight="1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ht="15.75" customHeight="1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ht="15.75" customHeight="1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ht="15.75" customHeight="1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ht="15.75" customHeight="1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ht="15.75" customHeight="1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ht="15.75" customHeight="1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ht="15.75" customHeight="1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ht="15.75" customHeight="1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ht="15.75" customHeight="1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ht="15.75" customHeight="1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ht="15.75" customHeight="1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ht="15.75" customHeight="1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ht="15.75" customHeight="1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ht="15.75" customHeight="1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ht="15.75" customHeight="1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ht="15.75" customHeight="1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ht="15.75" customHeight="1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ht="15.75" customHeight="1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ht="15.75" customHeight="1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ht="15.75" customHeight="1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ht="15.75" customHeight="1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ht="15.75" customHeight="1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ht="15.75" customHeight="1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ht="15.75" customHeight="1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ht="15.75" customHeight="1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ht="15.75" customHeight="1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ht="15.75" customHeight="1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ht="15.75" customHeight="1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ht="15.75" customHeight="1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ht="15.75" customHeight="1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ht="15.75" customHeight="1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ht="15.75" customHeight="1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ht="15.75" customHeight="1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ht="15.75" customHeight="1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ht="15.75" customHeight="1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ht="15.75" customHeight="1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ht="15.75" customHeight="1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ht="15.75" customHeight="1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ht="15.75" customHeight="1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ht="15.75" customHeight="1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ht="15.75" customHeight="1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ht="15.75" customHeight="1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ht="15.75" customHeight="1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ht="15.75" customHeight="1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ht="15.75" customHeight="1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ht="15.75" customHeight="1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ht="15.75" customHeight="1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ht="15.75" customHeight="1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ht="15.75" customHeight="1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ht="15.75" customHeight="1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ht="15.75" customHeight="1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ht="15.75" customHeight="1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ht="15.75" customHeight="1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ht="15.75" customHeight="1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ht="15.75" customHeight="1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ht="15.75" customHeight="1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ht="15.75" customHeight="1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ht="15.75" customHeight="1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ht="15.75" customHeight="1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ht="15.75" customHeight="1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ht="15.75" customHeight="1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ht="15.75" customHeight="1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ht="15.75" customHeight="1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ht="15.75" customHeight="1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ht="15.75" customHeight="1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ht="15.75" customHeight="1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ht="15.75" customHeight="1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ht="15.75" customHeight="1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ht="15.75" customHeight="1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ht="15.75" customHeight="1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ht="15.75" customHeight="1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ht="15.75" customHeight="1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ht="15.75" customHeight="1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ht="15.75" customHeight="1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ht="15.75" customHeight="1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ht="15.75" customHeight="1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ht="15.75" customHeight="1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ht="15.75" customHeight="1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ht="15.75" customHeight="1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ht="15.75" customHeight="1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ht="15.75" customHeight="1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ht="15.75" customHeight="1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ht="15.75" customHeight="1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ht="15.75" customHeight="1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ht="15.75" customHeight="1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ht="15.75" customHeight="1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ht="15.75" customHeight="1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ht="15.75" customHeight="1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ht="15.75" customHeight="1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ht="15.75" customHeight="1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ht="15.75" customHeight="1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ht="15.75" customHeight="1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ht="15.75" customHeight="1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ht="15.75" customHeight="1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ht="15.75" customHeight="1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ht="15.75" customHeight="1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ht="15.75" customHeight="1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ht="15.75" customHeight="1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ht="15.75" customHeight="1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ht="15.75" customHeight="1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ht="15.75" customHeight="1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ht="15.75" customHeight="1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ht="15.75" customHeight="1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ht="15.75" customHeight="1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ht="15.75" customHeight="1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ht="15.75" customHeight="1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ht="15.75" customHeight="1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ht="15.75" customHeight="1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ht="15.75" customHeight="1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ht="15.75" customHeight="1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ht="15.75" customHeight="1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ht="15.75" customHeight="1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ht="15.75" customHeight="1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ht="15.75" customHeight="1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ht="15.75" customHeight="1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ht="15.75" customHeight="1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ht="15.75" customHeight="1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ht="15.75" customHeight="1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ht="15.75" customHeight="1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ht="15.75" customHeight="1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ht="15.75" customHeight="1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ht="15.75" customHeight="1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ht="15.75" customHeight="1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ht="15.75" customHeight="1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ht="15.75" customHeight="1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ht="15.75" customHeight="1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ht="15.75" customHeight="1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ht="15.75" customHeight="1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ht="15.75" customHeight="1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ht="15.75" customHeight="1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ht="15.75" customHeight="1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ht="15.75" customHeight="1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ht="15.75" customHeight="1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ht="15.75" customHeight="1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ht="15.75" customHeight="1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ht="15.75" customHeight="1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ht="15.75" customHeight="1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ht="15.75" customHeight="1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ht="15.75" customHeight="1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ht="15.75" customHeight="1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ht="15.75" customHeight="1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ht="15.75" customHeight="1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ht="15.75" customHeight="1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ht="15.75" customHeight="1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ht="15.75" customHeight="1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ht="15.75" customHeight="1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ht="15.75" customHeight="1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ht="15.75" customHeight="1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ht="15.75" customHeight="1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ht="15.75" customHeight="1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ht="15.75" customHeight="1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ht="15.75" customHeight="1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ht="15.75" customHeight="1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ht="15.75" customHeight="1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ht="15.75" customHeight="1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ht="15.75" customHeight="1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ht="15.75" customHeight="1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ht="15.75" customHeight="1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ht="15.75" customHeight="1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ht="15.75" customHeight="1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ht="15.75" customHeight="1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ht="15.75" customHeight="1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ht="15.75" customHeight="1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ht="15.75" customHeight="1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ht="15.75" customHeight="1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ht="15.75" customHeight="1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ht="15.75" customHeight="1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ht="15.75" customHeight="1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ht="15.75" customHeight="1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ht="15.75" customHeight="1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ht="15.75" customHeight="1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ht="15.75" customHeight="1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ht="15.75" customHeight="1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ht="15.75" customHeight="1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ht="15.75" customHeight="1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ht="15.75" customHeight="1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ht="15.75" customHeight="1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ht="15.75" customHeight="1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ht="15.75" customHeight="1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ht="15.75" customHeight="1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ht="15.75" customHeight="1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ht="15.75" customHeight="1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ht="15.75" customHeight="1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ht="15.75" customHeight="1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ht="15.75" customHeight="1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ht="15.75" customHeight="1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ht="15.75" customHeight="1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ht="15.75" customHeight="1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ht="15.75" customHeight="1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ht="15.75" customHeight="1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ht="15.75" customHeight="1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ht="15.75" customHeight="1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ht="15.75" customHeight="1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ht="15.75" customHeight="1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ht="15.75" customHeight="1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ht="15.75" customHeight="1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ht="15.75" customHeight="1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ht="15.75" customHeight="1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ht="15.75" customHeight="1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ht="15.75" customHeight="1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ht="15.75" customHeight="1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ht="15.75" customHeight="1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ht="15.75" customHeight="1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ht="15.75" customHeight="1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ht="15.75" customHeight="1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ht="15.75" customHeight="1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ht="15.75" customHeight="1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ht="15.75" customHeight="1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ht="15.75" customHeight="1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ht="15.75" customHeight="1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ht="15.75" customHeight="1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ht="15.75" customHeight="1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ht="15.75" customHeight="1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ht="15.75" customHeight="1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</sheetData>
  <mergeCells count="10">
    <mergeCell ref="B44:S44"/>
    <mergeCell ref="B45:J45"/>
    <mergeCell ref="K53:L53"/>
    <mergeCell ref="E1:P1"/>
    <mergeCell ref="B2:S2"/>
    <mergeCell ref="B3:J3"/>
    <mergeCell ref="K3:S3"/>
    <mergeCell ref="B32:S32"/>
    <mergeCell ref="B33:J33"/>
    <mergeCell ref="K33:S33"/>
  </mergeCells>
  <conditionalFormatting sqref="B47:K52">
    <cfRule type="cellIs" dxfId="0" priority="1" operator="lessThan">
      <formula>3</formula>
    </cfRule>
  </conditionalFormatting>
  <conditionalFormatting sqref="B5:T29">
    <cfRule type="cellIs" dxfId="0" priority="2" operator="lessThan">
      <formula>3</formula>
    </cfRule>
  </conditionalFormatting>
  <conditionalFormatting sqref="B35:T41">
    <cfRule type="cellIs" dxfId="0" priority="3" operator="lessThan">
      <formula>3</formula>
    </cfRule>
  </conditionalFormatting>
  <printOptions/>
  <pageMargins bottom="0.75" footer="0.0" header="0.0" left="0.7" right="0.7" top="0.75"/>
  <pageSetup scale="4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86"/>
    <col customWidth="1" min="2" max="2" width="9.0"/>
    <col customWidth="1" min="3" max="5" width="8.71"/>
    <col customWidth="1" min="6" max="6" width="10.14"/>
    <col customWidth="1" min="7" max="10" width="8.71"/>
    <col customWidth="1" min="11" max="11" width="12.43"/>
    <col customWidth="1" min="12" max="18" width="8.71"/>
    <col customWidth="1" min="19" max="19" width="14.57"/>
    <col customWidth="1" min="20" max="20" width="17.43"/>
    <col customWidth="1" min="21" max="21" width="11.43"/>
    <col customWidth="1" min="22" max="24" width="10.71"/>
    <col customWidth="1" min="25" max="25" width="15.86"/>
  </cols>
  <sheetData>
    <row r="1" ht="81.0" customHeight="1">
      <c r="A1" s="65" t="s">
        <v>45</v>
      </c>
      <c r="U1" s="66"/>
      <c r="V1" s="66"/>
      <c r="W1" s="66"/>
      <c r="X1" s="66"/>
      <c r="Y1" s="66"/>
    </row>
    <row r="2" ht="14.2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ht="14.25" customHeight="1">
      <c r="A3" s="67" t="s">
        <v>46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9"/>
      <c r="U3" s="66"/>
      <c r="V3" s="66"/>
      <c r="W3" s="66"/>
      <c r="X3" s="66"/>
      <c r="Y3" s="66"/>
    </row>
    <row r="4" ht="14.25" customHeight="1">
      <c r="A4" s="70" t="s">
        <v>47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3"/>
      <c r="U4" s="66"/>
      <c r="V4" s="66"/>
      <c r="W4" s="66"/>
      <c r="X4" s="66"/>
      <c r="Y4" s="66"/>
    </row>
    <row r="5" ht="14.25" customHeight="1">
      <c r="A5" s="71"/>
      <c r="B5" s="72" t="s">
        <v>1</v>
      </c>
      <c r="C5" s="52"/>
      <c r="D5" s="52"/>
      <c r="E5" s="52"/>
      <c r="F5" s="52"/>
      <c r="G5" s="52"/>
      <c r="H5" s="52"/>
      <c r="I5" s="52"/>
      <c r="J5" s="53"/>
      <c r="K5" s="72" t="s">
        <v>2</v>
      </c>
      <c r="L5" s="52"/>
      <c r="M5" s="52"/>
      <c r="N5" s="52"/>
      <c r="O5" s="52"/>
      <c r="P5" s="52"/>
      <c r="Q5" s="52"/>
      <c r="R5" s="52"/>
      <c r="S5" s="52"/>
      <c r="T5" s="53"/>
      <c r="U5" s="66"/>
      <c r="V5" s="66"/>
      <c r="W5" s="66"/>
      <c r="X5" s="66"/>
      <c r="Y5" s="66"/>
    </row>
    <row r="6" ht="14.25" customHeight="1">
      <c r="A6" s="73" t="s">
        <v>48</v>
      </c>
      <c r="B6" s="74" t="s">
        <v>4</v>
      </c>
      <c r="C6" s="74" t="s">
        <v>49</v>
      </c>
      <c r="D6" s="74" t="s">
        <v>50</v>
      </c>
      <c r="E6" s="74" t="s">
        <v>51</v>
      </c>
      <c r="F6" s="74" t="s">
        <v>52</v>
      </c>
      <c r="G6" s="74" t="s">
        <v>9</v>
      </c>
      <c r="H6" s="74" t="s">
        <v>10</v>
      </c>
      <c r="I6" s="74" t="s">
        <v>11</v>
      </c>
      <c r="J6" s="74" t="s">
        <v>12</v>
      </c>
      <c r="K6" s="75" t="s">
        <v>4</v>
      </c>
      <c r="L6" s="75" t="s">
        <v>49</v>
      </c>
      <c r="M6" s="75" t="s">
        <v>50</v>
      </c>
      <c r="N6" s="75" t="s">
        <v>51</v>
      </c>
      <c r="O6" s="75" t="s">
        <v>52</v>
      </c>
      <c r="P6" s="75" t="s">
        <v>9</v>
      </c>
      <c r="Q6" s="75" t="s">
        <v>10</v>
      </c>
      <c r="R6" s="75" t="s">
        <v>11</v>
      </c>
      <c r="S6" s="75" t="s">
        <v>12</v>
      </c>
      <c r="T6" s="76" t="s">
        <v>53</v>
      </c>
      <c r="U6" s="66"/>
      <c r="V6" s="66"/>
      <c r="W6" s="66"/>
      <c r="X6" s="66"/>
      <c r="Y6" s="66"/>
    </row>
    <row r="7" ht="14.25" customHeight="1">
      <c r="A7" s="71" t="s">
        <v>54</v>
      </c>
      <c r="B7" s="77">
        <f>0+2+1-1+1</f>
        <v>3</v>
      </c>
      <c r="C7" s="78">
        <f>0+1+6-1+1+4-1+1-1-1+1-1</f>
        <v>9</v>
      </c>
      <c r="D7" s="77">
        <f>0+2+8-1+1+1-1+1-1+1+4-1+1-1-1+1-4</f>
        <v>10</v>
      </c>
      <c r="E7" s="77">
        <f>0+2+8-1+1-1-1+1</f>
        <v>9</v>
      </c>
      <c r="F7" s="77">
        <f>0+1+4-1+1-1-1+1+3</f>
        <v>7</v>
      </c>
      <c r="G7" s="77">
        <f>0+2-1+1+2-1+1-1-1+1</f>
        <v>3</v>
      </c>
      <c r="H7" s="77">
        <f>0+1+2</f>
        <v>3</v>
      </c>
      <c r="I7" s="77">
        <f t="shared" ref="I7:J7" si="1">0+1+1+1</f>
        <v>3</v>
      </c>
      <c r="J7" s="77">
        <f t="shared" si="1"/>
        <v>3</v>
      </c>
      <c r="K7" s="77">
        <f>0+1-1+5+1-1-1+1+1</f>
        <v>6</v>
      </c>
      <c r="L7" s="77">
        <f>0+1+10-1+1+1+1-1+1-1+1-1-1+1-1+2-1+1</f>
        <v>13</v>
      </c>
      <c r="M7" s="77">
        <f>0+3+15+1-1+1+1-1-2+1+2-1+1-1+1+1-2+2-1-1+1-2+1-1+1</f>
        <v>19</v>
      </c>
      <c r="N7" s="77">
        <f>0+1+1+15-1+1+1+1-1+1-1-1+2+1+2-1-1+1-3+1-2+2-3+3-1+1</f>
        <v>19</v>
      </c>
      <c r="O7" s="77">
        <f>0+1+10-1-3+1+3-2+1+3-2-1-1-1+1+2+1-2-1+1+1</f>
        <v>11</v>
      </c>
      <c r="P7" s="77">
        <f>0+1+8-1+1+1-1-1+1+1-1</f>
        <v>9</v>
      </c>
      <c r="Q7" s="77">
        <f>0+1+5</f>
        <v>6</v>
      </c>
      <c r="R7" s="77">
        <f>0+1+1+1-2+1</f>
        <v>2</v>
      </c>
      <c r="S7" s="77">
        <f>0+1+1-1</f>
        <v>1</v>
      </c>
      <c r="T7" s="76">
        <f t="shared" ref="T7:T8" si="2">SUM(B7:S7)</f>
        <v>136</v>
      </c>
      <c r="U7" s="66"/>
      <c r="V7" s="66"/>
      <c r="W7" s="66"/>
      <c r="X7" s="66"/>
      <c r="Y7" s="66"/>
    </row>
    <row r="8" ht="14.25" customHeight="1">
      <c r="A8" s="71" t="s">
        <v>55</v>
      </c>
      <c r="B8" s="77">
        <f>0+1+2+1-1-1+1</f>
        <v>3</v>
      </c>
      <c r="C8" s="77">
        <f>0+2+6-1+1+1-1+1-1+1-1-2</f>
        <v>6</v>
      </c>
      <c r="D8" s="77">
        <f>0+1+8-1+1+1+1-1-1+1-1+1-1+1+1+1</f>
        <v>12</v>
      </c>
      <c r="E8" s="77">
        <f>0+2+9+1-1+1-4+1+1+4-2-1-1+1+1-4+3</f>
        <v>11</v>
      </c>
      <c r="F8" s="77">
        <f>0+2+3-1+1-1-1+1+1-2-1+1-1+1+1-1+1</f>
        <v>4</v>
      </c>
      <c r="G8" s="78">
        <f>0+1+2-1+2+1+3-2+1</f>
        <v>7</v>
      </c>
      <c r="H8" s="77">
        <f>0+1+2+1+1-2</f>
        <v>3</v>
      </c>
      <c r="I8" s="77">
        <f>0+1+1+1-1</f>
        <v>2</v>
      </c>
      <c r="J8" s="78">
        <f>0+1+1+1-2</f>
        <v>1</v>
      </c>
      <c r="K8" s="77">
        <f>0+1+5+1-1+1+1-1+1-1+1-1</f>
        <v>7</v>
      </c>
      <c r="L8" s="77">
        <f>0+3+10+1-1+1+1-3-1</f>
        <v>11</v>
      </c>
      <c r="M8" s="77">
        <f>0+1+15-1-1+1+1-1-1+1-7+1+1+1+7-1+1-1-1+1-2+1-1+1</f>
        <v>16</v>
      </c>
      <c r="N8" s="77">
        <f>0+1+15+1-1-1-1+1-1-7+1+7+1+2+1+1</f>
        <v>20</v>
      </c>
      <c r="O8" s="77">
        <f>0+3+10-1+1+1-1-1+1-7+1+7-3</f>
        <v>11</v>
      </c>
      <c r="P8" s="77">
        <f>0+10</f>
        <v>10</v>
      </c>
      <c r="Q8" s="77">
        <f>0+1+5-1+1-1</f>
        <v>5</v>
      </c>
      <c r="R8" s="77">
        <f>0+1</f>
        <v>1</v>
      </c>
      <c r="S8" s="77">
        <f>0+1+1</f>
        <v>2</v>
      </c>
      <c r="T8" s="76">
        <f t="shared" si="2"/>
        <v>132</v>
      </c>
      <c r="U8" s="66"/>
      <c r="V8" s="66"/>
      <c r="W8" s="66"/>
      <c r="X8" s="66"/>
      <c r="Y8" s="66"/>
    </row>
    <row r="9" ht="14.25" customHeight="1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79">
        <f>SUM(T7:T8)</f>
        <v>268</v>
      </c>
      <c r="U9" s="66"/>
      <c r="V9" s="66"/>
      <c r="W9" s="66"/>
      <c r="X9" s="66"/>
      <c r="Y9" s="66"/>
    </row>
    <row r="10" ht="14.25" customHeight="1">
      <c r="A10" s="66"/>
      <c r="B10" s="66"/>
      <c r="C10" s="80" t="s">
        <v>13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</row>
    <row r="11" ht="14.25" customHeight="1">
      <c r="A11" s="70" t="s">
        <v>56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3"/>
      <c r="U11" s="66"/>
      <c r="V11" s="66"/>
      <c r="W11" s="66"/>
      <c r="X11" s="66"/>
      <c r="Y11" s="66"/>
    </row>
    <row r="12" ht="14.25" customHeight="1">
      <c r="A12" s="71"/>
      <c r="B12" s="72" t="s">
        <v>1</v>
      </c>
      <c r="C12" s="52"/>
      <c r="D12" s="52"/>
      <c r="E12" s="52"/>
      <c r="F12" s="52"/>
      <c r="G12" s="52"/>
      <c r="H12" s="52"/>
      <c r="I12" s="52"/>
      <c r="J12" s="53"/>
      <c r="K12" s="72" t="s">
        <v>2</v>
      </c>
      <c r="L12" s="52"/>
      <c r="M12" s="52"/>
      <c r="N12" s="52"/>
      <c r="O12" s="52"/>
      <c r="P12" s="52"/>
      <c r="Q12" s="52"/>
      <c r="R12" s="52"/>
      <c r="S12" s="52"/>
      <c r="T12" s="53"/>
      <c r="U12" s="66"/>
      <c r="V12" s="66"/>
      <c r="W12" s="66"/>
      <c r="X12" s="66"/>
      <c r="Y12" s="66"/>
    </row>
    <row r="13" ht="14.25" customHeight="1">
      <c r="A13" s="71"/>
      <c r="B13" s="81" t="s">
        <v>4</v>
      </c>
      <c r="C13" s="81" t="s">
        <v>49</v>
      </c>
      <c r="D13" s="81" t="s">
        <v>50</v>
      </c>
      <c r="E13" s="81" t="s">
        <v>51</v>
      </c>
      <c r="F13" s="81" t="s">
        <v>52</v>
      </c>
      <c r="G13" s="81" t="s">
        <v>9</v>
      </c>
      <c r="H13" s="81" t="s">
        <v>10</v>
      </c>
      <c r="I13" s="81" t="s">
        <v>11</v>
      </c>
      <c r="J13" s="81" t="s">
        <v>12</v>
      </c>
      <c r="K13" s="75" t="s">
        <v>4</v>
      </c>
      <c r="L13" s="75" t="s">
        <v>49</v>
      </c>
      <c r="M13" s="75" t="s">
        <v>50</v>
      </c>
      <c r="N13" s="75" t="s">
        <v>51</v>
      </c>
      <c r="O13" s="75" t="s">
        <v>52</v>
      </c>
      <c r="P13" s="75" t="s">
        <v>9</v>
      </c>
      <c r="Q13" s="75" t="s">
        <v>10</v>
      </c>
      <c r="R13" s="75" t="s">
        <v>11</v>
      </c>
      <c r="S13" s="75" t="s">
        <v>12</v>
      </c>
      <c r="T13" s="76" t="s">
        <v>53</v>
      </c>
      <c r="U13" s="66"/>
      <c r="V13" s="66"/>
      <c r="W13" s="66"/>
      <c r="X13" s="66"/>
      <c r="Y13" s="66"/>
    </row>
    <row r="14" ht="14.25" customHeight="1">
      <c r="A14" s="71" t="s">
        <v>54</v>
      </c>
      <c r="B14" s="77">
        <f>0+2+2-1-1+1+1+1+1-1+1+1-1+1-1+1+1</f>
        <v>8</v>
      </c>
      <c r="C14" s="77">
        <f>0+1+3+3-1-1-1+1+1+1-1-3+1+1+1+1+1-1+1+1-1-1+1-3+3-1+1-1+1+1-4+4+4-1+1</f>
        <v>13</v>
      </c>
      <c r="D14" s="77">
        <f>0+2+5-1+1+3-6-1-1+6-1+1+1-6-1+1-3+6-1-5+1+3+3+4-1-2+2+1+1-1+1+1-1+1-3+3-1-1+1-1+1+1-12+12+12</f>
        <v>25</v>
      </c>
      <c r="E14" s="77">
        <f>0+3+5-1+2-1+3-2+1+1-1-1+2+1+1-1-4-1-4+1+4+4+4-1-1+1+1-1-1+1+1-1+1+1-7+7-1+1-1-1+1+1</f>
        <v>17</v>
      </c>
      <c r="F14" s="77">
        <f>0+3+3+3-2-1-1+2-1+1+1+1-1-1+1+2+1-1+1+2-3-1+1+1-1+1-1+1-1-1+1+1</f>
        <v>11</v>
      </c>
      <c r="G14" s="77">
        <f>0+2+2+3-1-1+1+1-1-1+1+1+1-1+1-1+1+1-1+1+1-1+1+1</f>
        <v>11</v>
      </c>
      <c r="H14" s="77">
        <f>0+1-1+3-1+1+1-1+1+1-1+1-1+1+1</f>
        <v>6</v>
      </c>
      <c r="I14" s="77">
        <f t="shared" ref="I14:J14" si="3">0+1+1-1+1+1-1+1-1+1+1</f>
        <v>4</v>
      </c>
      <c r="J14" s="77">
        <f t="shared" si="3"/>
        <v>4</v>
      </c>
      <c r="K14" s="77">
        <f>0+1+4-1+1-1+1+6+2-1-1+1-1+1-1+1+1</f>
        <v>13</v>
      </c>
      <c r="L14" s="77">
        <f>0+7+7+13+9+7-1+1+3-1-1-3+1+1+1-1-1+3+1+1+1-1-1-1-1-2+1+1+1+2-1+1-2+2+2-2+1-1+1+1-1-1+1-1+1-2+2-1-1+1+1-22</f>
        <v>26</v>
      </c>
      <c r="M14" s="77">
        <f>0+1+10-2+2+3-1-1-2-1-1+1-3-4+1+1+1+4+3-1-2-1-1-6+1+2+2+1+1+1-1+6+1-1-1+1-1+3+1-1+1-1+1+1-1+1-1+1+5-4-1+1-1+1+1-1+1+1-20-1</f>
        <v>0</v>
      </c>
      <c r="N14" s="77">
        <f>0+1-1+1+10-1+1+3-4-6-1-1-1-1+4+6+1-1-2+1+1+1+2+1-6-1-1-1-2-2+2-2+1+2+1-1-1-2-1+2+1+1-1-1+1+1-1-1+1-3+5-5+1+1-2+1-1+1+1-2</f>
        <v>0</v>
      </c>
      <c r="O14" s="77">
        <f>0+3+15-1+8+1-1+1-1-3+3+3-4+1+1-1-1-1-1+1-1+4+1-1+1+1-1+1-8-2-1-2-1-4+1+1+1+2+3+8-1+4-3-1+3+1+1+1-1-2+1-1+1+1+1-1+1-1-1+1-1-7-1-1-1+1+1-1+1-12+12+1-22+12</f>
        <v>12</v>
      </c>
      <c r="P14" s="77">
        <f>0+2+5-1+1-3+3+3-5-2-1-1-1+5+2+1+1-6-1-1-1+1-1+1-1+1-1+1+1+1-1+1-3+3+6-1+1-9+8</f>
        <v>8</v>
      </c>
      <c r="Q14" s="77">
        <f>0+1-1+5+1-2-1-1+2+1+1-3-1-1-1+1+1+1+3+1+2+1+1+1+1-3-1+1+1-1+1-1-1-1+1+1+1</f>
        <v>11</v>
      </c>
      <c r="R14" s="77">
        <f>0+1+1-1-1+6+1+1+1-1+1-1+1+1-1-1+1+1+1-1+1+1</f>
        <v>12</v>
      </c>
      <c r="S14" s="77">
        <f>0</f>
        <v>0</v>
      </c>
      <c r="T14" s="76">
        <f t="shared" ref="T14:T16" si="4">SUM(B14:S14)</f>
        <v>181</v>
      </c>
      <c r="U14" s="66"/>
      <c r="V14" s="66"/>
      <c r="W14" s="66"/>
      <c r="X14" s="66"/>
      <c r="Y14" s="66"/>
    </row>
    <row r="15" ht="14.25" customHeight="1">
      <c r="A15" s="71" t="s">
        <v>55</v>
      </c>
      <c r="B15" s="77">
        <f>0+2</f>
        <v>2</v>
      </c>
      <c r="C15" s="77">
        <f>0+1-1+2-1+1+1+3-4+1-1+1</f>
        <v>3</v>
      </c>
      <c r="D15" s="77">
        <f>0+4+1-1+1-1-1+1+1-1-1+1+1-1+1-2+1-2+3-1</f>
        <v>4</v>
      </c>
      <c r="E15" s="77">
        <f>0+1+1+1-1+1</f>
        <v>3</v>
      </c>
      <c r="F15" s="77">
        <f>0</f>
        <v>0</v>
      </c>
      <c r="G15" s="77">
        <f>0+1-1+1-1+1+2-1-1</f>
        <v>1</v>
      </c>
      <c r="H15" s="77">
        <f>0+2-1+1+1</f>
        <v>3</v>
      </c>
      <c r="I15" s="77">
        <f>0+1+1</f>
        <v>2</v>
      </c>
      <c r="J15" s="77">
        <f>0+1</f>
        <v>1</v>
      </c>
      <c r="K15" s="77">
        <f>0+3-1</f>
        <v>2</v>
      </c>
      <c r="L15" s="77">
        <f>0+1+5-1+1-1+1-1+1-1+1</f>
        <v>6</v>
      </c>
      <c r="M15" s="77">
        <f>0+5-1+1-1-1-1+1+1-1+1+1-4+4-1+1+2-1+1</f>
        <v>7</v>
      </c>
      <c r="N15" s="77">
        <f>0+5-1+1+1-3+3-1+1+1-1+1+1-1-2+1+2+1+1</f>
        <v>10</v>
      </c>
      <c r="O15" s="77">
        <f>0+3-1-2+1+2-1+1-1-1+1+2-1-1+1</f>
        <v>3</v>
      </c>
      <c r="P15" s="77">
        <f>0+1-1+1-1+2-1+1</f>
        <v>2</v>
      </c>
      <c r="Q15" s="77">
        <f>0+1-1+1-1+1+1</f>
        <v>2</v>
      </c>
      <c r="R15" s="77">
        <f>0+2</f>
        <v>2</v>
      </c>
      <c r="S15" s="77">
        <f>0+1-1+1-1+1+1</f>
        <v>2</v>
      </c>
      <c r="T15" s="82">
        <f t="shared" si="4"/>
        <v>55</v>
      </c>
      <c r="U15" s="66"/>
      <c r="V15" s="66"/>
      <c r="W15" s="66"/>
      <c r="X15" s="66"/>
      <c r="Y15" s="66"/>
    </row>
    <row r="16" ht="14.25" customHeight="1">
      <c r="A16" s="71" t="s">
        <v>57</v>
      </c>
      <c r="B16" s="77">
        <f>0+1+2-1</f>
        <v>2</v>
      </c>
      <c r="C16" s="77">
        <f t="shared" ref="C16:E16" si="5">0+1+1</f>
        <v>2</v>
      </c>
      <c r="D16" s="77">
        <f t="shared" si="5"/>
        <v>2</v>
      </c>
      <c r="E16" s="77">
        <f t="shared" si="5"/>
        <v>2</v>
      </c>
      <c r="F16" s="77">
        <f t="shared" ref="F16:G16" si="6">0+1</f>
        <v>1</v>
      </c>
      <c r="G16" s="77">
        <f t="shared" si="6"/>
        <v>1</v>
      </c>
      <c r="H16" s="77">
        <f t="shared" ref="H16:J16" si="7">0</f>
        <v>0</v>
      </c>
      <c r="I16" s="77">
        <f t="shared" si="7"/>
        <v>0</v>
      </c>
      <c r="J16" s="77">
        <f t="shared" si="7"/>
        <v>0</v>
      </c>
      <c r="K16" s="77">
        <f>0+2</f>
        <v>2</v>
      </c>
      <c r="L16" s="77">
        <f>0+4+2</f>
        <v>6</v>
      </c>
      <c r="M16" s="77">
        <f>0+2+2-1+1</f>
        <v>4</v>
      </c>
      <c r="N16" s="77">
        <f>0+2+1+2-1-1+1</f>
        <v>4</v>
      </c>
      <c r="O16" s="77">
        <f>0+1+1</f>
        <v>2</v>
      </c>
      <c r="P16" s="77">
        <f>0+2+1+2-1-1</f>
        <v>3</v>
      </c>
      <c r="Q16" s="77">
        <f>0+1+2+1</f>
        <v>4</v>
      </c>
      <c r="R16" s="77">
        <f>0+1+1</f>
        <v>2</v>
      </c>
      <c r="S16" s="77">
        <f>0+1</f>
        <v>1</v>
      </c>
      <c r="T16" s="82">
        <f t="shared" si="4"/>
        <v>38</v>
      </c>
      <c r="U16" s="66"/>
      <c r="V16" s="66"/>
      <c r="W16" s="66"/>
      <c r="X16" s="66"/>
      <c r="Y16" s="66"/>
    </row>
    <row r="17" ht="14.25" customHeight="1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79">
        <f>SUM(T14:T16)</f>
        <v>274</v>
      </c>
      <c r="U17" s="66"/>
      <c r="V17" s="66"/>
      <c r="W17" s="66"/>
      <c r="X17" s="66"/>
      <c r="Y17" s="66"/>
    </row>
    <row r="18" ht="14.25" customHeight="1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</row>
    <row r="19" ht="14.25" customHeight="1">
      <c r="A19" s="70" t="s">
        <v>58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3"/>
      <c r="U19" s="66"/>
      <c r="V19" s="66"/>
      <c r="W19" s="66"/>
      <c r="X19" s="66"/>
      <c r="Y19" s="66"/>
    </row>
    <row r="20" ht="14.25" customHeight="1">
      <c r="A20" s="71"/>
      <c r="B20" s="72" t="s">
        <v>1</v>
      </c>
      <c r="C20" s="52"/>
      <c r="D20" s="52"/>
      <c r="E20" s="52"/>
      <c r="F20" s="52"/>
      <c r="G20" s="52"/>
      <c r="H20" s="52"/>
      <c r="I20" s="52"/>
      <c r="J20" s="53"/>
      <c r="K20" s="72" t="s">
        <v>2</v>
      </c>
      <c r="L20" s="52"/>
      <c r="M20" s="52"/>
      <c r="N20" s="52"/>
      <c r="O20" s="52"/>
      <c r="P20" s="52"/>
      <c r="Q20" s="52"/>
      <c r="R20" s="52"/>
      <c r="S20" s="52"/>
      <c r="T20" s="53"/>
      <c r="U20" s="66"/>
      <c r="V20" s="66"/>
      <c r="W20" s="66"/>
      <c r="X20" s="66"/>
      <c r="Y20" s="66"/>
    </row>
    <row r="21" ht="14.25" customHeight="1">
      <c r="A21" s="71"/>
      <c r="B21" s="81" t="s">
        <v>4</v>
      </c>
      <c r="C21" s="81" t="s">
        <v>49</v>
      </c>
      <c r="D21" s="81" t="s">
        <v>50</v>
      </c>
      <c r="E21" s="81" t="s">
        <v>51</v>
      </c>
      <c r="F21" s="81" t="s">
        <v>52</v>
      </c>
      <c r="G21" s="81" t="s">
        <v>9</v>
      </c>
      <c r="H21" s="81" t="s">
        <v>10</v>
      </c>
      <c r="I21" s="81" t="s">
        <v>11</v>
      </c>
      <c r="J21" s="81" t="s">
        <v>12</v>
      </c>
      <c r="K21" s="75" t="s">
        <v>4</v>
      </c>
      <c r="L21" s="75" t="s">
        <v>49</v>
      </c>
      <c r="M21" s="75" t="s">
        <v>50</v>
      </c>
      <c r="N21" s="75" t="s">
        <v>51</v>
      </c>
      <c r="O21" s="75" t="s">
        <v>52</v>
      </c>
      <c r="P21" s="75" t="s">
        <v>9</v>
      </c>
      <c r="Q21" s="75" t="s">
        <v>10</v>
      </c>
      <c r="R21" s="75" t="s">
        <v>11</v>
      </c>
      <c r="S21" s="75" t="s">
        <v>12</v>
      </c>
      <c r="T21" s="76" t="s">
        <v>53</v>
      </c>
      <c r="U21" s="66"/>
      <c r="V21" s="66"/>
      <c r="W21" s="66"/>
      <c r="X21" s="66"/>
      <c r="Y21" s="66"/>
    </row>
    <row r="22" ht="14.25" customHeight="1">
      <c r="A22" s="71" t="s">
        <v>54</v>
      </c>
      <c r="B22" s="77">
        <f>0+2+2-1+1-2-1+1+1</f>
        <v>3</v>
      </c>
      <c r="C22" s="77">
        <f>0+2+6-1+1-1-1-1+1+3+1-1-1-1+1+2+1-1+1-4+4</f>
        <v>11</v>
      </c>
      <c r="D22" s="77">
        <f>0+1+8-1+1-1-1-2-1+1+2+1-1+1-1+4-1+1-1-1+1</f>
        <v>10</v>
      </c>
      <c r="E22" s="77">
        <f>0+1+8-1+1-1-3+1+1-3-1+3+3+1-1-1+1+1-1+1+1+1-1+1</f>
        <v>12</v>
      </c>
      <c r="F22" s="77">
        <f>0+1+4-1+1-2-1+2+1-1+1-2-1+2-1+1+1-1+1</f>
        <v>5</v>
      </c>
      <c r="G22" s="77">
        <f>0+2+2-1+1-1-1+1+1+1-1+1+2-1</f>
        <v>6</v>
      </c>
      <c r="H22" s="77">
        <f>0+2+2-1+1</f>
        <v>4</v>
      </c>
      <c r="I22" s="77">
        <f>0+1+1</f>
        <v>2</v>
      </c>
      <c r="J22" s="77">
        <f>0+2+1</f>
        <v>3</v>
      </c>
      <c r="K22" s="77">
        <f>0+2+5-1+1+1</f>
        <v>8</v>
      </c>
      <c r="L22" s="77">
        <f>0+3+10-1+1-2-1-1+1+1-1-1+1-2+1+1-2+1-1+2+2+1</f>
        <v>13</v>
      </c>
      <c r="M22" s="77">
        <f>0+3+1+15-1+1-2-3-1+3+4-1+1-1-1-3-1+1+3-5-1+2-4+5+1-2+1+1-1-2+3+1+2+2-1-4-1+1+4-2+1+1-1+1+1+1+1-1+1</f>
        <v>23</v>
      </c>
      <c r="N22" s="77">
        <f>0+1+15-1-1+1+1-3-1-6+1-1+6+3+1-1-1-12+1+1+1+12-1+1-9-1-1-4+1-2-1+2-1+2-1-1+1+1-3+2-1+1-1+1-2+2</f>
        <v>2</v>
      </c>
      <c r="O22" s="77">
        <f>0+1+1+10-1+1-3+1-4-1+4+3+1-1-1-1-1+1+1+1+1-5+1+1-2+5-1-1-2-9+1+1-1</f>
        <v>1</v>
      </c>
      <c r="P22" s="77">
        <f>0+1+8-1+1-1-4-1+1-1+1+4+1-1-1+1-1+1+1-1+1-2+1+1-1-2+1+1-2+2+3-1+1+1</f>
        <v>12</v>
      </c>
      <c r="Q22" s="77">
        <f>0+2+5-1-1+1+1-1+1+1+1+3+4-1-2+2+1-1+1+1</f>
        <v>17</v>
      </c>
      <c r="R22" s="77">
        <f>0+2+1-1+1-1-2</f>
        <v>0</v>
      </c>
      <c r="S22" s="77">
        <f>0+1+1-1-1</f>
        <v>0</v>
      </c>
      <c r="T22" s="83">
        <f t="shared" ref="T22:T28" si="8">SUM(B22:S22)</f>
        <v>132</v>
      </c>
      <c r="U22" s="66"/>
      <c r="V22" s="66"/>
      <c r="W22" s="66"/>
      <c r="X22" s="66"/>
      <c r="Y22" s="66"/>
    </row>
    <row r="23" ht="14.25" customHeight="1">
      <c r="A23" s="71" t="s">
        <v>55</v>
      </c>
      <c r="B23" s="77">
        <f>0+1+2+1-1+1-1</f>
        <v>3</v>
      </c>
      <c r="C23" s="77">
        <f>0+3+6-1-2+2-1</f>
        <v>7</v>
      </c>
      <c r="D23" s="77">
        <f>0+1+8-1+1+2-1-1-4+4-1</f>
        <v>8</v>
      </c>
      <c r="E23" s="77">
        <f>0+1+8-1+1-1+3-1-1-1+1-1-1+1</f>
        <v>8</v>
      </c>
      <c r="F23" s="77">
        <f>0+1+1+4-1+1-1+1-1+1-2</f>
        <v>4</v>
      </c>
      <c r="G23" s="77">
        <f>0+2+2+1-1-1+1-1</f>
        <v>3</v>
      </c>
      <c r="H23" s="77">
        <f>0+1+1+2-2-1+1</f>
        <v>2</v>
      </c>
      <c r="I23" s="77">
        <f>0+2</f>
        <v>2</v>
      </c>
      <c r="J23" s="77">
        <f>0</f>
        <v>0</v>
      </c>
      <c r="K23" s="77">
        <f>0+2+5-1</f>
        <v>6</v>
      </c>
      <c r="L23" s="77">
        <f>0+1+10-1-4+4-4</f>
        <v>6</v>
      </c>
      <c r="M23" s="77">
        <f>0+1+15-1+1-1-2+1+3-1-5+5+1-1-9+9-4+4</f>
        <v>16</v>
      </c>
      <c r="N23" s="77">
        <f>0+15-1+1-1+1-1-3+1+1-1+4+1-1-2+1+2-1+1-6+6-1+1-4-2+2+4</f>
        <v>17</v>
      </c>
      <c r="O23" s="77">
        <f>0+1+1+10+1-1-1-1-1+1+1-3+3+1-1+1-1+1+1-5+5-4-2+2+4</f>
        <v>13</v>
      </c>
      <c r="P23" s="77">
        <f>0+2+8-1-1+1+1+1-1-3+3-1+1</f>
        <v>10</v>
      </c>
      <c r="Q23" s="77">
        <f>0+1+5-1+1</f>
        <v>6</v>
      </c>
      <c r="R23" s="77">
        <f>0+1+1</f>
        <v>2</v>
      </c>
      <c r="S23" s="77">
        <f>0+2+1-1+1</f>
        <v>3</v>
      </c>
      <c r="T23" s="83">
        <f t="shared" si="8"/>
        <v>116</v>
      </c>
      <c r="U23" s="66"/>
      <c r="V23" s="66"/>
      <c r="W23" s="66"/>
      <c r="X23" s="66"/>
      <c r="Y23" s="66"/>
    </row>
    <row r="24" ht="14.25" customHeight="1">
      <c r="A24" s="47" t="s">
        <v>44</v>
      </c>
      <c r="B24" s="84">
        <f>0+2+1</f>
        <v>3</v>
      </c>
      <c r="C24" s="84">
        <f>0+3-1+1</f>
        <v>3</v>
      </c>
      <c r="D24" s="84">
        <f>0+3-1+1-1+1</f>
        <v>3</v>
      </c>
      <c r="E24" s="84">
        <f>0+3-1+1+1</f>
        <v>4</v>
      </c>
      <c r="F24" s="84">
        <f>0+1+2-1+1+1</f>
        <v>4</v>
      </c>
      <c r="G24" s="84">
        <f>0+2-1+1-1+1</f>
        <v>2</v>
      </c>
      <c r="H24" s="84">
        <f>0+1+1-1+1</f>
        <v>2</v>
      </c>
      <c r="I24" s="84">
        <f t="shared" ref="I24:J24" si="9">0+1-1+1</f>
        <v>1</v>
      </c>
      <c r="J24" s="84">
        <f t="shared" si="9"/>
        <v>1</v>
      </c>
      <c r="K24" s="84">
        <f>0+2</f>
        <v>2</v>
      </c>
      <c r="L24" s="84">
        <f>0+1+3-1-1+1-3+3+1</f>
        <v>4</v>
      </c>
      <c r="M24" s="84">
        <f>0+1+5-1-1+1+1-4+4-1</f>
        <v>5</v>
      </c>
      <c r="N24" s="84">
        <f>0+1-1+1+3-1+1-4+4+1-1+1</f>
        <v>5</v>
      </c>
      <c r="O24" s="84">
        <f>0+3-1+1-1+1-1+1+1-1</f>
        <v>3</v>
      </c>
      <c r="P24" s="84">
        <f>3-2-1+1-1+1-1+1</f>
        <v>1</v>
      </c>
      <c r="Q24" s="84">
        <f>0+2-1-1+1+1-1+1</f>
        <v>2</v>
      </c>
      <c r="R24" s="84">
        <f t="shared" ref="R24:S24" si="10">0+1-1+1</f>
        <v>1</v>
      </c>
      <c r="S24" s="85">
        <f t="shared" si="10"/>
        <v>1</v>
      </c>
      <c r="T24" s="86">
        <f t="shared" si="8"/>
        <v>47</v>
      </c>
      <c r="U24" s="66"/>
      <c r="V24" s="66"/>
      <c r="W24" s="66"/>
      <c r="X24" s="66"/>
      <c r="Y24" s="66"/>
    </row>
    <row r="25" ht="14.25" customHeight="1">
      <c r="A25" s="71" t="s">
        <v>59</v>
      </c>
      <c r="B25" s="77">
        <f>0+1</f>
        <v>1</v>
      </c>
      <c r="C25" s="77">
        <f t="shared" ref="C25:H25" si="11">0</f>
        <v>0</v>
      </c>
      <c r="D25" s="77">
        <f t="shared" si="11"/>
        <v>0</v>
      </c>
      <c r="E25" s="77">
        <f t="shared" si="11"/>
        <v>0</v>
      </c>
      <c r="F25" s="77">
        <f t="shared" si="11"/>
        <v>0</v>
      </c>
      <c r="G25" s="77">
        <f t="shared" si="11"/>
        <v>0</v>
      </c>
      <c r="H25" s="77">
        <f t="shared" si="11"/>
        <v>0</v>
      </c>
      <c r="I25" s="77">
        <f>0+1</f>
        <v>1</v>
      </c>
      <c r="J25" s="77">
        <f t="shared" ref="J25:K25" si="12">0</f>
        <v>0</v>
      </c>
      <c r="K25" s="77">
        <f t="shared" si="12"/>
        <v>0</v>
      </c>
      <c r="L25" s="77">
        <f>0+1</f>
        <v>1</v>
      </c>
      <c r="M25" s="77">
        <f t="shared" ref="M25:S25" si="13">0</f>
        <v>0</v>
      </c>
      <c r="N25" s="77">
        <f t="shared" si="13"/>
        <v>0</v>
      </c>
      <c r="O25" s="77">
        <f t="shared" si="13"/>
        <v>0</v>
      </c>
      <c r="P25" s="77">
        <f t="shared" si="13"/>
        <v>0</v>
      </c>
      <c r="Q25" s="77">
        <f t="shared" si="13"/>
        <v>0</v>
      </c>
      <c r="R25" s="77">
        <f t="shared" si="13"/>
        <v>0</v>
      </c>
      <c r="S25" s="87">
        <f t="shared" si="13"/>
        <v>0</v>
      </c>
      <c r="T25" s="88">
        <f t="shared" si="8"/>
        <v>3</v>
      </c>
      <c r="U25" s="66"/>
      <c r="V25" s="66"/>
      <c r="W25" s="66"/>
      <c r="X25" s="66"/>
      <c r="Y25" s="66"/>
    </row>
    <row r="26" ht="14.25" customHeight="1">
      <c r="A26" s="71" t="s">
        <v>57</v>
      </c>
      <c r="B26" s="77">
        <f>0+1+2-1+1</f>
        <v>3</v>
      </c>
      <c r="C26" s="77">
        <f t="shared" ref="C26:D26" si="14">0+3</f>
        <v>3</v>
      </c>
      <c r="D26" s="77">
        <f t="shared" si="14"/>
        <v>3</v>
      </c>
      <c r="E26" s="77">
        <f>0+1+3-2+2-3+3</f>
        <v>4</v>
      </c>
      <c r="F26" s="77">
        <f t="shared" ref="F26:G26" si="15">0+2</f>
        <v>2</v>
      </c>
      <c r="G26" s="77">
        <f t="shared" si="15"/>
        <v>2</v>
      </c>
      <c r="H26" s="77">
        <f t="shared" ref="H26:J26" si="16">0+1</f>
        <v>1</v>
      </c>
      <c r="I26" s="77">
        <f t="shared" si="16"/>
        <v>1</v>
      </c>
      <c r="J26" s="77">
        <f t="shared" si="16"/>
        <v>1</v>
      </c>
      <c r="K26" s="77">
        <f t="shared" ref="K26:K27" si="21">0+2</f>
        <v>2</v>
      </c>
      <c r="L26" s="77">
        <f>0+3-1+1</f>
        <v>3</v>
      </c>
      <c r="M26" s="77">
        <f>0+2+5-1+1</f>
        <v>7</v>
      </c>
      <c r="N26" s="77">
        <f>0+5-1+1</f>
        <v>5</v>
      </c>
      <c r="O26" s="77">
        <f>0+3-1+1</f>
        <v>3</v>
      </c>
      <c r="P26" s="77">
        <f>0+2+1-1-1+1</f>
        <v>2</v>
      </c>
      <c r="Q26" s="77">
        <f>0+2</f>
        <v>2</v>
      </c>
      <c r="R26" s="77">
        <f t="shared" ref="R26:S26" si="17">0+1</f>
        <v>1</v>
      </c>
      <c r="S26" s="87">
        <f t="shared" si="17"/>
        <v>1</v>
      </c>
      <c r="T26" s="83">
        <f t="shared" si="8"/>
        <v>46</v>
      </c>
      <c r="U26" s="66"/>
      <c r="V26" s="66"/>
      <c r="W26" s="66"/>
      <c r="X26" s="66"/>
      <c r="Y26" s="66"/>
    </row>
    <row r="27" ht="14.25" customHeight="1">
      <c r="A27" s="71" t="s">
        <v>60</v>
      </c>
      <c r="B27" s="77">
        <f>0+1+2</f>
        <v>3</v>
      </c>
      <c r="C27" s="77">
        <f t="shared" ref="C27:D27" si="18">0+3+1</f>
        <v>4</v>
      </c>
      <c r="D27" s="77">
        <f t="shared" si="18"/>
        <v>4</v>
      </c>
      <c r="E27" s="77">
        <f>0+1+3+3+1</f>
        <v>8</v>
      </c>
      <c r="F27" s="77">
        <f t="shared" ref="F27:G27" si="19">0+2</f>
        <v>2</v>
      </c>
      <c r="G27" s="77">
        <f t="shared" si="19"/>
        <v>2</v>
      </c>
      <c r="H27" s="77">
        <f t="shared" ref="H27:J27" si="20">0+1</f>
        <v>1</v>
      </c>
      <c r="I27" s="77">
        <f t="shared" si="20"/>
        <v>1</v>
      </c>
      <c r="J27" s="77">
        <f t="shared" si="20"/>
        <v>1</v>
      </c>
      <c r="K27" s="77">
        <f t="shared" si="21"/>
        <v>2</v>
      </c>
      <c r="L27" s="77">
        <f>0+1+3-3+3+1</f>
        <v>5</v>
      </c>
      <c r="M27" s="77">
        <f>0+1+5+3</f>
        <v>9</v>
      </c>
      <c r="N27" s="77">
        <f>0+5-5+5-1+1+1</f>
        <v>6</v>
      </c>
      <c r="O27" s="77">
        <f>0+3</f>
        <v>3</v>
      </c>
      <c r="P27" s="77">
        <f t="shared" ref="P27:Q27" si="22">0+2</f>
        <v>2</v>
      </c>
      <c r="Q27" s="77">
        <f t="shared" si="22"/>
        <v>2</v>
      </c>
      <c r="R27" s="77">
        <f t="shared" ref="R27:S27" si="23">0+1</f>
        <v>1</v>
      </c>
      <c r="S27" s="87">
        <f t="shared" si="23"/>
        <v>1</v>
      </c>
      <c r="T27" s="83">
        <f t="shared" si="8"/>
        <v>57</v>
      </c>
      <c r="U27" s="66"/>
      <c r="V27" s="66"/>
      <c r="W27" s="66"/>
      <c r="X27" s="66"/>
      <c r="Y27" s="66"/>
    </row>
    <row r="28" ht="14.25" customHeight="1">
      <c r="A28" s="71" t="s">
        <v>61</v>
      </c>
      <c r="B28" s="77">
        <f t="shared" ref="B28:S28" si="24">0</f>
        <v>0</v>
      </c>
      <c r="C28" s="77">
        <f t="shared" si="24"/>
        <v>0</v>
      </c>
      <c r="D28" s="77">
        <f t="shared" si="24"/>
        <v>0</v>
      </c>
      <c r="E28" s="77">
        <f t="shared" si="24"/>
        <v>0</v>
      </c>
      <c r="F28" s="77">
        <f t="shared" si="24"/>
        <v>0</v>
      </c>
      <c r="G28" s="77">
        <f t="shared" si="24"/>
        <v>0</v>
      </c>
      <c r="H28" s="77">
        <f t="shared" si="24"/>
        <v>0</v>
      </c>
      <c r="I28" s="77">
        <f t="shared" si="24"/>
        <v>0</v>
      </c>
      <c r="J28" s="77">
        <f t="shared" si="24"/>
        <v>0</v>
      </c>
      <c r="K28" s="77">
        <f t="shared" si="24"/>
        <v>0</v>
      </c>
      <c r="L28" s="77">
        <f t="shared" si="24"/>
        <v>0</v>
      </c>
      <c r="M28" s="77">
        <f t="shared" si="24"/>
        <v>0</v>
      </c>
      <c r="N28" s="77">
        <f t="shared" si="24"/>
        <v>0</v>
      </c>
      <c r="O28" s="77">
        <f t="shared" si="24"/>
        <v>0</v>
      </c>
      <c r="P28" s="77">
        <f t="shared" si="24"/>
        <v>0</v>
      </c>
      <c r="Q28" s="77">
        <f t="shared" si="24"/>
        <v>0</v>
      </c>
      <c r="R28" s="77">
        <f t="shared" si="24"/>
        <v>0</v>
      </c>
      <c r="S28" s="87">
        <f t="shared" si="24"/>
        <v>0</v>
      </c>
      <c r="T28" s="89">
        <f t="shared" si="8"/>
        <v>0</v>
      </c>
      <c r="U28" s="66"/>
      <c r="V28" s="66"/>
      <c r="W28" s="66"/>
      <c r="X28" s="66"/>
      <c r="Y28" s="66"/>
    </row>
    <row r="29" ht="14.25" customHeight="1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90">
        <f>SUM(T22:T28)</f>
        <v>401</v>
      </c>
      <c r="U29" s="66"/>
      <c r="V29" s="66"/>
      <c r="W29" s="66"/>
      <c r="X29" s="66"/>
      <c r="Y29" s="66"/>
    </row>
    <row r="30" ht="14.25" customHeight="1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</row>
    <row r="31" ht="14.25" customHeight="1">
      <c r="A31" s="70" t="s">
        <v>62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3"/>
      <c r="U31" s="66"/>
      <c r="V31" s="66"/>
      <c r="W31" s="66"/>
      <c r="X31" s="66"/>
      <c r="Y31" s="66"/>
    </row>
    <row r="32" ht="14.25" customHeight="1">
      <c r="A32" s="71"/>
      <c r="B32" s="72" t="s">
        <v>1</v>
      </c>
      <c r="C32" s="52"/>
      <c r="D32" s="52"/>
      <c r="E32" s="52"/>
      <c r="F32" s="52"/>
      <c r="G32" s="52"/>
      <c r="H32" s="52"/>
      <c r="I32" s="52"/>
      <c r="J32" s="53"/>
      <c r="K32" s="91" t="s">
        <v>63</v>
      </c>
      <c r="L32" s="52"/>
      <c r="M32" s="52"/>
      <c r="N32" s="52"/>
      <c r="O32" s="52"/>
      <c r="P32" s="52"/>
      <c r="Q32" s="52"/>
      <c r="R32" s="52"/>
      <c r="S32" s="52"/>
      <c r="T32" s="53"/>
      <c r="U32" s="66"/>
      <c r="V32" s="66"/>
      <c r="W32" s="66"/>
      <c r="X32" s="66"/>
      <c r="Y32" s="66"/>
    </row>
    <row r="33" ht="14.25" customHeight="1">
      <c r="A33" s="71"/>
      <c r="B33" s="81" t="s">
        <v>4</v>
      </c>
      <c r="C33" s="81" t="s">
        <v>49</v>
      </c>
      <c r="D33" s="81" t="s">
        <v>50</v>
      </c>
      <c r="E33" s="81" t="s">
        <v>51</v>
      </c>
      <c r="F33" s="81" t="s">
        <v>52</v>
      </c>
      <c r="G33" s="81" t="s">
        <v>9</v>
      </c>
      <c r="H33" s="81" t="s">
        <v>10</v>
      </c>
      <c r="I33" s="81" t="s">
        <v>11</v>
      </c>
      <c r="J33" s="81" t="s">
        <v>12</v>
      </c>
      <c r="K33" s="75" t="s">
        <v>4</v>
      </c>
      <c r="L33" s="75" t="s">
        <v>49</v>
      </c>
      <c r="M33" s="75" t="s">
        <v>50</v>
      </c>
      <c r="N33" s="75" t="s">
        <v>51</v>
      </c>
      <c r="O33" s="75" t="s">
        <v>52</v>
      </c>
      <c r="P33" s="75" t="s">
        <v>9</v>
      </c>
      <c r="Q33" s="75" t="s">
        <v>10</v>
      </c>
      <c r="R33" s="75" t="s">
        <v>11</v>
      </c>
      <c r="S33" s="75" t="s">
        <v>12</v>
      </c>
      <c r="T33" s="76" t="s">
        <v>53</v>
      </c>
      <c r="U33" s="66"/>
      <c r="V33" s="66"/>
      <c r="W33" s="66"/>
      <c r="X33" s="66"/>
      <c r="Y33" s="66"/>
    </row>
    <row r="34" ht="14.25" customHeight="1">
      <c r="A34" s="71" t="s">
        <v>54</v>
      </c>
      <c r="B34" s="77">
        <f>0+2+2+1</f>
        <v>5</v>
      </c>
      <c r="C34" s="77">
        <f>0+2+2-1+1+1+2</f>
        <v>7</v>
      </c>
      <c r="D34" s="77">
        <f>0+2+3+1-1-1+1+1</f>
        <v>6</v>
      </c>
      <c r="E34" s="77">
        <f>0+3+3+1-1+1-5+5</f>
        <v>7</v>
      </c>
      <c r="F34" s="77">
        <f>0+3+2+1+1-1+1</f>
        <v>7</v>
      </c>
      <c r="G34" s="77">
        <f>0+1+2+1+1-1+1</f>
        <v>5</v>
      </c>
      <c r="H34" s="77">
        <f>0+1+1-1+1+1+1-1+1</f>
        <v>4</v>
      </c>
      <c r="I34" s="77">
        <f>0+1+1</f>
        <v>2</v>
      </c>
      <c r="J34" s="77">
        <f>0+1-1+1+1</f>
        <v>2</v>
      </c>
      <c r="K34" s="77">
        <f>0+3+2+1+1-3</f>
        <v>4</v>
      </c>
      <c r="L34" s="77">
        <f>0+2-1-1+1+3+2</f>
        <v>6</v>
      </c>
      <c r="M34" s="77">
        <f>0+2-1-1+1+1+1+5+1+1-1+1+1+1-1+1-2-2-1-1+2+6-2</f>
        <v>12</v>
      </c>
      <c r="N34" s="77">
        <f>0+1-1+1+1+1+5+1+1-1+1-1+1-3-1+3+3-1+1</f>
        <v>12</v>
      </c>
      <c r="O34" s="77">
        <f>0+2-1+1-1+3+1+1+1+1+1-1-1+2-2+2</f>
        <v>9</v>
      </c>
      <c r="P34" s="77">
        <f>0+2-1+1+2-1+1+1+1+1+1-1-1+1</f>
        <v>7</v>
      </c>
      <c r="Q34" s="77">
        <f>0+1-1+1+2-1+1+1-1-1+1+1</f>
        <v>4</v>
      </c>
      <c r="R34" s="77">
        <f>0+2+1+1+1+1</f>
        <v>6</v>
      </c>
      <c r="S34" s="77">
        <f>0+1+1+4</f>
        <v>6</v>
      </c>
      <c r="T34" s="76">
        <f t="shared" ref="T34:T35" si="27">SUM(B34:S34)</f>
        <v>111</v>
      </c>
      <c r="U34" s="66"/>
      <c r="V34" s="66"/>
      <c r="W34" s="66"/>
      <c r="X34" s="66"/>
      <c r="Y34" s="66"/>
    </row>
    <row r="35" ht="14.25" customHeight="1">
      <c r="A35" s="71" t="s">
        <v>55</v>
      </c>
      <c r="B35" s="77">
        <f>0+2+2-1-1-1+1+1-1+1</f>
        <v>3</v>
      </c>
      <c r="C35" s="77">
        <f>0+1+3-1-1+1+2+2+1-1</f>
        <v>7</v>
      </c>
      <c r="D35" s="77">
        <f>0+1+3-1+1-1-1-1-1+1-1+1+1+1+1+1-1</f>
        <v>4</v>
      </c>
      <c r="E35" s="77">
        <f>0+3+3-1-1+1+1+1+1+1</f>
        <v>9</v>
      </c>
      <c r="F35" s="77">
        <f>0+1+2-1+1-1-1+1+1+1+1+1+1+1-2</f>
        <v>6</v>
      </c>
      <c r="G35" s="77">
        <f>0+1+2-1-1+1+1+1+1</f>
        <v>5</v>
      </c>
      <c r="H35" s="77">
        <f t="shared" ref="H35:J35" si="25">0+1+1</f>
        <v>2</v>
      </c>
      <c r="I35" s="77">
        <f t="shared" si="25"/>
        <v>2</v>
      </c>
      <c r="J35" s="77">
        <f t="shared" si="25"/>
        <v>2</v>
      </c>
      <c r="K35" s="77">
        <f>0+2+2-1-1+1+1+1+1</f>
        <v>6</v>
      </c>
      <c r="L35" s="77">
        <f>0+2+3+1-1-1+1+1-1+1+1+1-1+2</f>
        <v>9</v>
      </c>
      <c r="M35" s="77">
        <f>0+1+5-1-1+1+1+1+1-1+1</f>
        <v>8</v>
      </c>
      <c r="N35" s="78">
        <f>0+1-1+1+5-1-1+1-1+1+1+1+1+1+1</f>
        <v>10</v>
      </c>
      <c r="O35" s="77">
        <f>0+2+3-1-1+1+1+1+1</f>
        <v>7</v>
      </c>
      <c r="P35" s="77">
        <f>0+1+2-1-1+1+1-2+1+1</f>
        <v>3</v>
      </c>
      <c r="Q35" s="77">
        <f>0+2+2-1+1-1</f>
        <v>3</v>
      </c>
      <c r="R35" s="77">
        <f t="shared" ref="R35:S35" si="26">0+1+1</f>
        <v>2</v>
      </c>
      <c r="S35" s="77">
        <f t="shared" si="26"/>
        <v>2</v>
      </c>
      <c r="T35" s="76">
        <f t="shared" si="27"/>
        <v>90</v>
      </c>
      <c r="U35" s="66"/>
      <c r="V35" s="66"/>
      <c r="W35" s="66"/>
      <c r="X35" s="66"/>
      <c r="Y35" s="66"/>
    </row>
    <row r="36" ht="50.25" customHeight="1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92">
        <f>SUM(T34:T35)</f>
        <v>201</v>
      </c>
      <c r="U36" s="66"/>
      <c r="V36" s="66"/>
      <c r="W36" s="66"/>
      <c r="X36" s="66"/>
      <c r="Y36" s="66"/>
    </row>
    <row r="37" ht="14.25" customHeight="1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</row>
    <row r="38" ht="14.25" customHeight="1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</row>
    <row r="39" ht="14.25" customHeight="1">
      <c r="A39" s="70" t="s">
        <v>64</v>
      </c>
      <c r="B39" s="52"/>
      <c r="C39" s="52"/>
      <c r="D39" s="52"/>
      <c r="E39" s="52"/>
      <c r="F39" s="52"/>
      <c r="G39" s="52"/>
      <c r="H39" s="52"/>
      <c r="I39" s="52"/>
      <c r="J39" s="93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</row>
    <row r="40" ht="14.25" customHeight="1">
      <c r="A40" s="94"/>
      <c r="B40" s="72" t="s">
        <v>43</v>
      </c>
      <c r="C40" s="52"/>
      <c r="D40" s="52"/>
      <c r="E40" s="52"/>
      <c r="F40" s="52"/>
      <c r="G40" s="52"/>
      <c r="H40" s="52"/>
      <c r="I40" s="52"/>
      <c r="J40" s="53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</row>
    <row r="41" ht="14.25" customHeight="1">
      <c r="A41" s="71"/>
      <c r="B41" s="95" t="s">
        <v>4</v>
      </c>
      <c r="C41" s="95" t="s">
        <v>49</v>
      </c>
      <c r="D41" s="95" t="s">
        <v>50</v>
      </c>
      <c r="E41" s="95" t="s">
        <v>51</v>
      </c>
      <c r="F41" s="95" t="s">
        <v>52</v>
      </c>
      <c r="G41" s="95" t="s">
        <v>9</v>
      </c>
      <c r="H41" s="95" t="s">
        <v>10</v>
      </c>
      <c r="I41" s="95" t="s">
        <v>11</v>
      </c>
      <c r="J41" s="96" t="s">
        <v>12</v>
      </c>
      <c r="K41" s="97" t="s">
        <v>53</v>
      </c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</row>
    <row r="42" ht="14.25" customHeight="1">
      <c r="A42" s="71" t="s">
        <v>54</v>
      </c>
      <c r="B42" s="98">
        <f>0+3+5+1+1</f>
        <v>10</v>
      </c>
      <c r="C42" s="98">
        <f>0+4+10-1+1-1-1+1+1-7-5+10+1+6-1+1-1+1</f>
        <v>19</v>
      </c>
      <c r="D42" s="98">
        <f>0+5+10-1+1-7-4+4+1-1+1-1+11-1+1-8+6</f>
        <v>17</v>
      </c>
      <c r="E42" s="98">
        <f>0+2-1+10+1-1+1-5-7+1+3-2+2-4+6</f>
        <v>6</v>
      </c>
      <c r="F42" s="98">
        <f>0+41+1-1+1-13+13</f>
        <v>42</v>
      </c>
      <c r="G42" s="98">
        <f>0+4+4-2-3+2-2+2-1+1</f>
        <v>5</v>
      </c>
      <c r="H42" s="98">
        <f>0+3-1+5+1-1+2-1+1</f>
        <v>9</v>
      </c>
      <c r="I42" s="98">
        <f>0+1+2</f>
        <v>3</v>
      </c>
      <c r="J42" s="99">
        <f>0+2+2</f>
        <v>4</v>
      </c>
      <c r="K42" s="100">
        <f t="shared" ref="K42:K43" si="28">SUM(B42:J42)</f>
        <v>115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</row>
    <row r="43" ht="14.25" customHeight="1">
      <c r="A43" s="71" t="s">
        <v>55</v>
      </c>
      <c r="B43" s="77">
        <f>0+3+5</f>
        <v>8</v>
      </c>
      <c r="C43" s="77">
        <f>0+2-1-1+10+1+1+1</f>
        <v>13</v>
      </c>
      <c r="D43" s="77">
        <f>15+1</f>
        <v>16</v>
      </c>
      <c r="E43" s="77">
        <f>0+3-1+1+1</f>
        <v>4</v>
      </c>
      <c r="F43" s="77">
        <f>0+2-1+1+8+1+1-1</f>
        <v>11</v>
      </c>
      <c r="G43" s="77">
        <f>0+3-1+1+8+1-1+1-2</f>
        <v>10</v>
      </c>
      <c r="H43" s="78">
        <f>0+3-1+1+5+1</f>
        <v>9</v>
      </c>
      <c r="I43" s="77">
        <f>0+3+2+1</f>
        <v>6</v>
      </c>
      <c r="J43" s="87">
        <f>0+1+2</f>
        <v>3</v>
      </c>
      <c r="K43" s="76">
        <f t="shared" si="28"/>
        <v>80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</row>
    <row r="44" ht="14.25" customHeight="1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101">
        <f>SUM(K42:K43)</f>
        <v>195</v>
      </c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</row>
    <row r="45" ht="14.25" customHeight="1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</row>
    <row r="46" ht="14.25" customHeight="1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</row>
    <row r="47" ht="14.25" customHeight="1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</row>
    <row r="48" ht="14.25" customHeight="1">
      <c r="A48" s="102" t="s">
        <v>65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5"/>
      <c r="U48" s="66"/>
      <c r="V48" s="66"/>
      <c r="W48" s="66"/>
      <c r="X48" s="66"/>
      <c r="Y48" s="66"/>
    </row>
    <row r="49" ht="21.0" customHeight="1">
      <c r="A49" s="103" t="s">
        <v>66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5"/>
      <c r="U49" s="66"/>
      <c r="V49" s="66"/>
      <c r="W49" s="66"/>
      <c r="X49" s="66"/>
      <c r="Y49" s="66"/>
    </row>
    <row r="50" ht="14.25" customHeight="1">
      <c r="A50" s="71"/>
      <c r="B50" s="106" t="s">
        <v>1</v>
      </c>
      <c r="C50" s="52"/>
      <c r="D50" s="52"/>
      <c r="E50" s="52"/>
      <c r="F50" s="52"/>
      <c r="G50" s="52"/>
      <c r="H50" s="52"/>
      <c r="I50" s="52"/>
      <c r="J50" s="53"/>
      <c r="K50" s="106" t="s">
        <v>2</v>
      </c>
      <c r="L50" s="52"/>
      <c r="M50" s="52"/>
      <c r="N50" s="52"/>
      <c r="O50" s="52"/>
      <c r="P50" s="52"/>
      <c r="Q50" s="52"/>
      <c r="R50" s="52"/>
      <c r="S50" s="52"/>
      <c r="T50" s="53"/>
      <c r="U50" s="66"/>
      <c r="V50" s="66"/>
      <c r="W50" s="66"/>
      <c r="X50" s="66"/>
      <c r="Y50" s="66"/>
    </row>
    <row r="51" ht="14.25" customHeight="1">
      <c r="A51" s="73"/>
      <c r="B51" s="107" t="s">
        <v>4</v>
      </c>
      <c r="C51" s="107" t="s">
        <v>49</v>
      </c>
      <c r="D51" s="107" t="s">
        <v>50</v>
      </c>
      <c r="E51" s="107" t="s">
        <v>51</v>
      </c>
      <c r="F51" s="107" t="s">
        <v>52</v>
      </c>
      <c r="G51" s="107" t="s">
        <v>9</v>
      </c>
      <c r="H51" s="107" t="s">
        <v>10</v>
      </c>
      <c r="I51" s="107" t="s">
        <v>11</v>
      </c>
      <c r="J51" s="107" t="s">
        <v>12</v>
      </c>
      <c r="K51" s="108" t="s">
        <v>4</v>
      </c>
      <c r="L51" s="108" t="s">
        <v>49</v>
      </c>
      <c r="M51" s="108" t="s">
        <v>50</v>
      </c>
      <c r="N51" s="108" t="s">
        <v>51</v>
      </c>
      <c r="O51" s="108" t="s">
        <v>52</v>
      </c>
      <c r="P51" s="108" t="s">
        <v>9</v>
      </c>
      <c r="Q51" s="108" t="s">
        <v>10</v>
      </c>
      <c r="R51" s="108" t="s">
        <v>11</v>
      </c>
      <c r="S51" s="108" t="s">
        <v>12</v>
      </c>
      <c r="T51" s="109" t="s">
        <v>53</v>
      </c>
      <c r="U51" s="66"/>
      <c r="V51" s="66"/>
      <c r="W51" s="66"/>
      <c r="X51" s="66"/>
      <c r="Y51" s="66"/>
    </row>
    <row r="52" ht="14.25" customHeight="1">
      <c r="A52" s="71" t="s">
        <v>54</v>
      </c>
      <c r="B52" s="110">
        <f>0+1+1+1+2+1-1+1-1+1+1-1+1</f>
        <v>7</v>
      </c>
      <c r="C52" s="110">
        <f>0+2-1-1+1-1+1+3-1-1-1+1+1+1-1+2-1-1+1+1+1</f>
        <v>6</v>
      </c>
      <c r="D52" s="110">
        <f>0+1-1+1+2-1+1+1-1+1+1-1-1+1-1-1+1+2-1-1+1+1+2-1+3-1+1+1-1+1</f>
        <v>10</v>
      </c>
      <c r="E52" s="110">
        <f>0+3+1+2+1-1-2+1-1+1+1+1+3-1+1-1+1+1-1+1-4+4</f>
        <v>11</v>
      </c>
      <c r="F52" s="110">
        <f>0+1+1+2+1-1-1+1+1-1+1-1+1+1+1-3+3</f>
        <v>7</v>
      </c>
      <c r="G52" s="110">
        <f>0+1+2+1-1-1+1+1+1+1-1+1-2+2+1</f>
        <v>7</v>
      </c>
      <c r="H52" s="110">
        <f>6+1</f>
        <v>7</v>
      </c>
      <c r="I52" s="110">
        <f t="shared" ref="I52:J52" si="29">0+2+1-1+1+1</f>
        <v>4</v>
      </c>
      <c r="J52" s="110">
        <f t="shared" si="29"/>
        <v>4</v>
      </c>
      <c r="K52" s="110">
        <f>0+1+1+2+1-1-1-1+1+1+1+1-1+1+1</f>
        <v>7</v>
      </c>
      <c r="L52" s="110">
        <f>0+1+1+2+1-1-1-1+1+1+1+1-1+1+1-2-2+3+1</f>
        <v>7</v>
      </c>
      <c r="M52" s="110">
        <f>0+1+1+2-1+1+1-1-1+1-1+1+1+1-1-1+1+1+1-1-1+1-1-4-1+1+1+5-1+1-1+1+1-1+1+1-1-1+1+4-5+5+2-5+5</f>
        <v>14</v>
      </c>
      <c r="N52" s="110">
        <f>0+1-1+1+1-1-1+1+1+1-1+2+1+1-1-1-1+1+1-1+1+1-1-1+1-1+1+2-5+1+1-1-1+1-1-1+1+1+1+1-1+1-2+1-1+3-1+1-1+1+1-3+3</f>
        <v>7</v>
      </c>
      <c r="O52" s="110">
        <f>0+2-1-1+1-1+1+1+1+1-2+2-1+1-1-1-1+1+2-1-1+1+1</f>
        <v>4</v>
      </c>
      <c r="P52" s="110">
        <f>0+1+2+1-1-1+1+1-1-1-2+5-1+1-1-4+1-1+1-1</f>
        <v>0</v>
      </c>
      <c r="Q52" s="110">
        <f>0+1+2+1-1-1+1+1+1-1+1</f>
        <v>5</v>
      </c>
      <c r="R52" s="110">
        <f>0+1+1-1-1+1+1-1</f>
        <v>1</v>
      </c>
      <c r="S52" s="110">
        <f>0+1+1-1+1+1+1-1+1+1-1</f>
        <v>4</v>
      </c>
      <c r="T52" s="110">
        <f t="shared" ref="T52:T53" si="31">SUM(B52:S52)</f>
        <v>112</v>
      </c>
      <c r="U52" s="80" t="s">
        <v>67</v>
      </c>
      <c r="V52" s="66"/>
      <c r="W52" s="66"/>
      <c r="X52" s="66"/>
      <c r="Y52" s="66"/>
    </row>
    <row r="53" ht="14.25" customHeight="1">
      <c r="A53" s="71" t="s">
        <v>55</v>
      </c>
      <c r="B53" s="110">
        <f>0+2+1-1+1+2+1-1</f>
        <v>5</v>
      </c>
      <c r="C53" s="110">
        <f>0+1-1+1+2+1+1-1+1+1-1-1+1+2-1+1</f>
        <v>7</v>
      </c>
      <c r="D53" s="110">
        <f>0+1+2+1-1+1+1-1-1+1+5+2</f>
        <v>11</v>
      </c>
      <c r="E53" s="110">
        <f>0+1+2+1-1+1+2-1-1+1+3-2</f>
        <v>6</v>
      </c>
      <c r="F53" s="110">
        <f>0+2-1+1+2+1-1+1+1-1-2+1+1</f>
        <v>5</v>
      </c>
      <c r="G53" s="110">
        <f>0+2-1+1+2+1+1-1-1+1+1</f>
        <v>6</v>
      </c>
      <c r="H53" s="110">
        <f>0+2+2-1+1-1+1</f>
        <v>4</v>
      </c>
      <c r="I53" s="110">
        <f t="shared" ref="I53:J53" si="30">0+1+1</f>
        <v>2</v>
      </c>
      <c r="J53" s="110">
        <f t="shared" si="30"/>
        <v>2</v>
      </c>
      <c r="K53" s="110">
        <f>0+2+2</f>
        <v>4</v>
      </c>
      <c r="L53" s="110">
        <f>1+4-1+1</f>
        <v>5</v>
      </c>
      <c r="M53" s="110">
        <f>0+2+1+1+1-1+1+1+1+2-1+1-5-4</f>
        <v>0</v>
      </c>
      <c r="N53" s="110">
        <f>0+1+1+1+2+1-1+1-1+1+1+1-1+1-1+1+1-3+1+1-1+2-1+1-3-1+1-1</f>
        <v>5</v>
      </c>
      <c r="O53" s="110">
        <f>0+1+2+1+1+1-1+1-1+1-3-1+1+1</f>
        <v>4</v>
      </c>
      <c r="P53" s="111">
        <f>0+1+2+1-1-1-1+1+1-1+1</f>
        <v>3</v>
      </c>
      <c r="Q53" s="110">
        <f>0+1+1+2+1-1+1+1-1</f>
        <v>5</v>
      </c>
      <c r="R53" s="110">
        <f>0+2+1-1+1</f>
        <v>3</v>
      </c>
      <c r="S53" s="110">
        <f>0+1+1+1</f>
        <v>3</v>
      </c>
      <c r="T53" s="110">
        <f t="shared" si="31"/>
        <v>80</v>
      </c>
      <c r="U53" s="66"/>
      <c r="V53" s="66"/>
      <c r="W53" s="66"/>
      <c r="X53" s="66"/>
      <c r="Y53" s="66"/>
    </row>
    <row r="54" ht="14.25" customHeight="1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3"/>
      <c r="M54" s="113"/>
      <c r="N54" s="113"/>
      <c r="O54" s="113"/>
      <c r="P54" s="113"/>
      <c r="Q54" s="113"/>
      <c r="R54" s="113"/>
      <c r="S54" s="113"/>
      <c r="T54" s="114">
        <f>SUM(T52:T53)</f>
        <v>192</v>
      </c>
      <c r="U54" s="66"/>
      <c r="V54" s="66"/>
      <c r="W54" s="66"/>
      <c r="X54" s="66"/>
      <c r="Y54" s="66"/>
    </row>
    <row r="55" ht="14.25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3"/>
      <c r="N55" s="113"/>
      <c r="O55" s="113"/>
      <c r="P55" s="113"/>
      <c r="Q55" s="113"/>
      <c r="R55" s="113"/>
      <c r="S55" s="113"/>
      <c r="T55" s="113"/>
      <c r="U55" s="66"/>
      <c r="V55" s="66"/>
      <c r="W55" s="66"/>
      <c r="X55" s="66"/>
      <c r="Y55" s="66"/>
    </row>
    <row r="56" ht="21.0" customHeight="1">
      <c r="A56" s="115" t="s">
        <v>68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3"/>
      <c r="U56" s="66"/>
      <c r="V56" s="66"/>
      <c r="W56" s="66"/>
      <c r="X56" s="66"/>
      <c r="Y56" s="66"/>
    </row>
    <row r="57" ht="14.25" customHeight="1">
      <c r="A57" s="71"/>
      <c r="B57" s="106" t="s">
        <v>1</v>
      </c>
      <c r="C57" s="52"/>
      <c r="D57" s="52"/>
      <c r="E57" s="52"/>
      <c r="F57" s="52"/>
      <c r="G57" s="52"/>
      <c r="H57" s="52"/>
      <c r="I57" s="52"/>
      <c r="J57" s="53"/>
      <c r="K57" s="106" t="s">
        <v>2</v>
      </c>
      <c r="L57" s="52"/>
      <c r="M57" s="52"/>
      <c r="N57" s="52"/>
      <c r="O57" s="52"/>
      <c r="P57" s="52"/>
      <c r="Q57" s="52"/>
      <c r="R57" s="52"/>
      <c r="S57" s="52"/>
      <c r="T57" s="53"/>
      <c r="U57" s="66"/>
      <c r="V57" s="66"/>
      <c r="W57" s="66"/>
      <c r="X57" s="66"/>
      <c r="Y57" s="66"/>
    </row>
    <row r="58" ht="14.25" customHeight="1">
      <c r="A58" s="71"/>
      <c r="B58" s="116" t="s">
        <v>4</v>
      </c>
      <c r="C58" s="116" t="s">
        <v>49</v>
      </c>
      <c r="D58" s="116" t="s">
        <v>50</v>
      </c>
      <c r="E58" s="116" t="s">
        <v>51</v>
      </c>
      <c r="F58" s="116" t="s">
        <v>52</v>
      </c>
      <c r="G58" s="116" t="s">
        <v>9</v>
      </c>
      <c r="H58" s="116" t="s">
        <v>10</v>
      </c>
      <c r="I58" s="116" t="s">
        <v>11</v>
      </c>
      <c r="J58" s="116" t="s">
        <v>12</v>
      </c>
      <c r="K58" s="108" t="s">
        <v>4</v>
      </c>
      <c r="L58" s="108" t="s">
        <v>49</v>
      </c>
      <c r="M58" s="108" t="s">
        <v>50</v>
      </c>
      <c r="N58" s="108" t="s">
        <v>51</v>
      </c>
      <c r="O58" s="108" t="s">
        <v>52</v>
      </c>
      <c r="P58" s="108" t="s">
        <v>9</v>
      </c>
      <c r="Q58" s="108" t="s">
        <v>10</v>
      </c>
      <c r="R58" s="108" t="s">
        <v>11</v>
      </c>
      <c r="S58" s="108" t="s">
        <v>12</v>
      </c>
      <c r="T58" s="109" t="s">
        <v>53</v>
      </c>
      <c r="U58" s="66"/>
      <c r="V58" s="66"/>
      <c r="W58" s="66"/>
      <c r="X58" s="66"/>
      <c r="Y58" s="66"/>
    </row>
    <row r="59" ht="14.25" customHeight="1">
      <c r="A59" s="71" t="s">
        <v>54</v>
      </c>
      <c r="B59" s="110">
        <f>0+9-9+1+1</f>
        <v>2</v>
      </c>
      <c r="C59" s="110">
        <f>13+2-1+2+1-17+2+1+1</f>
        <v>4</v>
      </c>
      <c r="D59" s="111">
        <f>14+17-31+3+1-1+1+1-1+1</f>
        <v>5</v>
      </c>
      <c r="E59" s="110">
        <f>10+1+1-12</f>
        <v>0</v>
      </c>
      <c r="F59" s="110">
        <f>16+1-1+1-17+2</f>
        <v>2</v>
      </c>
      <c r="G59" s="110">
        <f>10+1+1-12+1+1</f>
        <v>2</v>
      </c>
      <c r="H59" s="110">
        <f>13+1-14+1</f>
        <v>1</v>
      </c>
      <c r="I59" s="110">
        <f>4-4+1</f>
        <v>1</v>
      </c>
      <c r="J59" s="110">
        <f>0+1+1-1-1+1+1-1+1+1</f>
        <v>3</v>
      </c>
      <c r="K59" s="110">
        <f>5+5+9+1+1-21+2+1</f>
        <v>3</v>
      </c>
      <c r="L59" s="110">
        <f>22+22+20+6+1+1-1+1-72+5-1+1+1</f>
        <v>6</v>
      </c>
      <c r="M59" s="110">
        <f>22+22+2+14+1+1-62+1-1</f>
        <v>0</v>
      </c>
      <c r="N59" s="110">
        <f>22+22+5+20-3-1+1+1-1+3+1+1-71-2+5-1+2+1+1</f>
        <v>6</v>
      </c>
      <c r="O59" s="110">
        <f>20+11+6-1+2+1-1-1+1+1-39-2+3+2+1</f>
        <v>4</v>
      </c>
      <c r="P59" s="110">
        <f>16+14-1-29-2+2+2-1+1+1</f>
        <v>3</v>
      </c>
      <c r="Q59" s="110">
        <f>20+10+1+2-18-1+2+2</f>
        <v>18</v>
      </c>
      <c r="R59" s="110">
        <f>7-1+1-7+1+1-1</f>
        <v>1</v>
      </c>
      <c r="S59" s="110">
        <f>8-1+1-7+1+1+1</f>
        <v>4</v>
      </c>
      <c r="T59" s="110">
        <f t="shared" ref="T59:T61" si="33">SUM(B59:S59)</f>
        <v>65</v>
      </c>
      <c r="U59" s="66"/>
      <c r="V59" s="66"/>
      <c r="W59" s="66"/>
      <c r="X59" s="66"/>
      <c r="Y59" s="66"/>
    </row>
    <row r="60" ht="14.25" customHeight="1">
      <c r="A60" s="71" t="s">
        <v>55</v>
      </c>
      <c r="B60" s="110">
        <f>5+2</f>
        <v>7</v>
      </c>
      <c r="C60" s="110">
        <f>14+4-7+7</f>
        <v>18</v>
      </c>
      <c r="D60" s="110">
        <f>16+2-2</f>
        <v>16</v>
      </c>
      <c r="E60" s="111">
        <f>20+1-1+1</f>
        <v>21</v>
      </c>
      <c r="F60" s="110">
        <f>10+2</f>
        <v>12</v>
      </c>
      <c r="G60" s="110">
        <f>7+2</f>
        <v>9</v>
      </c>
      <c r="H60" s="110">
        <f>0+2-1+1-1+1-1+1</f>
        <v>2</v>
      </c>
      <c r="I60" s="110">
        <f t="shared" ref="I60:J60" si="32">0+1+2</f>
        <v>3</v>
      </c>
      <c r="J60" s="110">
        <f t="shared" si="32"/>
        <v>3</v>
      </c>
      <c r="K60" s="110">
        <f>0+5-1+1-1-1-1+1+1+1+1+1+1+1-1+1+1</f>
        <v>10</v>
      </c>
      <c r="L60" s="110">
        <f>13+3+5-1-1+1+1</f>
        <v>21</v>
      </c>
      <c r="M60" s="110">
        <f>17+13+3+1-1+1+1-1+1</f>
        <v>35</v>
      </c>
      <c r="N60" s="110">
        <f>13+12+6+1+9-1+1+1-3+1+3-1</f>
        <v>42</v>
      </c>
      <c r="O60" s="110">
        <f>11+7+1+10-1+1</f>
        <v>29</v>
      </c>
      <c r="P60" s="110">
        <f>11+1+2-1+1-1+1+1</f>
        <v>15</v>
      </c>
      <c r="Q60" s="110">
        <f>14+1-1+1+1</f>
        <v>16</v>
      </c>
      <c r="R60" s="110">
        <f>0+3-1+1-1+1-1-1+1+1</f>
        <v>3</v>
      </c>
      <c r="S60" s="110">
        <f>4</f>
        <v>4</v>
      </c>
      <c r="T60" s="110">
        <f t="shared" si="33"/>
        <v>266</v>
      </c>
      <c r="U60" s="66"/>
      <c r="V60" s="66"/>
      <c r="W60" s="66"/>
      <c r="X60" s="66"/>
      <c r="Y60" s="66"/>
    </row>
    <row r="61" ht="14.25" customHeight="1">
      <c r="A61" s="71" t="s">
        <v>57</v>
      </c>
      <c r="B61" s="110">
        <f>0+1-1+1+1-1+1+1-1-2</f>
        <v>0</v>
      </c>
      <c r="C61" s="110">
        <f>0+2-1-1+1-1</f>
        <v>0</v>
      </c>
      <c r="D61" s="110">
        <f>0+1-1+1+2+1+1-1-1</f>
        <v>3</v>
      </c>
      <c r="E61" s="110">
        <f>0+1-1</f>
        <v>0</v>
      </c>
      <c r="F61" s="110">
        <f>0+2+2+1-1</f>
        <v>4</v>
      </c>
      <c r="G61" s="110">
        <f>0+2-1+2+1+1</f>
        <v>5</v>
      </c>
      <c r="H61" s="110">
        <f>0+1</f>
        <v>1</v>
      </c>
      <c r="I61" s="110">
        <f t="shared" ref="I61:J61" si="34">0+1+1</f>
        <v>2</v>
      </c>
      <c r="J61" s="110">
        <f t="shared" si="34"/>
        <v>2</v>
      </c>
      <c r="K61" s="110">
        <f>0+1+2+1+1-1-1+1</f>
        <v>4</v>
      </c>
      <c r="L61" s="110">
        <f>0+1+2+1-1+1-1+1+1-1</f>
        <v>4</v>
      </c>
      <c r="M61" s="110">
        <f>0+2-1+1+1-1+1-1+1+1-1+2+1-1-1</f>
        <v>4</v>
      </c>
      <c r="N61" s="110">
        <f>0+1-1+1+2-1-1-1+1-1</f>
        <v>0</v>
      </c>
      <c r="O61" s="110">
        <f>0+2-1-1+1+1-2+1</f>
        <v>1</v>
      </c>
      <c r="P61" s="110">
        <f>0+1+2-1+1-2+3</f>
        <v>4</v>
      </c>
      <c r="Q61" s="110">
        <f>0+2</f>
        <v>2</v>
      </c>
      <c r="R61" s="111">
        <f t="shared" ref="R61:S61" si="35">0+1+1-1</f>
        <v>1</v>
      </c>
      <c r="S61" s="110">
        <f t="shared" si="35"/>
        <v>1</v>
      </c>
      <c r="T61" s="110">
        <f t="shared" si="33"/>
        <v>38</v>
      </c>
      <c r="U61" s="66"/>
      <c r="V61" s="66"/>
      <c r="W61" s="66"/>
      <c r="X61" s="66"/>
      <c r="Y61" s="66"/>
    </row>
    <row r="62" ht="14.25" customHeight="1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3"/>
      <c r="M62" s="113"/>
      <c r="N62" s="113"/>
      <c r="O62" s="113"/>
      <c r="P62" s="113"/>
      <c r="Q62" s="113"/>
      <c r="R62" s="113"/>
      <c r="S62" s="113"/>
      <c r="T62" s="117">
        <f>SUM(T59:T61)</f>
        <v>369</v>
      </c>
      <c r="U62" s="66"/>
      <c r="V62" s="66"/>
      <c r="W62" s="66"/>
      <c r="X62" s="66"/>
      <c r="Y62" s="66"/>
    </row>
    <row r="63" ht="14.25" customHeight="1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3"/>
      <c r="M63" s="113"/>
      <c r="N63" s="113"/>
      <c r="O63" s="113"/>
      <c r="P63" s="113"/>
      <c r="Q63" s="113"/>
      <c r="R63" s="113"/>
      <c r="S63" s="113"/>
      <c r="T63" s="118"/>
      <c r="U63" s="66"/>
      <c r="V63" s="66"/>
      <c r="W63" s="66"/>
      <c r="X63" s="66"/>
      <c r="Y63" s="66"/>
    </row>
    <row r="64" ht="21.0" customHeight="1">
      <c r="A64" s="115" t="s">
        <v>69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3"/>
      <c r="U64" s="66"/>
      <c r="V64" s="66"/>
      <c r="W64" s="66"/>
      <c r="X64" s="66"/>
      <c r="Y64" s="66"/>
    </row>
    <row r="65" ht="14.25" customHeight="1">
      <c r="A65" s="71"/>
      <c r="B65" s="106" t="s">
        <v>1</v>
      </c>
      <c r="C65" s="52"/>
      <c r="D65" s="52"/>
      <c r="E65" s="52"/>
      <c r="F65" s="52"/>
      <c r="G65" s="52"/>
      <c r="H65" s="52"/>
      <c r="I65" s="52"/>
      <c r="J65" s="53"/>
      <c r="K65" s="106" t="s">
        <v>2</v>
      </c>
      <c r="L65" s="52"/>
      <c r="M65" s="52"/>
      <c r="N65" s="52"/>
      <c r="O65" s="52"/>
      <c r="P65" s="52"/>
      <c r="Q65" s="52"/>
      <c r="R65" s="52"/>
      <c r="S65" s="52"/>
      <c r="T65" s="53"/>
      <c r="U65" s="66"/>
      <c r="V65" s="66"/>
      <c r="W65" s="66"/>
      <c r="X65" s="66"/>
      <c r="Y65" s="66"/>
    </row>
    <row r="66" ht="14.25" customHeight="1">
      <c r="A66" s="71"/>
      <c r="B66" s="116" t="s">
        <v>4</v>
      </c>
      <c r="C66" s="116" t="s">
        <v>49</v>
      </c>
      <c r="D66" s="116" t="s">
        <v>50</v>
      </c>
      <c r="E66" s="81" t="s">
        <v>51</v>
      </c>
      <c r="F66" s="116" t="s">
        <v>52</v>
      </c>
      <c r="G66" s="116" t="s">
        <v>9</v>
      </c>
      <c r="H66" s="116" t="s">
        <v>10</v>
      </c>
      <c r="I66" s="116" t="s">
        <v>11</v>
      </c>
      <c r="J66" s="116" t="s">
        <v>12</v>
      </c>
      <c r="K66" s="108" t="s">
        <v>4</v>
      </c>
      <c r="L66" s="108" t="s">
        <v>49</v>
      </c>
      <c r="M66" s="108" t="s">
        <v>50</v>
      </c>
      <c r="N66" s="108" t="s">
        <v>51</v>
      </c>
      <c r="O66" s="108" t="s">
        <v>52</v>
      </c>
      <c r="P66" s="108" t="s">
        <v>9</v>
      </c>
      <c r="Q66" s="108" t="s">
        <v>10</v>
      </c>
      <c r="R66" s="108" t="s">
        <v>11</v>
      </c>
      <c r="S66" s="108" t="s">
        <v>12</v>
      </c>
      <c r="T66" s="109" t="s">
        <v>53</v>
      </c>
      <c r="U66" s="66"/>
      <c r="V66" s="66"/>
      <c r="W66" s="66"/>
      <c r="X66" s="66"/>
      <c r="Y66" s="66"/>
    </row>
    <row r="67" ht="14.25" customHeight="1">
      <c r="A67" s="71" t="s">
        <v>54</v>
      </c>
      <c r="B67" s="110">
        <f>0+2+1</f>
        <v>3</v>
      </c>
      <c r="C67" s="110">
        <f>0+1-1</f>
        <v>0</v>
      </c>
      <c r="D67" s="110">
        <f>3-1</f>
        <v>2</v>
      </c>
      <c r="E67" s="110">
        <f>0+1+1+1-1-1-1+1+1+1-1-1+1-1-1+1+2-1+1</f>
        <v>3</v>
      </c>
      <c r="F67" s="110">
        <f>0+1-1+1-1+1-1+1-1+1</f>
        <v>1</v>
      </c>
      <c r="G67" s="110">
        <f>0+2+1-1-1-1+3</f>
        <v>3</v>
      </c>
      <c r="H67" s="110">
        <f>0+1+1-1-1+1+1-1+2-1</f>
        <v>2</v>
      </c>
      <c r="I67" s="110">
        <f>0+1+1</f>
        <v>2</v>
      </c>
      <c r="J67" s="110">
        <f>0+2</f>
        <v>2</v>
      </c>
      <c r="K67" s="110">
        <f>1+3</f>
        <v>4</v>
      </c>
      <c r="L67" s="110">
        <f>0+3+1-1-1+2+1-1-1+1+1+1-1-1+1+10-1-4+1+1+1+2-1-1+1</f>
        <v>14</v>
      </c>
      <c r="M67" s="110">
        <f>5+1-2+1+2-4+4-1+1+1</f>
        <v>8</v>
      </c>
      <c r="N67" s="110">
        <f>8-1-4+2+4-1+1</f>
        <v>9</v>
      </c>
      <c r="O67" s="110">
        <f>4+4-1</f>
        <v>7</v>
      </c>
      <c r="P67" s="110">
        <f>0+1+1+1+1-1+1-1+1+1-1+1-5+1+3+1+1-1-1+1+1+1</f>
        <v>7</v>
      </c>
      <c r="Q67" s="110">
        <f>0+1+1-1+1+1+1-1-1+1-2+2-1+1+3+1-1+1-1+2-2+2+1</f>
        <v>9</v>
      </c>
      <c r="R67" s="110">
        <f>0+1+1-1+1-1+1-1-1+1</f>
        <v>1</v>
      </c>
      <c r="S67" s="110">
        <f>0+1+1-1+1-1+1</f>
        <v>2</v>
      </c>
      <c r="T67" s="110">
        <f t="shared" ref="T67:T70" si="37">SUM(B67:S67)</f>
        <v>79</v>
      </c>
      <c r="U67" s="66"/>
      <c r="V67" s="66"/>
      <c r="W67" s="66"/>
      <c r="X67" s="66"/>
      <c r="Y67" s="66"/>
    </row>
    <row r="68" ht="14.25" customHeight="1">
      <c r="A68" s="71" t="s">
        <v>55</v>
      </c>
      <c r="B68" s="110">
        <f>0+1+1-1+1+1-1</f>
        <v>2</v>
      </c>
      <c r="C68" s="110">
        <f>0+4+1+1+1+1+1-1-1+1+1-1+1+2-1-1+1</f>
        <v>10</v>
      </c>
      <c r="D68" s="110">
        <f>0+1+1+1+1+1-1-1-1-1+1+1+1+2</f>
        <v>6</v>
      </c>
      <c r="E68" s="110">
        <f>0+3+1+1+1+1-1+1+1-1-1+1+1+1+2-1+2-2+2-1</f>
        <v>11</v>
      </c>
      <c r="F68" s="110">
        <f>0+4+1+1-1+1+1+1+1-1-1+1+1-1-1+1-1+1</f>
        <v>8</v>
      </c>
      <c r="G68" s="110">
        <f>0+1+1+1+1-1-1+1+1-1+1-3-1+1</f>
        <v>1</v>
      </c>
      <c r="H68" s="110">
        <f>0+1+1+1+1-1-1+1+1+1</f>
        <v>5</v>
      </c>
      <c r="I68" s="110">
        <f>0+3+1-1</f>
        <v>3</v>
      </c>
      <c r="J68" s="110">
        <f>0+2+1</f>
        <v>3</v>
      </c>
      <c r="K68" s="110">
        <f>0+4-1+1+2-1+2+1+2-1</f>
        <v>9</v>
      </c>
      <c r="L68" s="110">
        <f>0+4-1-1+1+1+1+1-1-4+4-1-1+5-1+1+1+3-1+3-1</f>
        <v>13</v>
      </c>
      <c r="M68" s="110">
        <f>0+1+1-1-1+1+1+1+1+1-2+2-1-1+1+1+1-1-1-2-2+1+1+5+4-1-1+1-2-2+1+1-1+3-1</f>
        <v>9</v>
      </c>
      <c r="N68" s="110">
        <f>0+1-1+1-1+1-1+1+1+1+1-1+1+1-2-2-1+1</f>
        <v>1</v>
      </c>
      <c r="O68" s="110">
        <f>0+2-1-1+1+1-1-1+1+3-2+2+1-1-1+1-4</f>
        <v>0</v>
      </c>
      <c r="P68" s="110">
        <f>0+2-1-1+2+1+1-1-1-1-1+1+1+1-2+3-2-1+1-1</f>
        <v>1</v>
      </c>
      <c r="Q68" s="110">
        <f>0+3-1-1+1-1+1+1+1-1+2+2-3-1+1+3</f>
        <v>7</v>
      </c>
      <c r="R68" s="110">
        <f t="shared" ref="R68:S68" si="36">0+2-1+1+1+1</f>
        <v>4</v>
      </c>
      <c r="S68" s="110">
        <f t="shared" si="36"/>
        <v>4</v>
      </c>
      <c r="T68" s="110">
        <f t="shared" si="37"/>
        <v>97</v>
      </c>
      <c r="U68" s="66"/>
      <c r="V68" s="66"/>
      <c r="W68" s="66"/>
      <c r="X68" s="66"/>
      <c r="Y68" s="66"/>
    </row>
    <row r="69" ht="14.25" customHeight="1">
      <c r="A69" s="71" t="s">
        <v>57</v>
      </c>
      <c r="B69" s="110">
        <f t="shared" ref="B69:B70" si="41">0+1</f>
        <v>1</v>
      </c>
      <c r="C69" s="110">
        <f t="shared" ref="C69:C70" si="42">0</f>
        <v>0</v>
      </c>
      <c r="D69" s="110">
        <f>0+1</f>
        <v>1</v>
      </c>
      <c r="E69" s="110">
        <f t="shared" ref="E69:H69" si="38">0</f>
        <v>0</v>
      </c>
      <c r="F69" s="110">
        <f t="shared" si="38"/>
        <v>0</v>
      </c>
      <c r="G69" s="110">
        <f t="shared" si="38"/>
        <v>0</v>
      </c>
      <c r="H69" s="110">
        <f t="shared" si="38"/>
        <v>0</v>
      </c>
      <c r="I69" s="110">
        <f>0+2</f>
        <v>2</v>
      </c>
      <c r="J69" s="110">
        <f t="shared" ref="J69:M69" si="39">0</f>
        <v>0</v>
      </c>
      <c r="K69" s="110">
        <f t="shared" si="39"/>
        <v>0</v>
      </c>
      <c r="L69" s="110">
        <f t="shared" si="39"/>
        <v>0</v>
      </c>
      <c r="M69" s="110">
        <f t="shared" si="39"/>
        <v>0</v>
      </c>
      <c r="N69" s="110">
        <f>0+1-1+1-1+1-1</f>
        <v>0</v>
      </c>
      <c r="O69" s="110">
        <f>0</f>
        <v>0</v>
      </c>
      <c r="P69" s="110">
        <f>0+1-1</f>
        <v>0</v>
      </c>
      <c r="Q69" s="110">
        <f>0+1</f>
        <v>1</v>
      </c>
      <c r="R69" s="110">
        <f t="shared" ref="R69:S69" si="40">0</f>
        <v>0</v>
      </c>
      <c r="S69" s="110">
        <f t="shared" si="40"/>
        <v>0</v>
      </c>
      <c r="T69" s="110">
        <f t="shared" si="37"/>
        <v>5</v>
      </c>
      <c r="U69" s="66"/>
      <c r="V69" s="66"/>
      <c r="W69" s="66"/>
      <c r="X69" s="66"/>
      <c r="Y69" s="66"/>
    </row>
    <row r="70" ht="14.25" customHeight="1">
      <c r="A70" s="71" t="s">
        <v>59</v>
      </c>
      <c r="B70" s="110">
        <f t="shared" si="41"/>
        <v>1</v>
      </c>
      <c r="C70" s="110">
        <f t="shared" si="42"/>
        <v>0</v>
      </c>
      <c r="D70" s="110">
        <f t="shared" ref="D70:H70" si="43">0</f>
        <v>0</v>
      </c>
      <c r="E70" s="110">
        <f t="shared" si="43"/>
        <v>0</v>
      </c>
      <c r="F70" s="110">
        <f t="shared" si="43"/>
        <v>0</v>
      </c>
      <c r="G70" s="110">
        <f t="shared" si="43"/>
        <v>0</v>
      </c>
      <c r="H70" s="110">
        <f t="shared" si="43"/>
        <v>0</v>
      </c>
      <c r="I70" s="110">
        <f t="shared" ref="I70:K70" si="44">0+1</f>
        <v>1</v>
      </c>
      <c r="J70" s="110">
        <f t="shared" si="44"/>
        <v>1</v>
      </c>
      <c r="K70" s="110">
        <f t="shared" si="44"/>
        <v>1</v>
      </c>
      <c r="L70" s="110">
        <f>0</f>
        <v>0</v>
      </c>
      <c r="M70" s="110">
        <f>0+1-1+1</f>
        <v>1</v>
      </c>
      <c r="N70" s="110">
        <f t="shared" ref="N70:S70" si="45">0</f>
        <v>0</v>
      </c>
      <c r="O70" s="110">
        <f t="shared" si="45"/>
        <v>0</v>
      </c>
      <c r="P70" s="110">
        <f t="shared" si="45"/>
        <v>0</v>
      </c>
      <c r="Q70" s="110">
        <f t="shared" si="45"/>
        <v>0</v>
      </c>
      <c r="R70" s="110">
        <f t="shared" si="45"/>
        <v>0</v>
      </c>
      <c r="S70" s="110">
        <f t="shared" si="45"/>
        <v>0</v>
      </c>
      <c r="T70" s="110">
        <f t="shared" si="37"/>
        <v>5</v>
      </c>
      <c r="U70" s="66"/>
      <c r="V70" s="66"/>
      <c r="W70" s="66"/>
      <c r="X70" s="66"/>
      <c r="Y70" s="66"/>
    </row>
    <row r="71" ht="14.25" customHeight="1">
      <c r="A71" s="7"/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20">
        <f>SUM(T67:T70)</f>
        <v>186</v>
      </c>
      <c r="U71" s="66"/>
      <c r="V71" s="66"/>
      <c r="W71" s="66"/>
      <c r="X71" s="66"/>
      <c r="Y71" s="66"/>
    </row>
    <row r="72" ht="14.25" customHeight="1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3"/>
      <c r="N72" s="113"/>
      <c r="O72" s="113"/>
      <c r="P72" s="113"/>
      <c r="Q72" s="113"/>
      <c r="R72" s="113"/>
      <c r="S72" s="113"/>
      <c r="T72" s="113"/>
      <c r="U72" s="66"/>
      <c r="V72" s="66"/>
      <c r="W72" s="66"/>
      <c r="X72" s="66"/>
      <c r="Y72" s="66"/>
    </row>
    <row r="73" ht="21.0" customHeight="1">
      <c r="A73" s="115" t="s">
        <v>70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3"/>
      <c r="U73" s="66"/>
      <c r="V73" s="66"/>
      <c r="W73" s="66"/>
      <c r="X73" s="66"/>
      <c r="Y73" s="66"/>
    </row>
    <row r="74" ht="14.25" customHeight="1">
      <c r="A74" s="71"/>
      <c r="B74" s="106" t="s">
        <v>1</v>
      </c>
      <c r="C74" s="52"/>
      <c r="D74" s="52"/>
      <c r="E74" s="52"/>
      <c r="F74" s="52"/>
      <c r="G74" s="52"/>
      <c r="H74" s="52"/>
      <c r="I74" s="52"/>
      <c r="J74" s="53"/>
      <c r="K74" s="106" t="s">
        <v>63</v>
      </c>
      <c r="L74" s="52"/>
      <c r="M74" s="52"/>
      <c r="N74" s="52"/>
      <c r="O74" s="52"/>
      <c r="P74" s="52"/>
      <c r="Q74" s="52"/>
      <c r="R74" s="52"/>
      <c r="S74" s="52"/>
      <c r="T74" s="53"/>
      <c r="U74" s="66"/>
      <c r="V74" s="66"/>
      <c r="W74" s="66"/>
      <c r="X74" s="66"/>
      <c r="Y74" s="66"/>
    </row>
    <row r="75" ht="14.25" customHeight="1">
      <c r="A75" s="71"/>
      <c r="B75" s="116" t="s">
        <v>4</v>
      </c>
      <c r="C75" s="116" t="s">
        <v>49</v>
      </c>
      <c r="D75" s="116" t="s">
        <v>50</v>
      </c>
      <c r="E75" s="116" t="s">
        <v>51</v>
      </c>
      <c r="F75" s="116" t="s">
        <v>52</v>
      </c>
      <c r="G75" s="116" t="s">
        <v>9</v>
      </c>
      <c r="H75" s="116" t="s">
        <v>10</v>
      </c>
      <c r="I75" s="116" t="s">
        <v>11</v>
      </c>
      <c r="J75" s="116" t="s">
        <v>12</v>
      </c>
      <c r="K75" s="108" t="s">
        <v>4</v>
      </c>
      <c r="L75" s="108" t="s">
        <v>49</v>
      </c>
      <c r="M75" s="108" t="s">
        <v>50</v>
      </c>
      <c r="N75" s="108" t="s">
        <v>51</v>
      </c>
      <c r="O75" s="108" t="s">
        <v>52</v>
      </c>
      <c r="P75" s="108" t="s">
        <v>9</v>
      </c>
      <c r="Q75" s="108" t="s">
        <v>10</v>
      </c>
      <c r="R75" s="108" t="s">
        <v>11</v>
      </c>
      <c r="S75" s="108" t="s">
        <v>12</v>
      </c>
      <c r="T75" s="109" t="s">
        <v>53</v>
      </c>
      <c r="U75" s="66"/>
      <c r="V75" s="66"/>
      <c r="W75" s="66"/>
      <c r="X75" s="66"/>
      <c r="Y75" s="66"/>
    </row>
    <row r="76" ht="14.25" customHeight="1">
      <c r="A76" s="71" t="s">
        <v>54</v>
      </c>
      <c r="B76" s="110">
        <f>0</f>
        <v>0</v>
      </c>
      <c r="C76" s="110">
        <f>0+1-1+1</f>
        <v>1</v>
      </c>
      <c r="D76" s="110">
        <f>0+4-1+1</f>
        <v>4</v>
      </c>
      <c r="E76" s="110">
        <f>0+2+1-1-1+1+1</f>
        <v>3</v>
      </c>
      <c r="F76" s="110">
        <f>0+1+1-1+1-1</f>
        <v>1</v>
      </c>
      <c r="G76" s="110">
        <f t="shared" ref="G76:H76" si="46">0+2-1+1</f>
        <v>2</v>
      </c>
      <c r="H76" s="110">
        <f t="shared" si="46"/>
        <v>2</v>
      </c>
      <c r="I76" s="110">
        <f>0+1</f>
        <v>1</v>
      </c>
      <c r="J76" s="110">
        <f>0+1+1+1+1-2</f>
        <v>2</v>
      </c>
      <c r="K76" s="110">
        <f>0+2+2</f>
        <v>4</v>
      </c>
      <c r="L76" s="110">
        <f>0+3-1+1+3-2</f>
        <v>4</v>
      </c>
      <c r="M76" s="110">
        <f>0+1+1-1+1+3-3+3-5</f>
        <v>0</v>
      </c>
      <c r="N76" s="110">
        <f>0+2+1-1+1-1+1-1+1+1+2-1+1-3+3+1+1+1-1</f>
        <v>8</v>
      </c>
      <c r="O76" s="110">
        <f>0+3-1-1+1+1+3-1+1+1-2-1+1</f>
        <v>5</v>
      </c>
      <c r="P76" s="110">
        <f>0+2-1-1+1+1+3</f>
        <v>5</v>
      </c>
      <c r="Q76" s="110">
        <f>0+2-1+1+3-1-1</f>
        <v>3</v>
      </c>
      <c r="R76" s="110">
        <f>0+2+1</f>
        <v>3</v>
      </c>
      <c r="S76" s="110">
        <f>0+2-1+1+1</f>
        <v>3</v>
      </c>
      <c r="T76" s="110">
        <f t="shared" ref="T76:T77" si="48">SUM(B76:S76)</f>
        <v>51</v>
      </c>
      <c r="U76" s="66"/>
      <c r="V76" s="66"/>
      <c r="W76" s="66"/>
      <c r="X76" s="66"/>
      <c r="Y76" s="66"/>
    </row>
    <row r="77" ht="14.25" customHeight="1">
      <c r="A77" s="71" t="s">
        <v>55</v>
      </c>
      <c r="B77" s="110">
        <f>0+1+2+1</f>
        <v>4</v>
      </c>
      <c r="C77" s="110">
        <f>0+1+2-1-1-1+2+1</f>
        <v>3</v>
      </c>
      <c r="D77" s="110">
        <f>0+2+2+1-1-1-3+1</f>
        <v>1</v>
      </c>
      <c r="E77" s="110">
        <f>0+1+2-1-1-1+1</f>
        <v>1</v>
      </c>
      <c r="F77" s="110">
        <f>0+1+2-1-1+2</f>
        <v>3</v>
      </c>
      <c r="G77" s="110">
        <f>0+1+2-1-2+2+1</f>
        <v>3</v>
      </c>
      <c r="H77" s="110">
        <f>0+1+2-1+1</f>
        <v>3</v>
      </c>
      <c r="I77" s="110">
        <f>0+1+1+2+3</f>
        <v>7</v>
      </c>
      <c r="J77" s="110">
        <f>0+1+1+2</f>
        <v>4</v>
      </c>
      <c r="K77" s="110">
        <f>0+1</f>
        <v>1</v>
      </c>
      <c r="L77" s="110">
        <f>0+1-1+1</f>
        <v>1</v>
      </c>
      <c r="M77" s="110">
        <f>0+1-1+1+1-1+1-1-1+1-1+1</f>
        <v>1</v>
      </c>
      <c r="N77" s="110">
        <f>0+1+1-1-1+1-1+1-1+1</f>
        <v>1</v>
      </c>
      <c r="O77" s="110">
        <f>2-1+1-1+1</f>
        <v>2</v>
      </c>
      <c r="P77" s="110">
        <f t="shared" ref="P77:S77" si="47">0+1-1</f>
        <v>0</v>
      </c>
      <c r="Q77" s="110">
        <f t="shared" si="47"/>
        <v>0</v>
      </c>
      <c r="R77" s="110">
        <f t="shared" si="47"/>
        <v>0</v>
      </c>
      <c r="S77" s="110">
        <f t="shared" si="47"/>
        <v>0</v>
      </c>
      <c r="T77" s="110">
        <f t="shared" si="48"/>
        <v>35</v>
      </c>
      <c r="U77" s="66"/>
      <c r="V77" s="66"/>
      <c r="W77" s="66"/>
      <c r="X77" s="66"/>
      <c r="Y77" s="66"/>
    </row>
    <row r="78" ht="14.25" customHeight="1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66"/>
      <c r="M78" s="113"/>
      <c r="N78" s="113"/>
      <c r="O78" s="113"/>
      <c r="P78" s="113"/>
      <c r="Q78" s="113"/>
      <c r="R78" s="113"/>
      <c r="S78" s="113"/>
      <c r="T78" s="121">
        <f>SUM(T76:T77)</f>
        <v>86</v>
      </c>
      <c r="U78" s="66"/>
      <c r="V78" s="66"/>
      <c r="W78" s="66"/>
      <c r="X78" s="66"/>
      <c r="Y78" s="66"/>
    </row>
    <row r="79" ht="14.25" customHeight="1"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</row>
    <row r="80" ht="21.0" customHeight="1">
      <c r="A80" s="115" t="s">
        <v>71</v>
      </c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3"/>
      <c r="U80" s="66"/>
      <c r="V80" s="66"/>
      <c r="W80" s="66"/>
      <c r="X80" s="66"/>
      <c r="Y80" s="66"/>
    </row>
    <row r="81" ht="14.25" customHeight="1">
      <c r="A81" s="122"/>
      <c r="B81" s="106" t="s">
        <v>1</v>
      </c>
      <c r="C81" s="52"/>
      <c r="D81" s="52"/>
      <c r="E81" s="52"/>
      <c r="F81" s="52"/>
      <c r="G81" s="52"/>
      <c r="H81" s="52"/>
      <c r="I81" s="52"/>
      <c r="J81" s="53"/>
      <c r="K81" s="106" t="s">
        <v>2</v>
      </c>
      <c r="L81" s="52"/>
      <c r="M81" s="52"/>
      <c r="N81" s="52"/>
      <c r="O81" s="52"/>
      <c r="P81" s="52"/>
      <c r="Q81" s="52"/>
      <c r="R81" s="52"/>
      <c r="S81" s="52"/>
      <c r="T81" s="53"/>
      <c r="U81" s="66"/>
      <c r="V81" s="66"/>
      <c r="W81" s="66"/>
      <c r="X81" s="66"/>
      <c r="Y81" s="66"/>
    </row>
    <row r="82" ht="14.25" customHeight="1">
      <c r="A82" s="71"/>
      <c r="B82" s="116" t="s">
        <v>4</v>
      </c>
      <c r="C82" s="116" t="s">
        <v>49</v>
      </c>
      <c r="D82" s="116" t="s">
        <v>50</v>
      </c>
      <c r="E82" s="116" t="s">
        <v>51</v>
      </c>
      <c r="F82" s="116" t="s">
        <v>52</v>
      </c>
      <c r="G82" s="116" t="s">
        <v>9</v>
      </c>
      <c r="H82" s="116" t="s">
        <v>10</v>
      </c>
      <c r="I82" s="116" t="s">
        <v>11</v>
      </c>
      <c r="J82" s="116" t="s">
        <v>12</v>
      </c>
      <c r="K82" s="108" t="s">
        <v>4</v>
      </c>
      <c r="L82" s="108" t="s">
        <v>49</v>
      </c>
      <c r="M82" s="108" t="s">
        <v>50</v>
      </c>
      <c r="N82" s="108" t="s">
        <v>51</v>
      </c>
      <c r="O82" s="108" t="s">
        <v>52</v>
      </c>
      <c r="P82" s="108" t="s">
        <v>9</v>
      </c>
      <c r="Q82" s="108" t="s">
        <v>10</v>
      </c>
      <c r="R82" s="108" t="s">
        <v>11</v>
      </c>
      <c r="S82" s="108" t="s">
        <v>12</v>
      </c>
      <c r="T82" s="109" t="s">
        <v>53</v>
      </c>
      <c r="U82" s="66"/>
      <c r="V82" s="66"/>
      <c r="W82" s="66"/>
      <c r="X82" s="66"/>
      <c r="Y82" s="66"/>
    </row>
    <row r="83" ht="14.25" customHeight="1">
      <c r="A83" s="71" t="s">
        <v>54</v>
      </c>
      <c r="B83" s="110">
        <f>0+2+2+1</f>
        <v>5</v>
      </c>
      <c r="C83" s="110">
        <f>1+2-1-1+1-1+1+1</f>
        <v>3</v>
      </c>
      <c r="D83" s="110">
        <f>0+2-1+1+1-1-1+1-1-1+1+1-1+1+3-1+1</f>
        <v>5</v>
      </c>
      <c r="E83" s="110">
        <f>0+1+2-1-1+1-1+1+1</f>
        <v>3</v>
      </c>
      <c r="F83" s="110">
        <f>0+1+1+2-1-1+1-1+1-1+1</f>
        <v>3</v>
      </c>
      <c r="G83" s="110">
        <f>0+2+2-1-1+1+1+1</f>
        <v>5</v>
      </c>
      <c r="H83" s="110">
        <f>0+1+2-1+1</f>
        <v>3</v>
      </c>
      <c r="I83" s="110">
        <f>0+1+1-1+1</f>
        <v>2</v>
      </c>
      <c r="J83" s="110">
        <f>0+1+1+3-2</f>
        <v>3</v>
      </c>
      <c r="K83" s="110">
        <f>0+3+2</f>
        <v>5</v>
      </c>
      <c r="L83" s="110">
        <f>0+2-1+1+1+3+1-1+1+1-1+1-1</f>
        <v>7</v>
      </c>
      <c r="M83" s="110">
        <f>0+2-1+1+1+3-1+1-1+1+1+1+1+1+1-1+1-4</f>
        <v>7</v>
      </c>
      <c r="N83" s="110">
        <f>0+1+3-1+1+1+1-1+1+1-1</f>
        <v>6</v>
      </c>
      <c r="O83" s="110">
        <f>0+1-1+2+1+1-1+1-1+1+1</f>
        <v>5</v>
      </c>
      <c r="P83" s="110">
        <f>0+1-1+1+2+1-1+1-1-1-1</f>
        <v>1</v>
      </c>
      <c r="Q83" s="110">
        <f>0+1+2-1+1</f>
        <v>3</v>
      </c>
      <c r="R83" s="110">
        <f>0+1+1-1+1</f>
        <v>2</v>
      </c>
      <c r="S83" s="110">
        <f>0+1+1</f>
        <v>2</v>
      </c>
      <c r="T83" s="110">
        <f t="shared" ref="T83:T84" si="52">SUM(B83:S83)</f>
        <v>70</v>
      </c>
      <c r="U83" s="66"/>
      <c r="V83" s="66"/>
      <c r="W83" s="66"/>
      <c r="X83" s="66"/>
      <c r="Y83" s="66"/>
    </row>
    <row r="84" ht="14.25" customHeight="1">
      <c r="A84" s="71" t="s">
        <v>55</v>
      </c>
      <c r="B84" s="110">
        <f>0+1+2-1+1-1+1</f>
        <v>3</v>
      </c>
      <c r="C84" s="110">
        <f>0+1-1+1+1+2-1+1+1-1</f>
        <v>4</v>
      </c>
      <c r="D84" s="110">
        <f>0+1-1+1+1+2-1+1-1-1+4-2</f>
        <v>4</v>
      </c>
      <c r="E84" s="110">
        <f>0+2+2-1+1</f>
        <v>4</v>
      </c>
      <c r="F84" s="110">
        <f>0+2+2-1+1+1-1</f>
        <v>4</v>
      </c>
      <c r="G84" s="110">
        <f>0+1-1+1+2+1-1</f>
        <v>3</v>
      </c>
      <c r="H84" s="110">
        <f>0+1+2+1</f>
        <v>4</v>
      </c>
      <c r="I84" s="110">
        <f t="shared" ref="I84:J84" si="49">0+1+1</f>
        <v>2</v>
      </c>
      <c r="J84" s="110">
        <f t="shared" si="49"/>
        <v>2</v>
      </c>
      <c r="K84" s="110">
        <f>0+1-1+2+1+1-1</f>
        <v>3</v>
      </c>
      <c r="L84" s="110">
        <f>0+2-1+3-1+1-1+2</f>
        <v>5</v>
      </c>
      <c r="M84" s="110">
        <f>6</f>
        <v>6</v>
      </c>
      <c r="N84" s="110">
        <f t="shared" ref="N84:P84" si="50">5</f>
        <v>5</v>
      </c>
      <c r="O84" s="110">
        <f t="shared" si="50"/>
        <v>5</v>
      </c>
      <c r="P84" s="110">
        <f t="shared" si="50"/>
        <v>5</v>
      </c>
      <c r="Q84" s="110">
        <f>0+2+2</f>
        <v>4</v>
      </c>
      <c r="R84" s="110">
        <f t="shared" ref="R84:S84" si="51">0+1+1</f>
        <v>2</v>
      </c>
      <c r="S84" s="110">
        <f t="shared" si="51"/>
        <v>2</v>
      </c>
      <c r="T84" s="110">
        <f t="shared" si="52"/>
        <v>67</v>
      </c>
      <c r="U84" s="66"/>
      <c r="V84" s="66"/>
      <c r="W84" s="66"/>
      <c r="X84" s="66"/>
      <c r="Y84" s="66"/>
    </row>
    <row r="85" ht="14.25" customHeight="1">
      <c r="A85" s="7"/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3"/>
      <c r="M85" s="66"/>
      <c r="N85" s="66"/>
      <c r="O85" s="66"/>
      <c r="P85" s="66"/>
      <c r="Q85" s="66"/>
      <c r="R85" s="66"/>
      <c r="S85" s="66"/>
      <c r="T85" s="90">
        <f>SUM(T83:T84)</f>
        <v>137</v>
      </c>
      <c r="U85" s="66"/>
      <c r="V85" s="66"/>
      <c r="W85" s="66"/>
      <c r="X85" s="66"/>
      <c r="Y85" s="66"/>
    </row>
    <row r="86" ht="14.25" customHeight="1">
      <c r="A86" s="7"/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3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</row>
    <row r="87" ht="21.0" customHeight="1">
      <c r="A87" s="115" t="s">
        <v>72</v>
      </c>
      <c r="B87" s="52"/>
      <c r="C87" s="52"/>
      <c r="D87" s="52"/>
      <c r="E87" s="52"/>
      <c r="F87" s="52"/>
      <c r="G87" s="52"/>
      <c r="H87" s="52"/>
      <c r="I87" s="52"/>
      <c r="J87" s="52"/>
      <c r="K87" s="53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</row>
    <row r="88" ht="14.25" customHeight="1">
      <c r="A88" s="122"/>
      <c r="B88" s="106" t="s">
        <v>43</v>
      </c>
      <c r="C88" s="52"/>
      <c r="D88" s="52"/>
      <c r="E88" s="52"/>
      <c r="F88" s="52"/>
      <c r="G88" s="52"/>
      <c r="H88" s="52"/>
      <c r="I88" s="52"/>
      <c r="J88" s="52"/>
      <c r="K88" s="53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</row>
    <row r="89" ht="14.25" customHeight="1">
      <c r="A89" s="71"/>
      <c r="B89" s="123" t="s">
        <v>4</v>
      </c>
      <c r="C89" s="123" t="s">
        <v>49</v>
      </c>
      <c r="D89" s="123" t="s">
        <v>50</v>
      </c>
      <c r="E89" s="123" t="s">
        <v>51</v>
      </c>
      <c r="F89" s="123" t="s">
        <v>52</v>
      </c>
      <c r="G89" s="123" t="s">
        <v>9</v>
      </c>
      <c r="H89" s="123" t="s">
        <v>10</v>
      </c>
      <c r="I89" s="123" t="s">
        <v>11</v>
      </c>
      <c r="J89" s="123" t="s">
        <v>12</v>
      </c>
      <c r="K89" s="124" t="s">
        <v>53</v>
      </c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</row>
    <row r="90" ht="14.25" customHeight="1">
      <c r="A90" s="71" t="s">
        <v>54</v>
      </c>
      <c r="B90" s="110">
        <f>0+2-1-1+2+1-1-2+1+2-1+1-1+1-1+1+1-2+1+1</f>
        <v>4</v>
      </c>
      <c r="C90" s="110">
        <f>0+1-1+5+1-1-1-1-3+1+1+3+1+7+1-4+4+1-1+1-2-8+2-1+1-1+1+1+1+1</f>
        <v>10</v>
      </c>
      <c r="D90" s="110">
        <f>0+1+1+1-1+5+1-1-1-1+1-1-1+1+1+1-6-1+1-1+1+1+1+6+1-7+7-1+1+1-3-2+1+3+1-1+1+1+1+1</f>
        <v>14</v>
      </c>
      <c r="E90" s="110">
        <f>0+2+1+1-1-1+1+1-1+5-1-1-1+1+1-1-6+1-1+4+1+1+1-1+3+1+1-11+1+6-6+6+1+1+1+2-2+2+1-1+1+1+1-1-1+1+1-1+1+1</f>
        <v>16</v>
      </c>
      <c r="F90" s="110">
        <f>0+2-1+5+1-1-1+1+1-3-1-1-1+1+1+3+2-1-1-1+1-3+1+1+1+3-3+3-9+1+1-2+2+1+1+2+3-1+1+1+1+1</f>
        <v>12</v>
      </c>
      <c r="G90" s="110">
        <f>0+1-1+3+1-1+1-1+1+1-2+2-1+1+2+1-1-2+1+1+2-2-1+1+1+1+1</f>
        <v>10</v>
      </c>
      <c r="H90" s="110">
        <f>0+1-1+2+1-1+1-1+1+1-1+1+1+1+1-2+1</f>
        <v>6</v>
      </c>
      <c r="I90" s="110">
        <f>0+2-1+1-1+1+1-3+3+1+1</f>
        <v>5</v>
      </c>
      <c r="J90" s="110">
        <f>0+4-1+1-1+1+1+1</f>
        <v>6</v>
      </c>
      <c r="K90" s="110">
        <f t="shared" ref="K90:K91" si="53">SUM(B90:J90)</f>
        <v>83</v>
      </c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</row>
    <row r="91" ht="14.25" customHeight="1">
      <c r="A91" s="71" t="s">
        <v>55</v>
      </c>
      <c r="B91" s="110">
        <f>0+1+2-1-1+1-1+1+1-1+1</f>
        <v>3</v>
      </c>
      <c r="C91" s="110">
        <f>0+3+5-1+1-1+1-1+1-1+1</f>
        <v>8</v>
      </c>
      <c r="D91" s="110">
        <f>0+2+1+1-1+1+5-1-1+1+1-1-1+1-2-1+1+2-1+1+1-1+1+1-1+1-3+3</f>
        <v>10</v>
      </c>
      <c r="E91" s="110">
        <f>0+1+4-1+1-4+1+6-2+1+4-1+1-2+2</f>
        <v>11</v>
      </c>
      <c r="F91" s="110">
        <f>0+3-2+2+5-1+1-5-1+5-1-5+1-1+2-1+1-1+1</f>
        <v>3</v>
      </c>
      <c r="G91" s="110">
        <f>0+1+3-1+1-1-1+2-1-3+3-1+1+1</f>
        <v>4</v>
      </c>
      <c r="H91" s="110">
        <f>0+4+2-1+1-1+2</f>
        <v>7</v>
      </c>
      <c r="I91" s="110">
        <f>0+1</f>
        <v>1</v>
      </c>
      <c r="J91" s="110">
        <f>0+2+1</f>
        <v>3</v>
      </c>
      <c r="K91" s="110">
        <f t="shared" si="53"/>
        <v>50</v>
      </c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</row>
    <row r="92" ht="14.25" customHeight="1">
      <c r="E92" s="125" t="s">
        <v>13</v>
      </c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</row>
    <row r="93" ht="21.0" customHeight="1">
      <c r="A93" s="115" t="s">
        <v>73</v>
      </c>
      <c r="B93" s="52"/>
      <c r="C93" s="52"/>
      <c r="D93" s="52"/>
      <c r="E93" s="52"/>
      <c r="F93" s="52"/>
      <c r="G93" s="52"/>
      <c r="H93" s="52"/>
      <c r="I93" s="52"/>
      <c r="J93" s="52"/>
      <c r="K93" s="53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</row>
    <row r="94" ht="14.25" customHeight="1">
      <c r="A94" s="122"/>
      <c r="B94" s="106" t="s">
        <v>43</v>
      </c>
      <c r="C94" s="52"/>
      <c r="D94" s="52"/>
      <c r="E94" s="52"/>
      <c r="F94" s="52"/>
      <c r="G94" s="52"/>
      <c r="H94" s="52"/>
      <c r="I94" s="52"/>
      <c r="J94" s="53"/>
      <c r="K94" s="126" t="s">
        <v>53</v>
      </c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</row>
    <row r="95" ht="14.25" customHeight="1">
      <c r="A95" s="71"/>
      <c r="B95" s="123" t="s">
        <v>4</v>
      </c>
      <c r="C95" s="123" t="s">
        <v>49</v>
      </c>
      <c r="D95" s="123" t="s">
        <v>50</v>
      </c>
      <c r="E95" s="123" t="s">
        <v>51</v>
      </c>
      <c r="F95" s="123" t="s">
        <v>52</v>
      </c>
      <c r="G95" s="123" t="s">
        <v>9</v>
      </c>
      <c r="H95" s="123" t="s">
        <v>10</v>
      </c>
      <c r="I95" s="123" t="s">
        <v>11</v>
      </c>
      <c r="J95" s="123" t="s">
        <v>12</v>
      </c>
      <c r="K95" s="127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</row>
    <row r="96" ht="14.25" customHeight="1">
      <c r="A96" s="128" t="s">
        <v>54</v>
      </c>
      <c r="B96" s="129">
        <f>0+5-1+1+2</f>
        <v>7</v>
      </c>
      <c r="C96" s="129">
        <f>0+2+2+1-2+10+1+1-1-1+1+1+2</f>
        <v>17</v>
      </c>
      <c r="D96" s="129">
        <f>0+2+2+1-1-1-1+10+1+1+1+1-1+1-1-1-1+1+1-1+2+1-3+1+1-1+1-1+1</f>
        <v>16</v>
      </c>
      <c r="E96" s="129">
        <f>0+2-1+1+4+3+1-1-1-1-1-1+10+1+1+1-2+2-1+1+2-1+1</f>
        <v>20</v>
      </c>
      <c r="F96" s="129">
        <f>0+1-1+1+2+3-4+5+1+1-1-1-1+1+1-1-4+1+4-1+1+2+1-1+1</f>
        <v>11</v>
      </c>
      <c r="G96" s="129">
        <f>0+2-1+5+1-1+1+2+1-1-1+1</f>
        <v>9</v>
      </c>
      <c r="H96" s="129">
        <f>0+1+3+1</f>
        <v>5</v>
      </c>
      <c r="I96" s="129">
        <f>0+1+1</f>
        <v>2</v>
      </c>
      <c r="J96" s="129">
        <f>0+1+1+1</f>
        <v>3</v>
      </c>
      <c r="K96" s="110">
        <f t="shared" ref="K96:K100" si="54">SUM(B96:J96)</f>
        <v>90</v>
      </c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</row>
    <row r="97" ht="14.25" customHeight="1">
      <c r="A97" s="128" t="s">
        <v>55</v>
      </c>
      <c r="B97" s="129">
        <f>0+2+3-2</f>
        <v>3</v>
      </c>
      <c r="C97" s="129">
        <f>0+2+5-2</f>
        <v>5</v>
      </c>
      <c r="D97" s="129">
        <f>0+3-1+1-1+5+1-1+1-1+1+1+1-1-1+1-1</f>
        <v>8</v>
      </c>
      <c r="E97" s="129">
        <f>0+5-1+1-1-1-1+1+1+1-1+1-1+1+1-6+6</f>
        <v>6</v>
      </c>
      <c r="F97" s="129">
        <f>0+3-1+1-2+2</f>
        <v>3</v>
      </c>
      <c r="G97" s="129">
        <f>0+3-1+1-1+1</f>
        <v>3</v>
      </c>
      <c r="H97" s="129">
        <f t="shared" ref="H97:H98" si="55">0+2</f>
        <v>2</v>
      </c>
      <c r="I97" s="129">
        <f>0+1+1-1</f>
        <v>1</v>
      </c>
      <c r="J97" s="129">
        <f>0+1</f>
        <v>1</v>
      </c>
      <c r="K97" s="110">
        <f t="shared" si="54"/>
        <v>32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</row>
    <row r="98" ht="14.25" customHeight="1">
      <c r="A98" s="128" t="s">
        <v>74</v>
      </c>
      <c r="B98" s="129">
        <f>0+2</f>
        <v>2</v>
      </c>
      <c r="C98" s="129">
        <f>0</f>
        <v>0</v>
      </c>
      <c r="D98" s="130">
        <f>0+2-1+1+1</f>
        <v>3</v>
      </c>
      <c r="E98" s="129">
        <f>0+2</f>
        <v>2</v>
      </c>
      <c r="F98" s="129">
        <f>0+3+2</f>
        <v>5</v>
      </c>
      <c r="G98" s="131">
        <f>0</f>
        <v>0</v>
      </c>
      <c r="H98" s="129">
        <f t="shared" si="55"/>
        <v>2</v>
      </c>
      <c r="I98" s="129">
        <f t="shared" ref="I98:J98" si="56">0+1+1</f>
        <v>2</v>
      </c>
      <c r="J98" s="129">
        <f t="shared" si="56"/>
        <v>2</v>
      </c>
      <c r="K98" s="110">
        <f t="shared" si="54"/>
        <v>18</v>
      </c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</row>
    <row r="99" ht="14.25" customHeight="1">
      <c r="A99" s="128" t="s">
        <v>44</v>
      </c>
      <c r="B99" s="129">
        <f>0</f>
        <v>0</v>
      </c>
      <c r="C99" s="129">
        <f t="shared" ref="C99:D99" si="57">0+2</f>
        <v>2</v>
      </c>
      <c r="D99" s="129">
        <f t="shared" si="57"/>
        <v>2</v>
      </c>
      <c r="E99" s="129">
        <f>0+1</f>
        <v>1</v>
      </c>
      <c r="F99" s="129">
        <f t="shared" ref="F99:J99" si="58">0</f>
        <v>0</v>
      </c>
      <c r="G99" s="129">
        <f t="shared" si="58"/>
        <v>0</v>
      </c>
      <c r="H99" s="129">
        <f t="shared" si="58"/>
        <v>0</v>
      </c>
      <c r="I99" s="129">
        <f t="shared" si="58"/>
        <v>0</v>
      </c>
      <c r="J99" s="129">
        <f t="shared" si="58"/>
        <v>0</v>
      </c>
      <c r="K99" s="110">
        <f t="shared" si="54"/>
        <v>5</v>
      </c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</row>
    <row r="100">
      <c r="A100" s="128" t="s">
        <v>18</v>
      </c>
      <c r="B100" s="129">
        <f t="shared" ref="B100:C100" si="59">0+2</f>
        <v>2</v>
      </c>
      <c r="C100" s="129">
        <f t="shared" si="59"/>
        <v>2</v>
      </c>
      <c r="D100" s="129">
        <f>0+1+2-1</f>
        <v>2</v>
      </c>
      <c r="E100" s="129">
        <f t="shared" ref="E100:G100" si="60">0+2</f>
        <v>2</v>
      </c>
      <c r="F100" s="129">
        <f t="shared" si="60"/>
        <v>2</v>
      </c>
      <c r="G100" s="129">
        <f t="shared" si="60"/>
        <v>2</v>
      </c>
      <c r="H100" s="129">
        <f>0+1+2-1+1</f>
        <v>3</v>
      </c>
      <c r="I100" s="129">
        <f>0+1+1</f>
        <v>2</v>
      </c>
      <c r="J100" s="129">
        <f>0+2+1</f>
        <v>3</v>
      </c>
      <c r="K100" s="110">
        <f t="shared" si="54"/>
        <v>20</v>
      </c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</row>
    <row r="101" ht="14.25" customHeight="1">
      <c r="A101" s="112"/>
      <c r="B101" s="112"/>
      <c r="C101" s="119"/>
      <c r="D101" s="112"/>
      <c r="E101" s="112"/>
      <c r="F101" s="112"/>
      <c r="G101" s="112"/>
      <c r="H101" s="112"/>
      <c r="I101" s="112"/>
      <c r="J101" s="112"/>
      <c r="K101" s="132">
        <f>SUM(K96:K100)</f>
        <v>165</v>
      </c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</row>
    <row r="102" ht="14.25" customHeight="1"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</row>
    <row r="103" ht="14.25" customHeight="1">
      <c r="A103" s="115" t="s">
        <v>75</v>
      </c>
      <c r="B103" s="52"/>
      <c r="C103" s="52"/>
      <c r="D103" s="52"/>
      <c r="E103" s="52"/>
      <c r="F103" s="52"/>
      <c r="G103" s="52"/>
      <c r="H103" s="52"/>
      <c r="I103" s="52"/>
      <c r="J103" s="52"/>
      <c r="K103" s="53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</row>
    <row r="104" ht="14.25" customHeight="1">
      <c r="A104" s="106" t="s">
        <v>43</v>
      </c>
      <c r="B104" s="52"/>
      <c r="C104" s="52"/>
      <c r="D104" s="52"/>
      <c r="E104" s="52"/>
      <c r="F104" s="52"/>
      <c r="G104" s="52"/>
      <c r="H104" s="52"/>
      <c r="I104" s="52"/>
      <c r="J104" s="52"/>
      <c r="K104" s="93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</row>
    <row r="105" ht="14.25" customHeight="1">
      <c r="A105" s="71"/>
      <c r="B105" s="123" t="s">
        <v>4</v>
      </c>
      <c r="C105" s="123" t="s">
        <v>49</v>
      </c>
      <c r="D105" s="123" t="s">
        <v>50</v>
      </c>
      <c r="E105" s="123" t="s">
        <v>51</v>
      </c>
      <c r="F105" s="123" t="s">
        <v>52</v>
      </c>
      <c r="G105" s="123" t="s">
        <v>9</v>
      </c>
      <c r="H105" s="123" t="s">
        <v>10</v>
      </c>
      <c r="I105" s="123" t="s">
        <v>11</v>
      </c>
      <c r="J105" s="123" t="s">
        <v>12</v>
      </c>
      <c r="K105" s="133" t="s">
        <v>53</v>
      </c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</row>
    <row r="106" ht="14.25" customHeight="1">
      <c r="A106" s="71" t="s">
        <v>54</v>
      </c>
      <c r="B106" s="110">
        <f>0</f>
        <v>0</v>
      </c>
      <c r="C106" s="110">
        <f>0+7+1</f>
        <v>8</v>
      </c>
      <c r="D106" s="110">
        <f>0</f>
        <v>0</v>
      </c>
      <c r="E106" s="110">
        <f>0+1</f>
        <v>1</v>
      </c>
      <c r="F106" s="110">
        <f>0+1-1+1+1+1-2+2-1-1-1+1+1+1-1+1-2-1+2+2-1-1-1-1</f>
        <v>0</v>
      </c>
      <c r="G106" s="110">
        <f>0+3+4+1</f>
        <v>8</v>
      </c>
      <c r="H106" s="110">
        <f t="shared" ref="H106:J106" si="61">0</f>
        <v>0</v>
      </c>
      <c r="I106" s="110">
        <f t="shared" si="61"/>
        <v>0</v>
      </c>
      <c r="J106" s="110">
        <f t="shared" si="61"/>
        <v>0</v>
      </c>
      <c r="K106" s="110">
        <f>SUM(B106:J106)</f>
        <v>17</v>
      </c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</row>
    <row r="107" ht="14.25" customHeight="1"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</row>
    <row r="108" ht="14.25" customHeight="1"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</row>
    <row r="109" ht="14.25" customHeight="1">
      <c r="A109" s="134" t="s">
        <v>76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9"/>
      <c r="U109" s="66"/>
      <c r="V109" s="66"/>
      <c r="W109" s="66"/>
      <c r="X109" s="66"/>
      <c r="Y109" s="66"/>
    </row>
    <row r="110" ht="14.25" customHeight="1">
      <c r="A110" s="135"/>
      <c r="T110" s="136"/>
      <c r="U110" s="66"/>
      <c r="V110" s="66"/>
      <c r="W110" s="66"/>
      <c r="X110" s="66"/>
      <c r="Y110" s="66"/>
    </row>
    <row r="111" ht="14.25" customHeight="1">
      <c r="A111" s="135"/>
      <c r="T111" s="136"/>
      <c r="U111" s="66"/>
      <c r="V111" s="66"/>
      <c r="W111" s="66"/>
      <c r="X111" s="66"/>
      <c r="Y111" s="66"/>
    </row>
    <row r="112" ht="14.25" customHeight="1">
      <c r="A112" s="135"/>
      <c r="T112" s="136"/>
      <c r="U112" s="66"/>
      <c r="V112" s="66"/>
      <c r="W112" s="66"/>
      <c r="X112" s="66"/>
      <c r="Y112" s="66"/>
    </row>
    <row r="113" ht="14.25" customHeight="1">
      <c r="A113" s="137"/>
      <c r="B113" s="138"/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9"/>
      <c r="U113" s="66"/>
      <c r="V113" s="66"/>
      <c r="W113" s="66"/>
      <c r="X113" s="66"/>
      <c r="Y113" s="66"/>
    </row>
    <row r="114" ht="14.25" customHeight="1"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</row>
    <row r="115" ht="14.25" customHeight="1"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</row>
    <row r="116" ht="14.25" customHeight="1">
      <c r="A116" s="140" t="s">
        <v>77</v>
      </c>
      <c r="B116" s="141"/>
      <c r="C116" s="141"/>
      <c r="D116" s="141"/>
      <c r="E116" s="141"/>
      <c r="F116" s="141"/>
      <c r="G116" s="141"/>
      <c r="H116" s="141"/>
      <c r="I116" s="141"/>
      <c r="J116" s="141"/>
      <c r="K116" s="142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</row>
    <row r="117" ht="14.25" customHeight="1">
      <c r="A117" s="71"/>
      <c r="B117" s="106" t="s">
        <v>78</v>
      </c>
      <c r="C117" s="52"/>
      <c r="D117" s="52"/>
      <c r="E117" s="52"/>
      <c r="F117" s="52"/>
      <c r="G117" s="52"/>
      <c r="H117" s="52"/>
      <c r="I117" s="52"/>
      <c r="J117" s="53"/>
      <c r="K117" s="143" t="s">
        <v>79</v>
      </c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</row>
    <row r="118" ht="14.25" customHeight="1">
      <c r="A118" s="71" t="s">
        <v>28</v>
      </c>
      <c r="B118" s="144">
        <v>1.0</v>
      </c>
      <c r="C118" s="52"/>
      <c r="D118" s="52"/>
      <c r="E118" s="52"/>
      <c r="F118" s="52"/>
      <c r="G118" s="52"/>
      <c r="H118" s="52"/>
      <c r="I118" s="52"/>
      <c r="J118" s="53"/>
      <c r="K118" s="145">
        <f t="shared" ref="K118:K119" si="62">SUM(B118:J118)</f>
        <v>1</v>
      </c>
      <c r="L118" s="14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</row>
    <row r="119" ht="14.25" customHeight="1">
      <c r="A119" s="71" t="s">
        <v>23</v>
      </c>
      <c r="B119" s="144">
        <v>2.0</v>
      </c>
      <c r="C119" s="52"/>
      <c r="D119" s="52"/>
      <c r="E119" s="52"/>
      <c r="F119" s="52"/>
      <c r="G119" s="52"/>
      <c r="H119" s="52"/>
      <c r="I119" s="52"/>
      <c r="J119" s="53"/>
      <c r="K119" s="145">
        <f t="shared" si="62"/>
        <v>2</v>
      </c>
      <c r="L119" s="14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</row>
    <row r="120" ht="14.25" customHeight="1">
      <c r="A120" s="71" t="s">
        <v>80</v>
      </c>
      <c r="B120" s="147">
        <f>3-3+3</f>
        <v>3</v>
      </c>
      <c r="C120" s="52"/>
      <c r="D120" s="52"/>
      <c r="E120" s="52"/>
      <c r="F120" s="52"/>
      <c r="G120" s="52"/>
      <c r="H120" s="52"/>
      <c r="I120" s="52"/>
      <c r="J120" s="53"/>
      <c r="K120" s="145"/>
      <c r="L120" s="146"/>
      <c r="M120" s="66"/>
      <c r="N120" s="66"/>
      <c r="O120" s="66"/>
      <c r="P120" s="146"/>
      <c r="Q120" s="66"/>
      <c r="R120" s="66"/>
      <c r="S120" s="66"/>
      <c r="T120" s="66"/>
      <c r="U120" s="66"/>
      <c r="V120" s="66"/>
      <c r="W120" s="66"/>
      <c r="X120" s="66"/>
      <c r="Y120" s="66"/>
    </row>
    <row r="121" ht="14.25" customHeight="1">
      <c r="A121" s="71" t="s">
        <v>15</v>
      </c>
      <c r="B121" s="144">
        <v>2.0</v>
      </c>
      <c r="C121" s="52"/>
      <c r="D121" s="52"/>
      <c r="E121" s="52"/>
      <c r="F121" s="52"/>
      <c r="G121" s="52"/>
      <c r="H121" s="52"/>
      <c r="I121" s="52"/>
      <c r="J121" s="53"/>
      <c r="K121" s="145">
        <f t="shared" ref="K121:K123" si="63">SUM(B121:J121)</f>
        <v>2</v>
      </c>
      <c r="L121" s="146"/>
      <c r="M121" s="66"/>
      <c r="N121" s="66"/>
      <c r="O121" s="66"/>
      <c r="P121" s="146"/>
      <c r="Q121" s="66"/>
      <c r="R121" s="66"/>
      <c r="S121" s="66"/>
      <c r="T121" s="66"/>
      <c r="U121" s="66"/>
      <c r="V121" s="66"/>
      <c r="W121" s="66"/>
      <c r="X121" s="66"/>
      <c r="Y121" s="66"/>
    </row>
    <row r="122" ht="14.25" customHeight="1">
      <c r="A122" s="148" t="s">
        <v>81</v>
      </c>
      <c r="B122" s="144">
        <v>2.0</v>
      </c>
      <c r="C122" s="52"/>
      <c r="D122" s="52"/>
      <c r="E122" s="52"/>
      <c r="F122" s="52"/>
      <c r="G122" s="52"/>
      <c r="H122" s="52"/>
      <c r="I122" s="52"/>
      <c r="J122" s="53"/>
      <c r="K122" s="145">
        <f t="shared" si="63"/>
        <v>2</v>
      </c>
      <c r="L122" s="146"/>
      <c r="M122" s="66"/>
      <c r="N122" s="66"/>
      <c r="O122" s="66"/>
      <c r="P122" s="146"/>
      <c r="Q122" s="66"/>
      <c r="R122" s="66"/>
      <c r="S122" s="66"/>
      <c r="T122" s="66"/>
      <c r="U122" s="66"/>
      <c r="V122" s="66"/>
      <c r="W122" s="66"/>
      <c r="X122" s="66"/>
      <c r="Y122" s="66"/>
    </row>
    <row r="123" ht="14.25" customHeight="1">
      <c r="A123" s="148" t="s">
        <v>17</v>
      </c>
      <c r="B123" s="144">
        <v>3.0</v>
      </c>
      <c r="C123" s="52"/>
      <c r="D123" s="52"/>
      <c r="E123" s="52"/>
      <c r="F123" s="52"/>
      <c r="G123" s="52"/>
      <c r="H123" s="52"/>
      <c r="I123" s="52"/>
      <c r="J123" s="53"/>
      <c r="K123" s="145">
        <f t="shared" si="63"/>
        <v>3</v>
      </c>
      <c r="L123" s="146"/>
      <c r="M123" s="66"/>
      <c r="N123" s="66"/>
      <c r="O123" s="66"/>
      <c r="P123" s="146"/>
      <c r="Q123" s="66"/>
      <c r="R123" s="66"/>
      <c r="S123" s="66"/>
      <c r="T123" s="66"/>
      <c r="U123" s="66"/>
      <c r="V123" s="66"/>
      <c r="W123" s="66"/>
      <c r="X123" s="66"/>
      <c r="Y123" s="66"/>
    </row>
    <row r="124" ht="14.25" customHeight="1">
      <c r="A124" s="148" t="s">
        <v>59</v>
      </c>
      <c r="B124" s="144">
        <v>1.0</v>
      </c>
      <c r="C124" s="52"/>
      <c r="D124" s="52"/>
      <c r="E124" s="52"/>
      <c r="F124" s="52"/>
      <c r="G124" s="52"/>
      <c r="H124" s="52"/>
      <c r="I124" s="52"/>
      <c r="J124" s="53"/>
      <c r="K124" s="145"/>
      <c r="L124" s="146"/>
      <c r="M124" s="66"/>
      <c r="N124" s="66"/>
      <c r="O124" s="66"/>
      <c r="P124" s="146"/>
      <c r="Q124" s="66"/>
      <c r="R124" s="66"/>
      <c r="S124" s="66"/>
      <c r="T124" s="66"/>
      <c r="U124" s="66"/>
      <c r="V124" s="66"/>
      <c r="W124" s="66"/>
      <c r="X124" s="66"/>
      <c r="Y124" s="66"/>
    </row>
    <row r="125" ht="14.25" customHeight="1">
      <c r="A125" s="148" t="s">
        <v>82</v>
      </c>
      <c r="B125" s="144">
        <f>2-2+2</f>
        <v>2</v>
      </c>
      <c r="C125" s="52"/>
      <c r="D125" s="52"/>
      <c r="E125" s="52"/>
      <c r="F125" s="52"/>
      <c r="G125" s="52"/>
      <c r="H125" s="52"/>
      <c r="I125" s="52"/>
      <c r="J125" s="53"/>
      <c r="K125" s="145">
        <f t="shared" ref="K125:K128" si="64">SUM(B125:J125)</f>
        <v>2</v>
      </c>
      <c r="L125" s="146"/>
      <c r="M125" s="66"/>
      <c r="N125" s="66"/>
      <c r="O125" s="66"/>
      <c r="P125" s="146"/>
      <c r="Q125" s="66"/>
      <c r="R125" s="66"/>
      <c r="S125" s="66"/>
      <c r="T125" s="66"/>
      <c r="U125" s="66"/>
      <c r="V125" s="66"/>
      <c r="W125" s="66"/>
      <c r="X125" s="66"/>
      <c r="Y125" s="66"/>
    </row>
    <row r="126" ht="14.25" customHeight="1">
      <c r="A126" s="148" t="s">
        <v>83</v>
      </c>
      <c r="B126" s="144">
        <v>2.0</v>
      </c>
      <c r="C126" s="52"/>
      <c r="D126" s="52"/>
      <c r="E126" s="52"/>
      <c r="F126" s="52"/>
      <c r="G126" s="52"/>
      <c r="H126" s="52"/>
      <c r="I126" s="52"/>
      <c r="J126" s="53"/>
      <c r="K126" s="145">
        <f t="shared" si="64"/>
        <v>2</v>
      </c>
      <c r="L126" s="146"/>
      <c r="M126" s="66"/>
      <c r="N126" s="66"/>
      <c r="O126" s="66"/>
      <c r="P126" s="146"/>
      <c r="Q126" s="66"/>
      <c r="R126" s="66"/>
      <c r="S126" s="66"/>
      <c r="T126" s="66"/>
      <c r="U126" s="66"/>
      <c r="V126" s="66"/>
      <c r="W126" s="66"/>
      <c r="X126" s="66"/>
      <c r="Y126" s="66"/>
    </row>
    <row r="127" ht="14.25" customHeight="1">
      <c r="A127" s="148" t="s">
        <v>84</v>
      </c>
      <c r="B127" s="144">
        <v>4.0</v>
      </c>
      <c r="C127" s="52"/>
      <c r="D127" s="52"/>
      <c r="E127" s="52"/>
      <c r="F127" s="52"/>
      <c r="G127" s="52"/>
      <c r="H127" s="52"/>
      <c r="I127" s="52"/>
      <c r="J127" s="53"/>
      <c r="K127" s="145">
        <f t="shared" si="64"/>
        <v>4</v>
      </c>
      <c r="L127" s="146"/>
      <c r="M127" s="66"/>
      <c r="N127" s="66"/>
      <c r="O127" s="66"/>
      <c r="P127" s="146"/>
      <c r="Q127" s="66"/>
      <c r="R127" s="66"/>
      <c r="S127" s="66"/>
      <c r="T127" s="66"/>
      <c r="U127" s="66"/>
      <c r="V127" s="66"/>
      <c r="W127" s="66"/>
      <c r="X127" s="66"/>
      <c r="Y127" s="66"/>
    </row>
    <row r="128" ht="14.25" customHeight="1">
      <c r="A128" s="71" t="s">
        <v>18</v>
      </c>
      <c r="B128" s="147">
        <f>0+2</f>
        <v>2</v>
      </c>
      <c r="C128" s="52"/>
      <c r="D128" s="52"/>
      <c r="E128" s="52"/>
      <c r="F128" s="52"/>
      <c r="G128" s="52"/>
      <c r="H128" s="52"/>
      <c r="I128" s="52"/>
      <c r="J128" s="53"/>
      <c r="K128" s="145">
        <f t="shared" si="64"/>
        <v>2</v>
      </c>
      <c r="L128" s="146"/>
      <c r="M128" s="66"/>
      <c r="N128" s="66"/>
      <c r="O128" s="66"/>
      <c r="P128" s="146"/>
      <c r="Q128" s="66"/>
      <c r="R128" s="66"/>
      <c r="S128" s="66"/>
      <c r="T128" s="66"/>
      <c r="U128" s="66"/>
      <c r="V128" s="66"/>
      <c r="W128" s="66"/>
      <c r="X128" s="66"/>
      <c r="Y128" s="66"/>
    </row>
    <row r="129" ht="14.25" customHeight="1">
      <c r="A129" s="7"/>
      <c r="B129" s="119"/>
      <c r="C129" s="119"/>
      <c r="D129" s="119"/>
      <c r="E129" s="119"/>
      <c r="F129" s="119"/>
      <c r="G129" s="119"/>
      <c r="H129" s="119"/>
      <c r="I129" s="119"/>
      <c r="J129" s="119"/>
      <c r="K129" s="149">
        <f>SUM(K118:K128)</f>
        <v>20</v>
      </c>
      <c r="M129" s="66"/>
      <c r="N129" s="66"/>
      <c r="O129" s="66"/>
      <c r="P129" s="146"/>
      <c r="Q129" s="66"/>
      <c r="R129" s="66"/>
      <c r="S129" s="66"/>
      <c r="T129" s="66"/>
      <c r="U129" s="66"/>
      <c r="V129" s="66"/>
      <c r="W129" s="66"/>
      <c r="X129" s="66"/>
      <c r="Y129" s="66"/>
    </row>
    <row r="130" ht="14.25" customHeight="1">
      <c r="M130" s="66"/>
      <c r="N130" s="66"/>
      <c r="O130" s="66"/>
      <c r="P130" s="146"/>
      <c r="Q130" s="66"/>
      <c r="R130" s="66"/>
      <c r="S130" s="66"/>
      <c r="T130" s="66"/>
      <c r="U130" s="66"/>
      <c r="V130" s="66"/>
      <c r="W130" s="66"/>
      <c r="X130" s="66"/>
      <c r="Y130" s="66"/>
    </row>
    <row r="131" ht="14.25" customHeight="1">
      <c r="A131" s="150" t="s">
        <v>77</v>
      </c>
      <c r="B131" s="52"/>
      <c r="C131" s="52"/>
      <c r="D131" s="52"/>
      <c r="E131" s="52"/>
      <c r="F131" s="52"/>
      <c r="G131" s="52"/>
      <c r="H131" s="52"/>
      <c r="I131" s="52"/>
      <c r="J131" s="52"/>
      <c r="K131" s="53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</row>
    <row r="132" ht="14.25" customHeight="1">
      <c r="A132" s="106" t="s">
        <v>85</v>
      </c>
      <c r="B132" s="52"/>
      <c r="C132" s="52"/>
      <c r="D132" s="52"/>
      <c r="E132" s="52"/>
      <c r="F132" s="52"/>
      <c r="G132" s="52"/>
      <c r="H132" s="52"/>
      <c r="I132" s="52"/>
      <c r="J132" s="52"/>
      <c r="K132" s="53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</row>
    <row r="133" ht="14.25" customHeight="1">
      <c r="A133" s="71" t="s">
        <v>86</v>
      </c>
      <c r="B133" s="123" t="s">
        <v>4</v>
      </c>
      <c r="C133" s="123" t="s">
        <v>49</v>
      </c>
      <c r="D133" s="123" t="s">
        <v>50</v>
      </c>
      <c r="E133" s="123" t="s">
        <v>51</v>
      </c>
      <c r="F133" s="123" t="s">
        <v>52</v>
      </c>
      <c r="G133" s="123" t="s">
        <v>9</v>
      </c>
      <c r="H133" s="123" t="s">
        <v>10</v>
      </c>
      <c r="I133" s="123" t="s">
        <v>11</v>
      </c>
      <c r="J133" s="123" t="s">
        <v>12</v>
      </c>
      <c r="K133" s="109" t="s">
        <v>53</v>
      </c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</row>
    <row r="134" ht="14.25" customHeight="1">
      <c r="A134" s="148" t="s">
        <v>23</v>
      </c>
      <c r="B134" s="110">
        <f>0+2</f>
        <v>2</v>
      </c>
      <c r="C134" s="110">
        <f>0</f>
        <v>0</v>
      </c>
      <c r="D134" s="110">
        <f t="shared" ref="D134:E134" si="65">0+1-1+1-1+1</f>
        <v>1</v>
      </c>
      <c r="E134" s="110">
        <f t="shared" si="65"/>
        <v>1</v>
      </c>
      <c r="F134" s="110">
        <f t="shared" ref="F134:G134" si="66">0</f>
        <v>0</v>
      </c>
      <c r="G134" s="110">
        <f t="shared" si="66"/>
        <v>0</v>
      </c>
      <c r="H134" s="110">
        <f>0+1-1+1-1</f>
        <v>0</v>
      </c>
      <c r="I134" s="110">
        <f t="shared" ref="I134:J134" si="67">0</f>
        <v>0</v>
      </c>
      <c r="J134" s="110">
        <f t="shared" si="67"/>
        <v>0</v>
      </c>
      <c r="K134" s="151">
        <f t="shared" ref="K134:K136" si="69">SUM(B134:J134)</f>
        <v>4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</row>
    <row r="135" ht="14.25" customHeight="1">
      <c r="A135" s="148" t="s">
        <v>15</v>
      </c>
      <c r="B135" s="110">
        <f>0+2-1+1</f>
        <v>2</v>
      </c>
      <c r="C135" s="110">
        <f>0+1</f>
        <v>1</v>
      </c>
      <c r="D135" s="110">
        <f>0+2+1+1</f>
        <v>4</v>
      </c>
      <c r="E135" s="110">
        <f>0+2-1+1</f>
        <v>2</v>
      </c>
      <c r="F135" s="110">
        <f>0+1-1+1-1+1</f>
        <v>1</v>
      </c>
      <c r="G135" s="111">
        <f>0+2-1+1-1+1-1+1</f>
        <v>2</v>
      </c>
      <c r="H135" s="110">
        <f>0+1-1+1</f>
        <v>1</v>
      </c>
      <c r="I135" s="110">
        <f t="shared" ref="I135:J135" si="68">0</f>
        <v>0</v>
      </c>
      <c r="J135" s="110">
        <f t="shared" si="68"/>
        <v>0</v>
      </c>
      <c r="K135" s="145">
        <f t="shared" si="69"/>
        <v>13</v>
      </c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</row>
    <row r="136" ht="14.25" customHeight="1">
      <c r="A136" s="71" t="s">
        <v>28</v>
      </c>
      <c r="B136" s="110">
        <f t="shared" ref="B136:C136" si="70">0</f>
        <v>0</v>
      </c>
      <c r="C136" s="110">
        <f t="shared" si="70"/>
        <v>0</v>
      </c>
      <c r="D136" s="110">
        <f>0+1-1</f>
        <v>0</v>
      </c>
      <c r="E136" s="110">
        <f>0+1+3-2-1+1</f>
        <v>2</v>
      </c>
      <c r="F136" s="110">
        <f>0+2</f>
        <v>2</v>
      </c>
      <c r="G136" s="110">
        <f t="shared" ref="G136:J136" si="71">0</f>
        <v>0</v>
      </c>
      <c r="H136" s="111">
        <f t="shared" si="71"/>
        <v>0</v>
      </c>
      <c r="I136" s="110">
        <f t="shared" si="71"/>
        <v>0</v>
      </c>
      <c r="J136" s="110">
        <f t="shared" si="71"/>
        <v>0</v>
      </c>
      <c r="K136" s="145">
        <f t="shared" si="69"/>
        <v>4</v>
      </c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</row>
    <row r="137" ht="14.25" customHeight="1">
      <c r="A137" s="7"/>
      <c r="B137" s="119"/>
      <c r="C137" s="119"/>
      <c r="D137" s="119"/>
      <c r="E137" s="119"/>
      <c r="F137" s="119"/>
      <c r="G137" s="119"/>
      <c r="H137" s="119"/>
      <c r="I137" s="119"/>
      <c r="J137" s="119"/>
      <c r="K137" s="149">
        <f>SUM(K134:K136)</f>
        <v>21</v>
      </c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</row>
    <row r="138" ht="14.25" customHeight="1"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</row>
    <row r="139" ht="14.25" customHeight="1"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</row>
    <row r="140" ht="14.25" customHeight="1"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</row>
    <row r="141" ht="14.25" customHeight="1">
      <c r="A141" s="140" t="s">
        <v>77</v>
      </c>
      <c r="B141" s="141"/>
      <c r="C141" s="141"/>
      <c r="D141" s="141"/>
      <c r="E141" s="141"/>
      <c r="F141" s="141"/>
      <c r="G141" s="141"/>
      <c r="H141" s="141"/>
      <c r="I141" s="141"/>
      <c r="J141" s="141"/>
      <c r="K141" s="142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</row>
    <row r="142" ht="14.25" customHeight="1">
      <c r="A142" s="71"/>
      <c r="B142" s="106" t="s">
        <v>87</v>
      </c>
      <c r="C142" s="52"/>
      <c r="D142" s="52"/>
      <c r="E142" s="52"/>
      <c r="F142" s="52"/>
      <c r="G142" s="52"/>
      <c r="H142" s="52"/>
      <c r="I142" s="52"/>
      <c r="J142" s="53"/>
      <c r="K142" s="143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</row>
    <row r="143" ht="14.25" customHeight="1">
      <c r="A143" s="71"/>
      <c r="B143" s="106" t="s">
        <v>88</v>
      </c>
      <c r="C143" s="52"/>
      <c r="D143" s="52"/>
      <c r="E143" s="52"/>
      <c r="F143" s="52"/>
      <c r="G143" s="52"/>
      <c r="H143" s="52"/>
      <c r="I143" s="52"/>
      <c r="J143" s="53"/>
      <c r="K143" s="109" t="s">
        <v>53</v>
      </c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</row>
    <row r="144" ht="14.25" customHeight="1">
      <c r="A144" s="148" t="s">
        <v>23</v>
      </c>
      <c r="B144" s="106">
        <v>8.0</v>
      </c>
      <c r="C144" s="52"/>
      <c r="D144" s="52"/>
      <c r="E144" s="52"/>
      <c r="F144" s="52"/>
      <c r="G144" s="52"/>
      <c r="H144" s="52"/>
      <c r="I144" s="52"/>
      <c r="J144" s="53"/>
      <c r="K144" s="145">
        <f>SUM(B144)</f>
        <v>8</v>
      </c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</row>
    <row r="145" ht="14.25" customHeight="1">
      <c r="A145" s="71" t="s">
        <v>28</v>
      </c>
      <c r="B145" s="106">
        <v>0.0</v>
      </c>
      <c r="C145" s="52"/>
      <c r="D145" s="52"/>
      <c r="E145" s="52"/>
      <c r="F145" s="52"/>
      <c r="G145" s="52"/>
      <c r="H145" s="52"/>
      <c r="I145" s="52"/>
      <c r="J145" s="53"/>
      <c r="K145" s="145">
        <f>SUM(B145:J145)</f>
        <v>0</v>
      </c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</row>
    <row r="146" ht="14.25" customHeight="1">
      <c r="A146" s="7"/>
      <c r="B146" s="119"/>
      <c r="C146" s="119"/>
      <c r="D146" s="119"/>
      <c r="E146" s="119"/>
      <c r="F146" s="119"/>
      <c r="G146" s="119"/>
      <c r="H146" s="119"/>
      <c r="I146" s="119"/>
      <c r="J146" s="119"/>
      <c r="K146" s="149">
        <f>SUM(K144:K145)</f>
        <v>8</v>
      </c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</row>
    <row r="147" ht="14.25" customHeight="1"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</row>
    <row r="148" ht="14.25" customHeight="1"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</row>
    <row r="149" ht="14.25" customHeight="1">
      <c r="A149" s="152" t="s">
        <v>89</v>
      </c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9"/>
      <c r="U149" s="66"/>
      <c r="V149" s="66"/>
      <c r="W149" s="66"/>
      <c r="X149" s="66"/>
      <c r="Y149" s="66"/>
    </row>
    <row r="150" ht="14.25" customHeight="1">
      <c r="A150" s="135"/>
      <c r="T150" s="136"/>
      <c r="U150" s="66"/>
      <c r="V150" s="66"/>
      <c r="W150" s="66"/>
      <c r="X150" s="66"/>
      <c r="Y150" s="66"/>
    </row>
    <row r="151" ht="14.25" customHeight="1">
      <c r="A151" s="135"/>
      <c r="T151" s="136"/>
      <c r="U151" s="66"/>
      <c r="V151" s="66"/>
      <c r="W151" s="66"/>
      <c r="X151" s="66"/>
      <c r="Y151" s="66"/>
    </row>
    <row r="152" ht="14.25" customHeight="1">
      <c r="A152" s="135"/>
      <c r="T152" s="136"/>
      <c r="U152" s="66"/>
      <c r="V152" s="66"/>
      <c r="W152" s="66"/>
      <c r="X152" s="66"/>
      <c r="Y152" s="66"/>
    </row>
    <row r="153" ht="14.25" customHeight="1">
      <c r="A153" s="137"/>
      <c r="B153" s="138"/>
      <c r="C153" s="138"/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139"/>
      <c r="U153" s="66"/>
      <c r="V153" s="66"/>
      <c r="W153" s="66"/>
      <c r="X153" s="66"/>
      <c r="Y153" s="66"/>
    </row>
    <row r="154" ht="14.25" customHeight="1"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</row>
    <row r="155" ht="14.25" customHeight="1">
      <c r="A155" s="153"/>
      <c r="B155" s="104"/>
      <c r="C155" s="104"/>
      <c r="D155" s="104"/>
      <c r="E155" s="104"/>
      <c r="F155" s="104"/>
      <c r="G155" s="104"/>
      <c r="H155" s="104"/>
      <c r="I155" s="104"/>
      <c r="J155" s="154"/>
      <c r="K155" s="155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</row>
    <row r="156" ht="21.0" customHeight="1">
      <c r="A156" s="156" t="s">
        <v>90</v>
      </c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  <c r="R156" s="157"/>
      <c r="S156" s="157"/>
      <c r="T156" s="158"/>
      <c r="U156" s="66"/>
      <c r="V156" s="66"/>
      <c r="W156" s="66"/>
      <c r="X156" s="66"/>
      <c r="Y156" s="66"/>
    </row>
    <row r="157" ht="14.25" customHeight="1">
      <c r="A157" s="159"/>
      <c r="B157" s="160" t="s">
        <v>1</v>
      </c>
      <c r="C157" s="52"/>
      <c r="D157" s="52"/>
      <c r="E157" s="52"/>
      <c r="F157" s="52"/>
      <c r="G157" s="52"/>
      <c r="H157" s="52"/>
      <c r="I157" s="52"/>
      <c r="J157" s="53"/>
      <c r="K157" s="160" t="s">
        <v>2</v>
      </c>
      <c r="L157" s="52"/>
      <c r="M157" s="52"/>
      <c r="N157" s="52"/>
      <c r="O157" s="52"/>
      <c r="P157" s="52"/>
      <c r="Q157" s="52"/>
      <c r="R157" s="52"/>
      <c r="S157" s="53"/>
      <c r="T157" s="89" t="s">
        <v>53</v>
      </c>
      <c r="U157" s="66"/>
      <c r="V157" s="66"/>
      <c r="W157" s="66"/>
      <c r="X157" s="66"/>
      <c r="Y157" s="66"/>
    </row>
    <row r="158" ht="14.25" customHeight="1">
      <c r="A158" s="161"/>
      <c r="B158" s="162" t="s">
        <v>4</v>
      </c>
      <c r="C158" s="162" t="s">
        <v>49</v>
      </c>
      <c r="D158" s="162" t="s">
        <v>50</v>
      </c>
      <c r="E158" s="162" t="s">
        <v>51</v>
      </c>
      <c r="F158" s="162" t="s">
        <v>52</v>
      </c>
      <c r="G158" s="162" t="s">
        <v>9</v>
      </c>
      <c r="H158" s="162" t="s">
        <v>10</v>
      </c>
      <c r="I158" s="162" t="s">
        <v>11</v>
      </c>
      <c r="J158" s="162" t="s">
        <v>12</v>
      </c>
      <c r="K158" s="163" t="s">
        <v>4</v>
      </c>
      <c r="L158" s="163" t="s">
        <v>49</v>
      </c>
      <c r="M158" s="163" t="s">
        <v>50</v>
      </c>
      <c r="N158" s="163" t="s">
        <v>51</v>
      </c>
      <c r="O158" s="163" t="s">
        <v>52</v>
      </c>
      <c r="P158" s="163" t="s">
        <v>9</v>
      </c>
      <c r="Q158" s="163" t="s">
        <v>10</v>
      </c>
      <c r="R158" s="163" t="s">
        <v>11</v>
      </c>
      <c r="S158" s="163" t="s">
        <v>12</v>
      </c>
      <c r="T158" s="127"/>
      <c r="U158" s="66"/>
      <c r="V158" s="66"/>
      <c r="W158" s="66"/>
      <c r="X158" s="66"/>
      <c r="Y158" s="66"/>
    </row>
    <row r="159" ht="19.5" customHeight="1">
      <c r="A159" s="164" t="s">
        <v>74</v>
      </c>
      <c r="B159" s="165">
        <f>0+5-1+1+1+1-2-1+2+1</f>
        <v>7</v>
      </c>
      <c r="C159" s="166">
        <f>0+1</f>
        <v>1</v>
      </c>
      <c r="D159" s="165">
        <f>4-1-1-1+1+1+1-1+1-1+1-1+1+1-1+1+1+1-1+1-1-1+1</f>
        <v>6</v>
      </c>
      <c r="E159" s="166">
        <f>0+1-1+1-1+1</f>
        <v>1</v>
      </c>
      <c r="F159" s="165">
        <f>1+1+1+1-1-1+1+1-1-1+1</f>
        <v>3</v>
      </c>
      <c r="G159" s="165">
        <f>2-1+1+1+1+1</f>
        <v>5</v>
      </c>
      <c r="H159" s="167">
        <f>1-1+1+1</f>
        <v>2</v>
      </c>
      <c r="I159" s="166">
        <f t="shared" ref="I159:J159" si="72">0+1</f>
        <v>1</v>
      </c>
      <c r="J159" s="166">
        <f t="shared" si="72"/>
        <v>1</v>
      </c>
      <c r="K159" s="165">
        <f>0+2+1+1-1+1</f>
        <v>4</v>
      </c>
      <c r="L159" s="166">
        <f>0+2-1+1+1-2+1+1-1-1+1-1+1</f>
        <v>2</v>
      </c>
      <c r="M159" s="165">
        <f>0+1-1+1-1+1-1+1+1</f>
        <v>2</v>
      </c>
      <c r="N159" s="168">
        <f>0+1+2-2+2-1+1-1+1-1-2+1+2-2-1+1+1-1+1-2+2-2+2-1+1</f>
        <v>2</v>
      </c>
      <c r="O159" s="165">
        <f>0+1-1+1+2-1+1-1-1+2-1+1+1-4+4</f>
        <v>4</v>
      </c>
      <c r="P159" s="165">
        <f>0+1</f>
        <v>1</v>
      </c>
      <c r="Q159" s="169">
        <f>2-1+1</f>
        <v>2</v>
      </c>
      <c r="R159" s="165">
        <f t="shared" ref="R159:S159" si="73">0+1</f>
        <v>1</v>
      </c>
      <c r="S159" s="165">
        <f t="shared" si="73"/>
        <v>1</v>
      </c>
      <c r="T159" s="166">
        <f t="shared" ref="T159:T163" si="75">SUM(B159:S159)</f>
        <v>46</v>
      </c>
      <c r="U159" s="66"/>
      <c r="V159" s="66"/>
      <c r="W159" s="66"/>
      <c r="X159" s="66"/>
      <c r="Y159" s="66"/>
    </row>
    <row r="160" ht="14.25" customHeight="1">
      <c r="A160" s="164" t="s">
        <v>14</v>
      </c>
      <c r="B160" s="166">
        <f>0+1-1+1-1+1-1</f>
        <v>0</v>
      </c>
      <c r="C160" s="166">
        <f>0+1-1+1+1-2</f>
        <v>0</v>
      </c>
      <c r="D160" s="165">
        <f>0+2-1+1-1-1+1-1+1</f>
        <v>1</v>
      </c>
      <c r="E160" s="165">
        <f>0+1-1+2-1+1-1-1+1+2-1-1+1-1-1+1-1+1+1+2-1-1+1-2+1+2-1+1+1-1+1-1+1-1-1+1+1+1-2</f>
        <v>4</v>
      </c>
      <c r="F160" s="166">
        <f>0+2-1+1-1+1+1-1+1+1-3-1+1</f>
        <v>1</v>
      </c>
      <c r="G160" s="166">
        <f t="shared" ref="G160:H160" si="74">0</f>
        <v>0</v>
      </c>
      <c r="H160" s="166">
        <f t="shared" si="74"/>
        <v>0</v>
      </c>
      <c r="I160" s="166">
        <f>0+1-1</f>
        <v>0</v>
      </c>
      <c r="J160" s="166">
        <f>0</f>
        <v>0</v>
      </c>
      <c r="K160" s="165">
        <f>0+5-1+1+1-2+2+1-2+2+1</f>
        <v>8</v>
      </c>
      <c r="L160" s="165">
        <f>0+4-1-1+1+1-1+1-1+1+1-1+1-1-1+1-2+2</f>
        <v>4</v>
      </c>
      <c r="M160" s="165">
        <f>0+1-1+1+1-1-1+1-1+1-2+1-1+1-1+1+1-1+1+1+2-1-2+1+2+1-1+1-1+1-4+4-2+2-1+1-1+1</f>
        <v>5</v>
      </c>
      <c r="N160" s="166">
        <f>0+1+1-1-1+1+1-1+1+1-1-1+1+1-1-1-1+1+1+1+1-1-1+1-1+1+1-1+1-2-1+2-1-1-1+1-1+1-1+1+1-1+1</f>
        <v>2</v>
      </c>
      <c r="O160" s="166">
        <f>0+2-1+1+1-1-2</f>
        <v>0</v>
      </c>
      <c r="P160" s="165">
        <f>0+1-1+1+4-1+1-1-1-1+1+1+1-2-2+1-2+2-2+2-1+1</f>
        <v>2</v>
      </c>
      <c r="Q160" s="165">
        <f>0+4+1-4+1+4-1-2+2+1</f>
        <v>6</v>
      </c>
      <c r="R160" s="165">
        <f>6-1+1</f>
        <v>6</v>
      </c>
      <c r="S160" s="165">
        <f>0+1+1-1+1-1+2</f>
        <v>3</v>
      </c>
      <c r="T160" s="166">
        <f t="shared" si="75"/>
        <v>42</v>
      </c>
      <c r="U160" s="66"/>
      <c r="V160" s="66"/>
      <c r="W160" s="66"/>
      <c r="X160" s="66"/>
      <c r="Y160" s="66"/>
    </row>
    <row r="161" ht="14.25" customHeight="1">
      <c r="A161" s="164" t="s">
        <v>91</v>
      </c>
      <c r="B161" s="165">
        <f>0+3-1+1+1-1+1-1+1+1</f>
        <v>5</v>
      </c>
      <c r="C161" s="165">
        <f>0+1+1-1+1+1-1+1+1+1-1+1-2+2-1+1-2+1-1+1</f>
        <v>4</v>
      </c>
      <c r="D161" s="165">
        <f>0+2-1+1+1-2+2+2-1+1-1+1+1-2+2-1+1+1-1-1+1</f>
        <v>6</v>
      </c>
      <c r="E161" s="165">
        <f>0+2-1+1+1-1+1+1-1+1</f>
        <v>4</v>
      </c>
      <c r="F161" s="165">
        <f>0+2-1+1+1-1+1+1-1+1+1-1-1+1+1+2-1+1+1-1+1</f>
        <v>8</v>
      </c>
      <c r="G161" s="165">
        <f>0+2-1+1+1-1+1+1+1-1-1+1</f>
        <v>4</v>
      </c>
      <c r="H161" s="166">
        <f t="shared" ref="H161:I161" si="76">0+1-1+1-1+1</f>
        <v>1</v>
      </c>
      <c r="I161" s="166">
        <f t="shared" si="76"/>
        <v>1</v>
      </c>
      <c r="J161" s="166">
        <f>0+1-1+1+1</f>
        <v>2</v>
      </c>
      <c r="K161" s="165">
        <f>0+1-1+1-1+1+1</f>
        <v>2</v>
      </c>
      <c r="L161" s="166">
        <f>0+1+1-1+1-1+1-1+1-1-1+1+1</f>
        <v>2</v>
      </c>
      <c r="M161" s="165">
        <f>0+1-1+1-1+3-1-1+1-1+1-1-1+1+1</f>
        <v>2</v>
      </c>
      <c r="N161" s="166">
        <f t="shared" ref="N161:N162" si="80">0</f>
        <v>0</v>
      </c>
      <c r="O161" s="166">
        <f>0+1+1-1-1+2-1-1+1-1+1-1</f>
        <v>0</v>
      </c>
      <c r="P161" s="165">
        <f>0+1-1+1-1+1-1</f>
        <v>0</v>
      </c>
      <c r="Q161" s="165">
        <f>0+1-1+2-1+1</f>
        <v>2</v>
      </c>
      <c r="R161" s="165">
        <f t="shared" ref="R161:S161" si="77">0</f>
        <v>0</v>
      </c>
      <c r="S161" s="165">
        <f t="shared" si="77"/>
        <v>0</v>
      </c>
      <c r="T161" s="166">
        <f t="shared" si="75"/>
        <v>43</v>
      </c>
      <c r="U161" s="66"/>
      <c r="V161" s="66"/>
      <c r="W161" s="66"/>
      <c r="X161" s="66"/>
      <c r="Y161" s="66"/>
    </row>
    <row r="162" ht="14.25" customHeight="1">
      <c r="A162" s="164" t="s">
        <v>36</v>
      </c>
      <c r="B162" s="166">
        <f t="shared" ref="B162:D162" si="78">0</f>
        <v>0</v>
      </c>
      <c r="C162" s="166">
        <f t="shared" si="78"/>
        <v>0</v>
      </c>
      <c r="D162" s="166">
        <f t="shared" si="78"/>
        <v>0</v>
      </c>
      <c r="E162" s="166">
        <f>0+1-1</f>
        <v>0</v>
      </c>
      <c r="F162" s="165">
        <f>0+2+1-1+1+1-1-1</f>
        <v>2</v>
      </c>
      <c r="G162" s="166">
        <f t="shared" ref="G162:L162" si="79">0</f>
        <v>0</v>
      </c>
      <c r="H162" s="166">
        <f t="shared" si="79"/>
        <v>0</v>
      </c>
      <c r="I162" s="166">
        <f t="shared" si="79"/>
        <v>0</v>
      </c>
      <c r="J162" s="166">
        <f t="shared" si="79"/>
        <v>0</v>
      </c>
      <c r="K162" s="166">
        <f t="shared" si="79"/>
        <v>0</v>
      </c>
      <c r="L162" s="166">
        <f t="shared" si="79"/>
        <v>0</v>
      </c>
      <c r="M162" s="165">
        <f>0+1-1+1</f>
        <v>1</v>
      </c>
      <c r="N162" s="166">
        <f t="shared" si="80"/>
        <v>0</v>
      </c>
      <c r="O162" s="166">
        <f t="shared" ref="O162:S162" si="81">0</f>
        <v>0</v>
      </c>
      <c r="P162" s="165">
        <f t="shared" si="81"/>
        <v>0</v>
      </c>
      <c r="Q162" s="165">
        <f t="shared" si="81"/>
        <v>0</v>
      </c>
      <c r="R162" s="165">
        <f t="shared" si="81"/>
        <v>0</v>
      </c>
      <c r="S162" s="165">
        <f t="shared" si="81"/>
        <v>0</v>
      </c>
      <c r="T162" s="166">
        <f t="shared" si="75"/>
        <v>3</v>
      </c>
      <c r="U162" s="66"/>
      <c r="V162" s="66"/>
      <c r="W162" s="66"/>
      <c r="X162" s="66"/>
      <c r="Y162" s="66"/>
    </row>
    <row r="163" ht="14.25" customHeight="1">
      <c r="A163" s="164" t="s">
        <v>27</v>
      </c>
      <c r="B163" s="166">
        <f>0+1</f>
        <v>1</v>
      </c>
      <c r="C163" s="165">
        <f>0+1-1+2-1+1+1</f>
        <v>3</v>
      </c>
      <c r="D163" s="166">
        <f>0+1+1-2+2-2+2-2</f>
        <v>0</v>
      </c>
      <c r="E163" s="165">
        <f>0+1+1+1-2+2+1-1-1+1+1+1</f>
        <v>5</v>
      </c>
      <c r="F163" s="166">
        <f>0+1+1-1+1-1-1</f>
        <v>0</v>
      </c>
      <c r="G163" s="166">
        <f>0+1+1</f>
        <v>2</v>
      </c>
      <c r="H163" s="166">
        <f>0+1</f>
        <v>1</v>
      </c>
      <c r="I163" s="165">
        <f t="shared" ref="I163:J163" si="82">0+1-1+1+1-1+1+1</f>
        <v>3</v>
      </c>
      <c r="J163" s="165">
        <f t="shared" si="82"/>
        <v>3</v>
      </c>
      <c r="K163" s="166">
        <f t="shared" ref="K163:L163" si="83">0</f>
        <v>0</v>
      </c>
      <c r="L163" s="166">
        <f t="shared" si="83"/>
        <v>0</v>
      </c>
      <c r="M163" s="165">
        <f>0+1+1+1-1+1</f>
        <v>3</v>
      </c>
      <c r="N163" s="166">
        <f>0+1-1</f>
        <v>0</v>
      </c>
      <c r="O163" s="165">
        <f>0+1-1+1-1+1+1-1+1+1-1+1</f>
        <v>3</v>
      </c>
      <c r="P163" s="165">
        <f t="shared" ref="P163:S163" si="84">0</f>
        <v>0</v>
      </c>
      <c r="Q163" s="165">
        <f t="shared" si="84"/>
        <v>0</v>
      </c>
      <c r="R163" s="166">
        <f t="shared" si="84"/>
        <v>0</v>
      </c>
      <c r="S163" s="165">
        <f t="shared" si="84"/>
        <v>0</v>
      </c>
      <c r="T163" s="166">
        <f t="shared" si="75"/>
        <v>24</v>
      </c>
      <c r="U163" s="66"/>
      <c r="V163" s="66"/>
      <c r="W163" s="66"/>
      <c r="X163" s="66"/>
      <c r="Y163" s="66"/>
    </row>
    <row r="164" ht="14.25" customHeight="1">
      <c r="A164" s="170"/>
      <c r="B164" s="171"/>
      <c r="C164" s="171"/>
      <c r="D164" s="171"/>
      <c r="E164" s="171"/>
      <c r="F164" s="171"/>
      <c r="G164" s="171"/>
      <c r="H164" s="171"/>
      <c r="I164" s="171"/>
      <c r="J164" s="171"/>
      <c r="K164" s="66"/>
      <c r="L164" s="66"/>
      <c r="M164" s="66"/>
      <c r="N164" s="66"/>
      <c r="O164" s="66"/>
      <c r="P164" s="66"/>
      <c r="Q164" s="66"/>
      <c r="R164" s="66"/>
      <c r="S164" s="66"/>
      <c r="T164" s="172">
        <f>SUM(T159:T163)</f>
        <v>158</v>
      </c>
      <c r="U164" s="66"/>
      <c r="V164" s="66"/>
      <c r="W164" s="66"/>
      <c r="X164" s="66"/>
      <c r="Y164" s="66"/>
    </row>
    <row r="165" ht="14.25" customHeight="1">
      <c r="A165" s="170"/>
      <c r="B165" s="171"/>
      <c r="C165" s="171"/>
      <c r="D165" s="171"/>
      <c r="E165" s="171"/>
      <c r="F165" s="171"/>
      <c r="G165" s="171"/>
      <c r="H165" s="171"/>
      <c r="I165" s="171"/>
      <c r="J165" s="171"/>
      <c r="K165" s="173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</row>
    <row r="166" ht="21.0" customHeight="1">
      <c r="A166" s="174" t="s">
        <v>92</v>
      </c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3"/>
      <c r="U166" s="66"/>
      <c r="V166" s="66"/>
      <c r="W166" s="66"/>
      <c r="X166" s="66"/>
      <c r="Y166" s="66"/>
    </row>
    <row r="167" ht="14.25" customHeight="1">
      <c r="A167" s="148" t="s">
        <v>93</v>
      </c>
      <c r="B167" s="160" t="s">
        <v>1</v>
      </c>
      <c r="C167" s="52"/>
      <c r="D167" s="52"/>
      <c r="E167" s="52"/>
      <c r="F167" s="52"/>
      <c r="G167" s="52"/>
      <c r="H167" s="52"/>
      <c r="I167" s="52"/>
      <c r="J167" s="53"/>
      <c r="K167" s="160" t="s">
        <v>2</v>
      </c>
      <c r="L167" s="52"/>
      <c r="M167" s="52"/>
      <c r="N167" s="52"/>
      <c r="O167" s="52"/>
      <c r="P167" s="52"/>
      <c r="Q167" s="52"/>
      <c r="R167" s="52"/>
      <c r="S167" s="53"/>
      <c r="T167" s="94"/>
      <c r="U167" s="66"/>
      <c r="V167" s="66"/>
      <c r="W167" s="66"/>
      <c r="X167" s="66"/>
      <c r="Y167" s="66"/>
    </row>
    <row r="168" ht="14.25" customHeight="1">
      <c r="A168" s="148"/>
      <c r="B168" s="162" t="s">
        <v>4</v>
      </c>
      <c r="C168" s="162" t="s">
        <v>49</v>
      </c>
      <c r="D168" s="162" t="s">
        <v>50</v>
      </c>
      <c r="E168" s="162" t="s">
        <v>51</v>
      </c>
      <c r="F168" s="162" t="s">
        <v>52</v>
      </c>
      <c r="G168" s="162" t="s">
        <v>9</v>
      </c>
      <c r="H168" s="162" t="s">
        <v>10</v>
      </c>
      <c r="I168" s="162" t="s">
        <v>11</v>
      </c>
      <c r="J168" s="162" t="s">
        <v>12</v>
      </c>
      <c r="K168" s="163" t="s">
        <v>4</v>
      </c>
      <c r="L168" s="163" t="s">
        <v>49</v>
      </c>
      <c r="M168" s="163" t="s">
        <v>50</v>
      </c>
      <c r="N168" s="163" t="s">
        <v>51</v>
      </c>
      <c r="O168" s="163" t="s">
        <v>52</v>
      </c>
      <c r="P168" s="163" t="s">
        <v>9</v>
      </c>
      <c r="Q168" s="163" t="s">
        <v>10</v>
      </c>
      <c r="R168" s="163" t="s">
        <v>11</v>
      </c>
      <c r="S168" s="163" t="s">
        <v>12</v>
      </c>
      <c r="T168" s="175" t="s">
        <v>53</v>
      </c>
      <c r="U168" s="66"/>
      <c r="V168" s="66"/>
      <c r="W168" s="66"/>
      <c r="X168" s="66"/>
      <c r="Y168" s="66"/>
    </row>
    <row r="169" ht="14.25" customHeight="1">
      <c r="A169" s="148" t="s">
        <v>74</v>
      </c>
      <c r="B169" s="166">
        <f>0+2-2+1</f>
        <v>1</v>
      </c>
      <c r="C169" s="166">
        <f>0+5-5+1+1</f>
        <v>2</v>
      </c>
      <c r="D169" s="166">
        <f>0+5-3+1-3+1</f>
        <v>1</v>
      </c>
      <c r="E169" s="166">
        <f>0+1-1+1</f>
        <v>1</v>
      </c>
      <c r="F169" s="166">
        <f>0+3-1-2+1-1+1</f>
        <v>1</v>
      </c>
      <c r="G169" s="166">
        <f>0+2-2+1-1+1</f>
        <v>1</v>
      </c>
      <c r="H169" s="166">
        <f>0+1-1+1</f>
        <v>1</v>
      </c>
      <c r="I169" s="166">
        <f t="shared" ref="I169:J169" si="85">0+1</f>
        <v>1</v>
      </c>
      <c r="J169" s="166">
        <f t="shared" si="85"/>
        <v>1</v>
      </c>
      <c r="K169" s="165">
        <f>0+1-1+1</f>
        <v>1</v>
      </c>
      <c r="L169" s="166">
        <f>0+2-2+1</f>
        <v>1</v>
      </c>
      <c r="M169" s="166">
        <f>0+2-2+1-1</f>
        <v>0</v>
      </c>
      <c r="N169" s="166">
        <f>0+2-1+1-2+1</f>
        <v>1</v>
      </c>
      <c r="O169" s="166">
        <f>0+3-3+1</f>
        <v>1</v>
      </c>
      <c r="P169" s="166">
        <f>0+1</f>
        <v>1</v>
      </c>
      <c r="Q169" s="165">
        <f>0+1-1+1</f>
        <v>1</v>
      </c>
      <c r="R169" s="166">
        <f t="shared" ref="R169:S169" si="86">0+1</f>
        <v>1</v>
      </c>
      <c r="S169" s="165">
        <f t="shared" si="86"/>
        <v>1</v>
      </c>
      <c r="T169" s="176">
        <f t="shared" ref="T169:T170" si="91">SUM(B169:S169)</f>
        <v>18</v>
      </c>
      <c r="U169" s="66"/>
      <c r="V169" s="66"/>
      <c r="W169" s="66"/>
      <c r="X169" s="66"/>
      <c r="Y169" s="66"/>
    </row>
    <row r="170" ht="14.25" customHeight="1">
      <c r="A170" s="148" t="s">
        <v>94</v>
      </c>
      <c r="B170" s="165">
        <f>0+3+6+1-3</f>
        <v>7</v>
      </c>
      <c r="C170" s="165">
        <f>0+5-1</f>
        <v>4</v>
      </c>
      <c r="D170" s="166">
        <f>0+6-3-1-1+1+1-1+1-1</f>
        <v>2</v>
      </c>
      <c r="E170" s="165">
        <f>0+4-1+1+1</f>
        <v>5</v>
      </c>
      <c r="F170" s="166">
        <f t="shared" ref="F170:G170" si="87">0+1+1</f>
        <v>2</v>
      </c>
      <c r="G170" s="166">
        <f t="shared" si="87"/>
        <v>2</v>
      </c>
      <c r="H170" s="166">
        <f>0+1</f>
        <v>1</v>
      </c>
      <c r="I170" s="166">
        <f t="shared" ref="I170:J170" si="88">0</f>
        <v>0</v>
      </c>
      <c r="J170" s="166">
        <f t="shared" si="88"/>
        <v>0</v>
      </c>
      <c r="K170" s="165">
        <f t="shared" ref="K170:L170" si="89">0+1</f>
        <v>1</v>
      </c>
      <c r="L170" s="166">
        <f t="shared" si="89"/>
        <v>1</v>
      </c>
      <c r="M170" s="165">
        <f>0+5+3</f>
        <v>8</v>
      </c>
      <c r="N170" s="166">
        <f>0+1-1+1-1+1+1</f>
        <v>2</v>
      </c>
      <c r="O170" s="165">
        <f>0+3+1-1+1-1+1+1</f>
        <v>5</v>
      </c>
      <c r="P170" s="165">
        <f>0+3</f>
        <v>3</v>
      </c>
      <c r="Q170" s="165">
        <f>0+2-1</f>
        <v>1</v>
      </c>
      <c r="R170" s="166">
        <f t="shared" ref="R170:S170" si="90">0</f>
        <v>0</v>
      </c>
      <c r="S170" s="165">
        <f t="shared" si="90"/>
        <v>0</v>
      </c>
      <c r="T170" s="176">
        <f t="shared" si="91"/>
        <v>44</v>
      </c>
      <c r="U170" s="66"/>
      <c r="V170" s="66"/>
      <c r="W170" s="66"/>
      <c r="X170" s="66"/>
      <c r="Y170" s="66"/>
    </row>
    <row r="171" ht="14.25" customHeight="1">
      <c r="A171" s="170"/>
      <c r="B171" s="171"/>
      <c r="C171" s="171"/>
      <c r="D171" s="171"/>
      <c r="E171" s="171"/>
      <c r="F171" s="171"/>
      <c r="G171" s="171"/>
      <c r="H171" s="171"/>
      <c r="I171" s="171"/>
      <c r="J171" s="171"/>
      <c r="K171" s="171"/>
      <c r="L171" s="171"/>
      <c r="M171" s="171"/>
      <c r="N171" s="171"/>
      <c r="O171" s="171"/>
      <c r="P171" s="171"/>
      <c r="Q171" s="171"/>
      <c r="R171" s="171"/>
      <c r="S171" s="171"/>
      <c r="T171" s="177">
        <f>SUM(T169:T170)</f>
        <v>62</v>
      </c>
      <c r="U171" s="66"/>
      <c r="V171" s="66"/>
      <c r="W171" s="66"/>
      <c r="X171" s="66"/>
      <c r="Y171" s="66"/>
    </row>
    <row r="172" ht="14.25" customHeight="1">
      <c r="A172" s="170"/>
      <c r="B172" s="171"/>
      <c r="C172" s="171"/>
      <c r="D172" s="171"/>
      <c r="E172" s="171"/>
      <c r="F172" s="171"/>
      <c r="G172" s="171"/>
      <c r="H172" s="171"/>
      <c r="I172" s="171"/>
      <c r="J172" s="171"/>
      <c r="K172" s="178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</row>
    <row r="173" ht="20.25" customHeight="1">
      <c r="A173" s="179" t="s">
        <v>95</v>
      </c>
      <c r="B173" s="157"/>
      <c r="C173" s="157"/>
      <c r="D173" s="157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  <c r="R173" s="157"/>
      <c r="S173" s="157"/>
      <c r="T173" s="158"/>
      <c r="U173" s="66"/>
      <c r="V173" s="66"/>
      <c r="W173" s="66"/>
      <c r="X173" s="66"/>
      <c r="Y173" s="66"/>
    </row>
    <row r="174" ht="21.0" customHeight="1">
      <c r="A174" s="148" t="s">
        <v>93</v>
      </c>
      <c r="B174" s="160" t="s">
        <v>1</v>
      </c>
      <c r="C174" s="52"/>
      <c r="D174" s="52"/>
      <c r="E174" s="52"/>
      <c r="F174" s="52"/>
      <c r="G174" s="52"/>
      <c r="H174" s="52"/>
      <c r="I174" s="52"/>
      <c r="J174" s="53"/>
      <c r="K174" s="160" t="s">
        <v>2</v>
      </c>
      <c r="L174" s="52"/>
      <c r="M174" s="52"/>
      <c r="N174" s="52"/>
      <c r="O174" s="52"/>
      <c r="P174" s="52"/>
      <c r="Q174" s="52"/>
      <c r="R174" s="52"/>
      <c r="S174" s="53"/>
      <c r="T174" s="94"/>
      <c r="U174" s="66"/>
      <c r="V174" s="66"/>
      <c r="W174" s="66"/>
      <c r="X174" s="66"/>
      <c r="Y174" s="66"/>
    </row>
    <row r="175" ht="14.25" customHeight="1">
      <c r="A175" s="148"/>
      <c r="B175" s="162" t="s">
        <v>4</v>
      </c>
      <c r="C175" s="162" t="s">
        <v>49</v>
      </c>
      <c r="D175" s="162" t="s">
        <v>50</v>
      </c>
      <c r="E175" s="162" t="s">
        <v>51</v>
      </c>
      <c r="F175" s="162" t="s">
        <v>52</v>
      </c>
      <c r="G175" s="162" t="s">
        <v>9</v>
      </c>
      <c r="H175" s="162" t="s">
        <v>10</v>
      </c>
      <c r="I175" s="162" t="s">
        <v>11</v>
      </c>
      <c r="J175" s="162" t="s">
        <v>12</v>
      </c>
      <c r="K175" s="163" t="s">
        <v>4</v>
      </c>
      <c r="L175" s="163" t="s">
        <v>49</v>
      </c>
      <c r="M175" s="163" t="s">
        <v>50</v>
      </c>
      <c r="N175" s="163" t="s">
        <v>51</v>
      </c>
      <c r="O175" s="163" t="s">
        <v>52</v>
      </c>
      <c r="P175" s="163" t="s">
        <v>9</v>
      </c>
      <c r="Q175" s="163" t="s">
        <v>10</v>
      </c>
      <c r="R175" s="163" t="s">
        <v>11</v>
      </c>
      <c r="S175" s="163" t="s">
        <v>12</v>
      </c>
      <c r="T175" s="175" t="s">
        <v>53</v>
      </c>
      <c r="U175" s="66"/>
      <c r="V175" s="66"/>
      <c r="W175" s="66"/>
      <c r="X175" s="66"/>
      <c r="Y175" s="66"/>
    </row>
    <row r="176" ht="14.25" customHeight="1">
      <c r="A176" s="148" t="s">
        <v>74</v>
      </c>
      <c r="B176" s="166">
        <f>1+1-1-1+1-1+1+1</f>
        <v>2</v>
      </c>
      <c r="C176" s="165">
        <f>0+1-1+1-1+1+1+1-1+1+1</f>
        <v>4</v>
      </c>
      <c r="D176" s="166">
        <f>0+2-1+1-2+1-1+1-1</f>
        <v>0</v>
      </c>
      <c r="E176" s="165">
        <f>0+1-1+1+1-1+1-1+1-1+1+1-1-1+1-1+1+1+1-1</f>
        <v>3</v>
      </c>
      <c r="F176" s="165">
        <f>0+2-1+1-1-1+1+2-1+1+2+2+1-2-1</f>
        <v>5</v>
      </c>
      <c r="G176" s="165">
        <f t="shared" ref="G176:H176" si="92">0+2+1</f>
        <v>3</v>
      </c>
      <c r="H176" s="165">
        <f t="shared" si="92"/>
        <v>3</v>
      </c>
      <c r="I176" s="166">
        <f t="shared" ref="I176:J176" si="93">0+1</f>
        <v>1</v>
      </c>
      <c r="J176" s="166">
        <f t="shared" si="93"/>
        <v>1</v>
      </c>
      <c r="K176" s="165">
        <f>0+1-1+1+1-1+1+1-1+1+1-1</f>
        <v>3</v>
      </c>
      <c r="L176" s="165">
        <f>0+6+5-1+5-1-2+2-1+1+1-2</f>
        <v>13</v>
      </c>
      <c r="M176" s="165">
        <f>0+5-1+1-1+1+7-1-2+1+1+2-1+1+2-2-2-1+1-1+1-1-1+1+1+1-1-1+1+1+1+1-2-1+2-1+1</f>
        <v>13</v>
      </c>
      <c r="N176" s="165">
        <f>0+1-1+1-1+1+1-2+2-2+2-2+2-1+1+1-1-2+1+3</f>
        <v>4</v>
      </c>
      <c r="O176" s="165">
        <f>0+2-1+1+1-1+1+1-1-1+1+1+6-1+1-1+1+1-1+1</f>
        <v>11</v>
      </c>
      <c r="P176" s="165">
        <f>0+3-1+1-1+1+1-1+1</f>
        <v>4</v>
      </c>
      <c r="Q176" s="165">
        <f>0+2+1</f>
        <v>3</v>
      </c>
      <c r="R176" s="166">
        <f t="shared" ref="R176:S176" si="94">0+1</f>
        <v>1</v>
      </c>
      <c r="S176" s="165">
        <f t="shared" si="94"/>
        <v>1</v>
      </c>
      <c r="T176" s="177">
        <f t="shared" ref="T176:T180" si="95">SUM(B176:S176)</f>
        <v>75</v>
      </c>
      <c r="U176" s="66"/>
      <c r="V176" s="66"/>
      <c r="W176" s="66"/>
      <c r="X176" s="66"/>
      <c r="Y176" s="66"/>
    </row>
    <row r="177" ht="14.25" customHeight="1">
      <c r="A177" s="148" t="s">
        <v>14</v>
      </c>
      <c r="B177" s="166">
        <f>0+1-1+1+1-1+1-1+1-1+1+1-2-1</f>
        <v>0</v>
      </c>
      <c r="C177" s="166">
        <f>0+1-1+1+1-1+1-2+8-1</f>
        <v>7</v>
      </c>
      <c r="D177" s="166">
        <f>0+1-1+1-1+1-1+1-1+1+1+1-2+1-1-1+1-1+1-1+1-1+5-1</f>
        <v>4</v>
      </c>
      <c r="E177" s="166">
        <f>0+1-1+1+1+1-1+1-1+1-1+1+1+2+1+1+1-5-1+1-3+1-1+1-1+1-2+5-1</f>
        <v>4</v>
      </c>
      <c r="F177" s="166">
        <f>0+2-2+2-1+1-1+1-2+2+2-1+1-3+1+1-1-1+1-2+5-1</f>
        <v>4</v>
      </c>
      <c r="G177" s="166">
        <f>0+4-1+1-1-2+1+1-3+3+1-1</f>
        <v>3</v>
      </c>
      <c r="H177" s="166">
        <f>0+1+2-1-1-1+2-1</f>
        <v>1</v>
      </c>
      <c r="I177" s="166">
        <f>0+1+5-5-1+1-1</f>
        <v>0</v>
      </c>
      <c r="J177" s="166">
        <f>0+1-1+1</f>
        <v>1</v>
      </c>
      <c r="K177" s="166">
        <f>0+1-1+1+1-1-1+1-1+1-1+3-1</f>
        <v>2</v>
      </c>
      <c r="L177" s="165">
        <f>0+1+1+5+1-1+1-1+2-3+1-1-1+1-4-1-1+1+1-1+1-1+5-1</f>
        <v>5</v>
      </c>
      <c r="M177" s="166">
        <f>0+1-1+1-1+2+1+3-1-1+1-1-1-1+1+1+3-7+1-1+1-1+1-1+5-1</f>
        <v>4</v>
      </c>
      <c r="N177" s="166">
        <f>0+1+1-1-1+1+1-1-1+1+1+5-2+1-1+1-4-1-1+5-1</f>
        <v>4</v>
      </c>
      <c r="O177" s="166">
        <f>0+6-1-1+1+3-2-5+1+1+4+1-6-1+1-1+1-1-1+1-1+5-1</f>
        <v>4</v>
      </c>
      <c r="P177" s="165">
        <f>0+2-1-1+1-1+1+1+1-1-1+1-1-1+3-1</f>
        <v>2</v>
      </c>
      <c r="Q177" s="165">
        <f>0+2+1+1-1+2+7+1+1+1-12+1+1-5+2-1</f>
        <v>1</v>
      </c>
      <c r="R177" s="166">
        <f>0+1+2+5-6-1+1+1+1+1-5+2-1</f>
        <v>1</v>
      </c>
      <c r="S177" s="165">
        <f>0+2+1+2-2-2-1+2</f>
        <v>2</v>
      </c>
      <c r="T177" s="177">
        <f t="shared" si="95"/>
        <v>49</v>
      </c>
      <c r="U177" s="66"/>
      <c r="V177" s="66"/>
      <c r="W177" s="66"/>
      <c r="X177" s="66"/>
      <c r="Y177" s="66"/>
    </row>
    <row r="178" ht="14.25" customHeight="1">
      <c r="A178" s="148" t="s">
        <v>15</v>
      </c>
      <c r="B178" s="166">
        <f>0+4-4+3-1</f>
        <v>2</v>
      </c>
      <c r="C178" s="166">
        <f>0+1-1+1+1-2+1+1-1+1+1-3+5</f>
        <v>5</v>
      </c>
      <c r="D178" s="166">
        <f>0+2+1-1-1+1+1-1-1-1+1+1+1+1+1-1+1+1-1-4+5+1-7+5</f>
        <v>5</v>
      </c>
      <c r="E178" s="166">
        <f>0+2-1+1+1-1-1+1-1+1+1-1+1-3+5</f>
        <v>5</v>
      </c>
      <c r="F178" s="166">
        <f>0+1-1+1-1+1-1+1+1-2+5</f>
        <v>5</v>
      </c>
      <c r="G178" s="166">
        <f>0+3-3+1-1+1-1+2</f>
        <v>2</v>
      </c>
      <c r="H178" s="166">
        <f>0+1-1+1-1+2</f>
        <v>2</v>
      </c>
      <c r="I178" s="166">
        <f>0+1</f>
        <v>1</v>
      </c>
      <c r="J178" s="166">
        <f>0</f>
        <v>0</v>
      </c>
      <c r="K178" s="166">
        <f>0+2-2+3</f>
        <v>3</v>
      </c>
      <c r="L178" s="166">
        <f>0+1+1-1+1-1+1+1+1-4+5</f>
        <v>5</v>
      </c>
      <c r="M178" s="166">
        <f>0+2-1+1+3-1-1+1-1+1+1+1-6+1-1+5+5</f>
        <v>10</v>
      </c>
      <c r="N178" s="166">
        <f>0+1+1-1+1-1+1+1+1-1+1+1+1-1+1-1+1-1-3+3+1-6</f>
        <v>0</v>
      </c>
      <c r="O178" s="166">
        <f>0+1-1+1-1+1-1+2+1-1-1+1-1+1+1+1-1+1-1-3+1-1+1+1-1+5</f>
        <v>6</v>
      </c>
      <c r="P178" s="165">
        <f>0+7-1-1-1+1+1+1-1-1-5+3</f>
        <v>3</v>
      </c>
      <c r="Q178" s="165">
        <f>0+3+1+2-1+1-1+1-1+1-6+3</f>
        <v>3</v>
      </c>
      <c r="R178" s="166">
        <f>0+1+1-1-1+2</f>
        <v>2</v>
      </c>
      <c r="S178" s="165">
        <f>0+3+1-3+2-3+1</f>
        <v>1</v>
      </c>
      <c r="T178" s="177">
        <f t="shared" si="95"/>
        <v>60</v>
      </c>
      <c r="U178" s="66"/>
      <c r="V178" s="66"/>
      <c r="W178" s="66"/>
      <c r="X178" s="66"/>
      <c r="Y178" s="66"/>
    </row>
    <row r="179" ht="14.25" customHeight="1">
      <c r="A179" s="148" t="s">
        <v>96</v>
      </c>
      <c r="B179" s="166">
        <f>0+1+1-1-1</f>
        <v>0</v>
      </c>
      <c r="C179" s="165">
        <f>0+1-1+3-1+1</f>
        <v>3</v>
      </c>
      <c r="D179" s="165">
        <f>0+1-1+2-1+3+1-1+1-1+1+1-1+4</f>
        <v>9</v>
      </c>
      <c r="E179" s="166">
        <f>0+1+1-1-1+1-1+1+1+1</f>
        <v>3</v>
      </c>
      <c r="F179" s="166">
        <f>0+1+1</f>
        <v>2</v>
      </c>
      <c r="G179" s="166">
        <f>0+2+1-1</f>
        <v>2</v>
      </c>
      <c r="H179" s="166">
        <f t="shared" ref="H179:K179" si="96">0</f>
        <v>0</v>
      </c>
      <c r="I179" s="166">
        <f t="shared" si="96"/>
        <v>0</v>
      </c>
      <c r="J179" s="166">
        <f t="shared" si="96"/>
        <v>0</v>
      </c>
      <c r="K179" s="166">
        <f t="shared" si="96"/>
        <v>0</v>
      </c>
      <c r="L179" s="165">
        <f>0+1-1+1+2+1</f>
        <v>4</v>
      </c>
      <c r="M179" s="165">
        <f>0+2-1+1-2+2+2-2-1+4</f>
        <v>5</v>
      </c>
      <c r="N179" s="165">
        <f>0+1+1-2+2-1</f>
        <v>1</v>
      </c>
      <c r="O179" s="166">
        <f>0+1-1+1+1</f>
        <v>2</v>
      </c>
      <c r="P179" s="165">
        <f>0+1+2</f>
        <v>3</v>
      </c>
      <c r="Q179" s="165">
        <f>0+1</f>
        <v>1</v>
      </c>
      <c r="R179" s="166">
        <f t="shared" ref="R179:S179" si="97">0</f>
        <v>0</v>
      </c>
      <c r="S179" s="165">
        <f t="shared" si="97"/>
        <v>0</v>
      </c>
      <c r="T179" s="177">
        <f t="shared" si="95"/>
        <v>35</v>
      </c>
      <c r="U179" s="66"/>
      <c r="V179" s="66"/>
      <c r="W179" s="66"/>
      <c r="X179" s="66"/>
      <c r="Y179" s="66"/>
    </row>
    <row r="180" ht="14.25" customHeight="1">
      <c r="A180" s="148" t="s">
        <v>18</v>
      </c>
      <c r="B180" s="166">
        <f t="shared" ref="B180:C180" si="98">0</f>
        <v>0</v>
      </c>
      <c r="C180" s="166">
        <f t="shared" si="98"/>
        <v>0</v>
      </c>
      <c r="D180" s="180">
        <f>0</f>
        <v>0</v>
      </c>
      <c r="E180" s="165">
        <f>0+2-1+1+1-1+1+1-1-1</f>
        <v>2</v>
      </c>
      <c r="F180" s="166">
        <f>0</f>
        <v>0</v>
      </c>
      <c r="G180" s="166">
        <f>0+1-1+1-1</f>
        <v>0</v>
      </c>
      <c r="H180" s="166">
        <f t="shared" ref="H180:N180" si="99">0</f>
        <v>0</v>
      </c>
      <c r="I180" s="166">
        <f t="shared" si="99"/>
        <v>0</v>
      </c>
      <c r="J180" s="166">
        <f t="shared" si="99"/>
        <v>0</v>
      </c>
      <c r="K180" s="166">
        <f t="shared" si="99"/>
        <v>0</v>
      </c>
      <c r="L180" s="166">
        <f t="shared" si="99"/>
        <v>0</v>
      </c>
      <c r="M180" s="166">
        <f t="shared" si="99"/>
        <v>0</v>
      </c>
      <c r="N180" s="166">
        <f t="shared" si="99"/>
        <v>0</v>
      </c>
      <c r="O180" s="166">
        <f>0+1-1+1</f>
        <v>1</v>
      </c>
      <c r="P180" s="165">
        <f>0+2-1</f>
        <v>1</v>
      </c>
      <c r="Q180" s="165">
        <f>0+1-1</f>
        <v>0</v>
      </c>
      <c r="R180" s="166">
        <f>0+1</f>
        <v>1</v>
      </c>
      <c r="S180" s="165">
        <f>0</f>
        <v>0</v>
      </c>
      <c r="T180" s="181">
        <f t="shared" si="95"/>
        <v>5</v>
      </c>
      <c r="U180" s="66"/>
      <c r="V180" s="66"/>
      <c r="W180" s="66"/>
      <c r="X180" s="66"/>
      <c r="Y180" s="66"/>
    </row>
    <row r="181" ht="14.25" customHeight="1">
      <c r="A181" s="170"/>
      <c r="B181" s="171"/>
      <c r="C181" s="171"/>
      <c r="D181" s="171"/>
      <c r="E181" s="171"/>
      <c r="F181" s="171"/>
      <c r="G181" s="171"/>
      <c r="H181" s="171"/>
      <c r="I181" s="171"/>
      <c r="J181" s="171"/>
      <c r="K181" s="66"/>
      <c r="L181" s="66"/>
      <c r="M181" s="66"/>
      <c r="N181" s="66"/>
      <c r="O181" s="66"/>
      <c r="P181" s="66"/>
      <c r="Q181" s="66"/>
      <c r="R181" s="66"/>
      <c r="S181" s="66"/>
      <c r="T181" s="172">
        <f>SUM(T176:T180)</f>
        <v>224</v>
      </c>
      <c r="U181" s="66"/>
      <c r="V181" s="66"/>
      <c r="W181" s="66"/>
      <c r="X181" s="66"/>
      <c r="Y181" s="66"/>
    </row>
    <row r="182" ht="14.25" customHeight="1">
      <c r="A182" s="170"/>
      <c r="B182" s="171"/>
      <c r="C182" s="171"/>
      <c r="D182" s="171"/>
      <c r="E182" s="171"/>
      <c r="F182" s="171"/>
      <c r="G182" s="171"/>
      <c r="H182" s="171"/>
      <c r="I182" s="171"/>
      <c r="J182" s="171"/>
      <c r="K182" s="178"/>
      <c r="L182" s="66"/>
      <c r="M182" s="66"/>
      <c r="N182" s="66"/>
      <c r="O182" s="66"/>
      <c r="P182" s="66"/>
      <c r="Q182" s="66"/>
      <c r="R182" s="80" t="s">
        <v>13</v>
      </c>
      <c r="S182" s="66"/>
      <c r="T182" s="66"/>
      <c r="U182" s="66"/>
      <c r="V182" s="66"/>
      <c r="W182" s="66"/>
      <c r="X182" s="66"/>
      <c r="Y182" s="66"/>
    </row>
    <row r="183" ht="21.0" customHeight="1">
      <c r="A183" s="179" t="s">
        <v>97</v>
      </c>
      <c r="B183" s="157"/>
      <c r="C183" s="157"/>
      <c r="D183" s="157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  <c r="R183" s="157"/>
      <c r="S183" s="157"/>
      <c r="T183" s="158"/>
      <c r="U183" s="66"/>
      <c r="V183" s="66"/>
      <c r="W183" s="66"/>
      <c r="X183" s="66"/>
      <c r="Y183" s="66"/>
    </row>
    <row r="184" ht="21.0" customHeight="1">
      <c r="A184" s="182"/>
      <c r="B184" s="160" t="s">
        <v>1</v>
      </c>
      <c r="C184" s="52"/>
      <c r="D184" s="52"/>
      <c r="E184" s="52"/>
      <c r="F184" s="52"/>
      <c r="G184" s="52"/>
      <c r="H184" s="52"/>
      <c r="I184" s="52"/>
      <c r="J184" s="53"/>
      <c r="K184" s="160" t="s">
        <v>2</v>
      </c>
      <c r="L184" s="52"/>
      <c r="M184" s="52"/>
      <c r="N184" s="52"/>
      <c r="O184" s="52"/>
      <c r="P184" s="52"/>
      <c r="Q184" s="52"/>
      <c r="R184" s="52"/>
      <c r="S184" s="53"/>
      <c r="T184" s="66"/>
      <c r="U184" s="66"/>
      <c r="V184" s="66"/>
      <c r="W184" s="66"/>
      <c r="X184" s="66"/>
      <c r="Y184" s="66"/>
    </row>
    <row r="185" ht="14.25" customHeight="1">
      <c r="A185" s="182"/>
      <c r="B185" s="162" t="s">
        <v>4</v>
      </c>
      <c r="C185" s="162" t="s">
        <v>49</v>
      </c>
      <c r="D185" s="162" t="s">
        <v>50</v>
      </c>
      <c r="E185" s="162" t="s">
        <v>51</v>
      </c>
      <c r="F185" s="162" t="s">
        <v>52</v>
      </c>
      <c r="G185" s="162" t="s">
        <v>9</v>
      </c>
      <c r="H185" s="162" t="s">
        <v>10</v>
      </c>
      <c r="I185" s="162" t="s">
        <v>11</v>
      </c>
      <c r="J185" s="162" t="s">
        <v>12</v>
      </c>
      <c r="K185" s="163" t="s">
        <v>4</v>
      </c>
      <c r="L185" s="163" t="s">
        <v>49</v>
      </c>
      <c r="M185" s="163" t="s">
        <v>50</v>
      </c>
      <c r="N185" s="163" t="s">
        <v>51</v>
      </c>
      <c r="O185" s="163" t="s">
        <v>52</v>
      </c>
      <c r="P185" s="163" t="s">
        <v>9</v>
      </c>
      <c r="Q185" s="163" t="s">
        <v>10</v>
      </c>
      <c r="R185" s="163" t="s">
        <v>11</v>
      </c>
      <c r="S185" s="163" t="s">
        <v>12</v>
      </c>
      <c r="T185" s="175" t="s">
        <v>53</v>
      </c>
      <c r="U185" s="66"/>
      <c r="V185" s="66"/>
      <c r="W185" s="66"/>
      <c r="X185" s="66"/>
      <c r="Y185" s="66"/>
    </row>
    <row r="186" ht="14.25" customHeight="1">
      <c r="A186" s="148" t="s">
        <v>18</v>
      </c>
      <c r="B186" s="166">
        <f t="shared" ref="B186:B187" si="103">0+2</f>
        <v>2</v>
      </c>
      <c r="C186" s="166">
        <f>0+1+1</f>
        <v>2</v>
      </c>
      <c r="D186" s="166">
        <f>0+2-1+1</f>
        <v>2</v>
      </c>
      <c r="E186" s="166">
        <f t="shared" ref="E186:E187" si="104">0+1+1</f>
        <v>2</v>
      </c>
      <c r="F186" s="166">
        <f>0+1-1+1</f>
        <v>1</v>
      </c>
      <c r="G186" s="166">
        <f>0+1-1+1</f>
        <v>1</v>
      </c>
      <c r="H186" s="166">
        <f>0+1</f>
        <v>1</v>
      </c>
      <c r="I186" s="166">
        <f t="shared" ref="I186:J186" si="100">0</f>
        <v>0</v>
      </c>
      <c r="J186" s="166">
        <f t="shared" si="100"/>
        <v>0</v>
      </c>
      <c r="K186" s="165">
        <f t="shared" ref="K186:L186" si="101">0+2</f>
        <v>2</v>
      </c>
      <c r="L186" s="165">
        <f t="shared" si="101"/>
        <v>2</v>
      </c>
      <c r="M186" s="165">
        <f>0+3+1</f>
        <v>4</v>
      </c>
      <c r="N186" s="165">
        <f>0+2-1+1+1-1+1-1+1</f>
        <v>3</v>
      </c>
      <c r="O186" s="165">
        <f>0+3-1+1-1+1</f>
        <v>3</v>
      </c>
      <c r="P186" s="166">
        <f>0</f>
        <v>0</v>
      </c>
      <c r="Q186" s="165">
        <f>0+1</f>
        <v>1</v>
      </c>
      <c r="R186" s="166">
        <f t="shared" ref="R186:S186" si="102">0</f>
        <v>0</v>
      </c>
      <c r="S186" s="166">
        <f t="shared" si="102"/>
        <v>0</v>
      </c>
      <c r="T186" s="176">
        <f t="shared" ref="T186:T188" si="107">SUM(K186:S186)</f>
        <v>15</v>
      </c>
      <c r="U186" s="66"/>
      <c r="V186" s="66"/>
      <c r="W186" s="66"/>
      <c r="X186" s="66"/>
      <c r="Y186" s="66"/>
    </row>
    <row r="187" ht="14.25" customHeight="1">
      <c r="A187" s="148" t="s">
        <v>29</v>
      </c>
      <c r="B187" s="166">
        <f t="shared" si="103"/>
        <v>2</v>
      </c>
      <c r="C187" s="166">
        <f>0+1</f>
        <v>1</v>
      </c>
      <c r="D187" s="165">
        <f>0+3</f>
        <v>3</v>
      </c>
      <c r="E187" s="166">
        <f t="shared" si="104"/>
        <v>2</v>
      </c>
      <c r="F187" s="166">
        <f>0+1-1+1-1+1+1</f>
        <v>2</v>
      </c>
      <c r="G187" s="166">
        <f t="shared" ref="G187:G188" si="108">0+1</f>
        <v>1</v>
      </c>
      <c r="H187" s="165">
        <f>0+3</f>
        <v>3</v>
      </c>
      <c r="I187" s="166">
        <f t="shared" ref="I187:J187" si="105">0</f>
        <v>0</v>
      </c>
      <c r="J187" s="166">
        <f t="shared" si="105"/>
        <v>0</v>
      </c>
      <c r="K187" s="166">
        <f>0+2</f>
        <v>2</v>
      </c>
      <c r="L187" s="165">
        <f>0+3-1+1-1+1</f>
        <v>3</v>
      </c>
      <c r="M187" s="165">
        <f>0+2-1+1+1-1+1-1+1-1</f>
        <v>2</v>
      </c>
      <c r="N187" s="165">
        <f>0+1-1+1-1+1</f>
        <v>1</v>
      </c>
      <c r="O187" s="165">
        <f>0+3-1+1+1-2+2-1+1-1-1+2</f>
        <v>4</v>
      </c>
      <c r="P187" s="165">
        <f>0+6+1-1</f>
        <v>6</v>
      </c>
      <c r="Q187" s="165">
        <f>0+1-1+1</f>
        <v>1</v>
      </c>
      <c r="R187" s="166">
        <f t="shared" ref="R187:S187" si="106">0</f>
        <v>0</v>
      </c>
      <c r="S187" s="166">
        <f t="shared" si="106"/>
        <v>0</v>
      </c>
      <c r="T187" s="176">
        <f t="shared" si="107"/>
        <v>19</v>
      </c>
      <c r="U187" s="66"/>
      <c r="V187" s="66"/>
      <c r="W187" s="66"/>
      <c r="X187" s="66"/>
      <c r="Y187" s="66"/>
    </row>
    <row r="188" ht="14.25" customHeight="1">
      <c r="A188" s="148" t="s">
        <v>15</v>
      </c>
      <c r="B188" s="166">
        <f>0+1</f>
        <v>1</v>
      </c>
      <c r="C188" s="165">
        <f>0+2+1-1+1-1+1</f>
        <v>3</v>
      </c>
      <c r="D188" s="166">
        <f>0+1-1+1-1+1-1+1-1+1</f>
        <v>1</v>
      </c>
      <c r="E188" s="165">
        <f>0+1+1-1+1+2+1-1</f>
        <v>4</v>
      </c>
      <c r="F188" s="166">
        <f>0+1+1+1-1+1-1</f>
        <v>2</v>
      </c>
      <c r="G188" s="166">
        <f t="shared" si="108"/>
        <v>1</v>
      </c>
      <c r="H188" s="166">
        <f>1</f>
        <v>1</v>
      </c>
      <c r="I188" s="166">
        <f t="shared" ref="I188:J188" si="109">0+1</f>
        <v>1</v>
      </c>
      <c r="J188" s="166">
        <f t="shared" si="109"/>
        <v>1</v>
      </c>
      <c r="K188" s="166">
        <f>0+1+1-1+1+1-2-1</f>
        <v>0</v>
      </c>
      <c r="L188" s="166">
        <f>0+1+1-1-1</f>
        <v>0</v>
      </c>
      <c r="M188" s="166">
        <f>0+4-1+1+1+1-1+1-1-1+1+1-1-5</f>
        <v>0</v>
      </c>
      <c r="N188" s="166">
        <f>0+1-1+1+1-1+1-1+1-1+1+1-1+1-3+4</f>
        <v>4</v>
      </c>
      <c r="O188" s="166">
        <f>0+1+1+1-1-1+1</f>
        <v>2</v>
      </c>
      <c r="P188" s="165">
        <f>0+2+1-1+1</f>
        <v>3</v>
      </c>
      <c r="Q188" s="165">
        <f>0+2+1-1</f>
        <v>2</v>
      </c>
      <c r="R188" s="166">
        <f t="shared" ref="R188:S188" si="110">0+1-1</f>
        <v>0</v>
      </c>
      <c r="S188" s="166">
        <f t="shared" si="110"/>
        <v>0</v>
      </c>
      <c r="T188" s="176">
        <f t="shared" si="107"/>
        <v>11</v>
      </c>
      <c r="U188" s="66"/>
      <c r="V188" s="66"/>
      <c r="W188" s="66"/>
      <c r="X188" s="66"/>
      <c r="Y188" s="66"/>
    </row>
    <row r="189" ht="23.25" customHeight="1">
      <c r="A189" s="170"/>
      <c r="B189" s="171"/>
      <c r="C189" s="171"/>
      <c r="D189" s="171"/>
      <c r="E189" s="171"/>
      <c r="F189" s="171"/>
      <c r="G189" s="171"/>
      <c r="H189" s="171"/>
      <c r="I189" s="171"/>
      <c r="J189" s="171"/>
      <c r="K189" s="171"/>
      <c r="L189" s="171"/>
      <c r="M189" s="171"/>
      <c r="N189" s="171"/>
      <c r="O189" s="171"/>
      <c r="P189" s="171"/>
      <c r="Q189" s="171" t="s">
        <v>13</v>
      </c>
      <c r="R189" s="171"/>
      <c r="S189" s="171"/>
      <c r="T189" s="183">
        <f>SUM(T186:T188)</f>
        <v>45</v>
      </c>
      <c r="U189" s="66"/>
      <c r="V189" s="66"/>
      <c r="W189" s="66"/>
      <c r="X189" s="66"/>
      <c r="Y189" s="66"/>
    </row>
    <row r="190" ht="38.25" customHeight="1">
      <c r="A190" s="170"/>
      <c r="B190" s="171"/>
      <c r="C190" s="171"/>
      <c r="D190" s="171"/>
      <c r="E190" s="171"/>
      <c r="F190" s="171"/>
      <c r="G190" s="171"/>
      <c r="H190" s="171"/>
      <c r="I190" s="171"/>
      <c r="J190" s="171"/>
      <c r="K190" s="171"/>
      <c r="L190" s="171"/>
      <c r="M190" s="171"/>
      <c r="N190" s="171"/>
      <c r="O190" s="171"/>
      <c r="P190" s="171"/>
      <c r="Q190" s="171"/>
      <c r="R190" s="171"/>
      <c r="S190" s="171"/>
      <c r="T190" s="171"/>
      <c r="U190" s="113"/>
      <c r="V190" s="66"/>
      <c r="W190" s="66"/>
      <c r="X190" s="66"/>
      <c r="Y190" s="66"/>
    </row>
    <row r="191" ht="41.25" hidden="1" customHeight="1">
      <c r="A191" s="184" t="s">
        <v>98</v>
      </c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  <c r="T191" s="186"/>
      <c r="U191" s="66"/>
      <c r="V191" s="66"/>
      <c r="W191" s="66"/>
      <c r="X191" s="66"/>
      <c r="Y191" s="66"/>
    </row>
    <row r="192" ht="19.5" customHeight="1">
      <c r="A192" s="187"/>
      <c r="B192" s="188"/>
      <c r="C192" s="188"/>
      <c r="D192" s="188"/>
      <c r="E192" s="188"/>
      <c r="F192" s="188"/>
      <c r="G192" s="188"/>
      <c r="H192" s="188"/>
      <c r="I192" s="188"/>
      <c r="J192" s="188"/>
      <c r="K192" s="188"/>
      <c r="L192" s="188"/>
      <c r="M192" s="188"/>
      <c r="N192" s="188"/>
      <c r="O192" s="188"/>
      <c r="P192" s="188"/>
      <c r="Q192" s="188"/>
      <c r="R192" s="188"/>
      <c r="S192" s="188"/>
      <c r="T192" s="189"/>
      <c r="U192" s="66"/>
      <c r="V192" s="66"/>
      <c r="W192" s="66"/>
      <c r="X192" s="66"/>
      <c r="Y192" s="66"/>
    </row>
    <row r="193" ht="21.0" customHeight="1">
      <c r="A193" s="148"/>
      <c r="B193" s="160" t="s">
        <v>1</v>
      </c>
      <c r="C193" s="52"/>
      <c r="D193" s="52"/>
      <c r="E193" s="52"/>
      <c r="F193" s="52"/>
      <c r="G193" s="52"/>
      <c r="H193" s="52"/>
      <c r="I193" s="52"/>
      <c r="J193" s="53"/>
      <c r="K193" s="160" t="s">
        <v>2</v>
      </c>
      <c r="L193" s="52"/>
      <c r="M193" s="52"/>
      <c r="N193" s="52"/>
      <c r="O193" s="52"/>
      <c r="P193" s="52"/>
      <c r="Q193" s="52"/>
      <c r="R193" s="52"/>
      <c r="S193" s="53"/>
      <c r="T193" s="94"/>
      <c r="U193" s="80"/>
      <c r="V193" s="66"/>
      <c r="W193" s="66"/>
      <c r="X193" s="66"/>
      <c r="Y193" s="66"/>
    </row>
    <row r="194" ht="14.25" customHeight="1">
      <c r="A194" s="148"/>
      <c r="B194" s="162" t="s">
        <v>4</v>
      </c>
      <c r="C194" s="162" t="s">
        <v>49</v>
      </c>
      <c r="D194" s="162" t="s">
        <v>50</v>
      </c>
      <c r="E194" s="162" t="s">
        <v>51</v>
      </c>
      <c r="F194" s="162" t="s">
        <v>52</v>
      </c>
      <c r="G194" s="162" t="s">
        <v>9</v>
      </c>
      <c r="H194" s="162" t="s">
        <v>10</v>
      </c>
      <c r="I194" s="162" t="s">
        <v>11</v>
      </c>
      <c r="J194" s="162" t="s">
        <v>12</v>
      </c>
      <c r="K194" s="163" t="s">
        <v>4</v>
      </c>
      <c r="L194" s="163" t="s">
        <v>49</v>
      </c>
      <c r="M194" s="163" t="s">
        <v>50</v>
      </c>
      <c r="N194" s="163" t="s">
        <v>51</v>
      </c>
      <c r="O194" s="163" t="s">
        <v>52</v>
      </c>
      <c r="P194" s="163" t="s">
        <v>9</v>
      </c>
      <c r="Q194" s="163" t="s">
        <v>10</v>
      </c>
      <c r="R194" s="163" t="s">
        <v>11</v>
      </c>
      <c r="S194" s="163" t="s">
        <v>12</v>
      </c>
      <c r="T194" s="175" t="s">
        <v>53</v>
      </c>
      <c r="U194" s="66"/>
      <c r="V194" s="66"/>
      <c r="W194" s="66"/>
      <c r="X194" s="66"/>
      <c r="Y194" s="66"/>
    </row>
    <row r="195" ht="14.25" customHeight="1">
      <c r="A195" s="148" t="s">
        <v>74</v>
      </c>
      <c r="B195" s="165">
        <f>0+2-1+1-1+1+1</f>
        <v>3</v>
      </c>
      <c r="C195" s="166">
        <f>0+4-1+1+9-1+1-12-1+1</f>
        <v>1</v>
      </c>
      <c r="D195" s="166">
        <f>0+8-1+1-1+1+1-1+3-2-8-1+1-1+1</f>
        <v>1</v>
      </c>
      <c r="E195" s="166">
        <f>0+7-1+1-4+4+6-1+1-3+1+2-12-1+1-1+1+1-2+2</f>
        <v>2</v>
      </c>
      <c r="F195" s="165">
        <f>0+1+1-1+1+1-2+1+1-2+2+2</f>
        <v>5</v>
      </c>
      <c r="G195" s="165">
        <f>0+2+2-1+1+1-1</f>
        <v>4</v>
      </c>
      <c r="H195" s="166">
        <f>0+1+1</f>
        <v>2</v>
      </c>
      <c r="I195" s="166">
        <f>0+1</f>
        <v>1</v>
      </c>
      <c r="J195" s="166">
        <f>0</f>
        <v>0</v>
      </c>
      <c r="K195" s="166">
        <f>0+1-1</f>
        <v>0</v>
      </c>
      <c r="L195" s="190">
        <f>0+1-1+1+1-1-1+1</f>
        <v>1</v>
      </c>
      <c r="M195" s="165">
        <f>0+4-4+4-1-1+1-1+1-3+1+2-2-1+1-1+1+1-1-1+1</f>
        <v>1</v>
      </c>
      <c r="N195" s="167">
        <f>0+4-2+2-1-1-1-1+1+2-1+3-2-2-1+1-1+1-1+1</f>
        <v>1</v>
      </c>
      <c r="O195" s="165">
        <f>0+6-2+2+1+1-1+1-1-1-2-1+1+1+2-1-1+1</f>
        <v>6</v>
      </c>
      <c r="P195" s="165">
        <f>0+1-1+1-1+1-1</f>
        <v>0</v>
      </c>
      <c r="Q195" s="165">
        <f>0+4+1-1+1-1+1</f>
        <v>5</v>
      </c>
      <c r="R195" s="166">
        <f>0+1</f>
        <v>1</v>
      </c>
      <c r="S195" s="165">
        <f>0</f>
        <v>0</v>
      </c>
      <c r="T195" s="176">
        <f t="shared" ref="T195:T198" si="113">SUM(B195:S195)</f>
        <v>34</v>
      </c>
      <c r="U195" s="66"/>
      <c r="V195" s="66"/>
      <c r="W195" s="66"/>
      <c r="X195" s="66"/>
      <c r="Y195" s="66"/>
    </row>
    <row r="196" ht="14.25" customHeight="1">
      <c r="A196" s="148" t="s">
        <v>99</v>
      </c>
      <c r="B196" s="165">
        <f>0+2-1+1+1-1+1-1+1</f>
        <v>3</v>
      </c>
      <c r="C196" s="166">
        <f>0+2-1+1</f>
        <v>2</v>
      </c>
      <c r="D196" s="166">
        <f>0+3-3+3-1-1-1+1</f>
        <v>1</v>
      </c>
      <c r="E196" s="166">
        <f>0+2-2</f>
        <v>0</v>
      </c>
      <c r="F196" s="166">
        <f>0+2-1+1-1+1</f>
        <v>2</v>
      </c>
      <c r="G196" s="166">
        <f>0+1-1</f>
        <v>0</v>
      </c>
      <c r="H196" s="166">
        <f>0+2</f>
        <v>2</v>
      </c>
      <c r="I196" s="166">
        <f t="shared" ref="I196:J196" si="111">0</f>
        <v>0</v>
      </c>
      <c r="J196" s="166">
        <f t="shared" si="111"/>
        <v>0</v>
      </c>
      <c r="K196" s="166">
        <f>0+1</f>
        <v>1</v>
      </c>
      <c r="L196" s="166">
        <f>0+1-1</f>
        <v>0</v>
      </c>
      <c r="M196" s="165">
        <f>0+3-1+1+1-1</f>
        <v>3</v>
      </c>
      <c r="N196" s="166">
        <f>0+1-1+1</f>
        <v>1</v>
      </c>
      <c r="O196" s="165">
        <f>0+2+1-1</f>
        <v>2</v>
      </c>
      <c r="P196" s="165">
        <f t="shared" ref="P196:P197" si="116">0+1</f>
        <v>1</v>
      </c>
      <c r="Q196" s="166">
        <f t="shared" ref="Q196:S196" si="112">0</f>
        <v>0</v>
      </c>
      <c r="R196" s="166">
        <f t="shared" si="112"/>
        <v>0</v>
      </c>
      <c r="S196" s="165">
        <f t="shared" si="112"/>
        <v>0</v>
      </c>
      <c r="T196" s="176">
        <f t="shared" si="113"/>
        <v>18</v>
      </c>
      <c r="U196" s="66"/>
      <c r="V196" s="66"/>
      <c r="W196" s="66"/>
      <c r="X196" s="66"/>
      <c r="Y196" s="66"/>
    </row>
    <row r="197" ht="14.25" customHeight="1">
      <c r="A197" s="148" t="s">
        <v>100</v>
      </c>
      <c r="B197" s="166">
        <f>0</f>
        <v>0</v>
      </c>
      <c r="C197" s="166">
        <f>0+3-2+2</f>
        <v>3</v>
      </c>
      <c r="D197" s="166">
        <f>0</f>
        <v>0</v>
      </c>
      <c r="E197" s="165">
        <f>0+4-1+1</f>
        <v>4</v>
      </c>
      <c r="F197" s="165">
        <f>0+3</f>
        <v>3</v>
      </c>
      <c r="G197" s="166">
        <f t="shared" ref="G197:H197" si="114">0+2</f>
        <v>2</v>
      </c>
      <c r="H197" s="166">
        <f t="shared" si="114"/>
        <v>2</v>
      </c>
      <c r="I197" s="166">
        <f t="shared" ref="I197:J197" si="115">0+1</f>
        <v>1</v>
      </c>
      <c r="J197" s="166">
        <f t="shared" si="115"/>
        <v>1</v>
      </c>
      <c r="K197" s="166">
        <f>0+2-1+1-1-1+1</f>
        <v>1</v>
      </c>
      <c r="L197" s="165">
        <f>0+4-3+3-1-1+1</f>
        <v>3</v>
      </c>
      <c r="M197" s="166">
        <f>0+1-1+1-1+1-1+1</f>
        <v>1</v>
      </c>
      <c r="N197" s="166">
        <f>0+1-1+1-1+1-1</f>
        <v>0</v>
      </c>
      <c r="O197" s="165">
        <f>0+2-1+1-1+1-1+1+1-2+2-1+1-2+2-1+1</f>
        <v>3</v>
      </c>
      <c r="P197" s="165">
        <f t="shared" si="116"/>
        <v>1</v>
      </c>
      <c r="Q197" s="165">
        <f>0+2+2-1-1+1-3+3+1-1-1+1</f>
        <v>3</v>
      </c>
      <c r="R197" s="166">
        <f>0+1</f>
        <v>1</v>
      </c>
      <c r="S197" s="165">
        <f>0+1-1+1</f>
        <v>1</v>
      </c>
      <c r="T197" s="176">
        <f t="shared" si="113"/>
        <v>30</v>
      </c>
      <c r="U197" s="66"/>
      <c r="V197" s="66"/>
      <c r="W197" s="66"/>
      <c r="X197" s="66"/>
      <c r="Y197" s="66"/>
    </row>
    <row r="198" ht="14.25" customHeight="1">
      <c r="A198" s="148" t="s">
        <v>44</v>
      </c>
      <c r="B198" s="166">
        <f>0+1-1+1-1+1</f>
        <v>1</v>
      </c>
      <c r="C198" s="166">
        <f>0+1+1-1+1-1+1+1-1+1-2+2-1+1-3+3-2+2</f>
        <v>3</v>
      </c>
      <c r="D198" s="165">
        <f>0+1+1-1+1-1-1+1-1+1-1+1+1-1+1-1+1-1+1-1+1+1</f>
        <v>3</v>
      </c>
      <c r="E198" s="166">
        <f>0+4+1-1+1+2-1+1-1+1-4+1-1+1-2+2-1+1-1+1-1-1-1</f>
        <v>1</v>
      </c>
      <c r="F198" s="165">
        <f>0+3-1+1-1-1+1+2-1+1-1+1-1+1-1+1-3-1+1+2+1-3+3</f>
        <v>4</v>
      </c>
      <c r="G198" s="166">
        <f>0+2+1-1+1+1-1+1-1+1-1+1-3+3-3-1+1</f>
        <v>1</v>
      </c>
      <c r="H198" s="165">
        <f>0+1-1+1+1-1+1+1-1+1+3-2+1-1</f>
        <v>4</v>
      </c>
      <c r="I198" s="165">
        <f>0+1-1+1+1-1+1+1+1+3</f>
        <v>7</v>
      </c>
      <c r="J198" s="165">
        <f>0+1+2</f>
        <v>3</v>
      </c>
      <c r="K198" s="166">
        <f>0+2-1+1</f>
        <v>2</v>
      </c>
      <c r="L198" s="166">
        <f>0+1-1+1+1-1+1-1-1+1+1-1+1-2+1</f>
        <v>1</v>
      </c>
      <c r="M198" s="165">
        <f>0+1-1+1-1+5+1+1-1+1-2-1-3+3-1+1-1+1-2+2-2+2-2+2-2+2</f>
        <v>4</v>
      </c>
      <c r="N198" s="166">
        <f>1+1-1-1+1-1+1-1+1-1+1-1+1-1+1-1+2-2</f>
        <v>0</v>
      </c>
      <c r="O198" s="165">
        <f>0+2+1-1+1-1-1+1-1+1-2+1-1+2+1-1+1-1+1-1-1+1</f>
        <v>2</v>
      </c>
      <c r="P198" s="165">
        <f>0+1-1+1-1+1+1-1+1-1</f>
        <v>1</v>
      </c>
      <c r="Q198" s="166">
        <f>0</f>
        <v>0</v>
      </c>
      <c r="R198" s="166">
        <f>0+1-1+1</f>
        <v>1</v>
      </c>
      <c r="S198" s="165">
        <f>0+1</f>
        <v>1</v>
      </c>
      <c r="T198" s="176">
        <f t="shared" si="113"/>
        <v>39</v>
      </c>
      <c r="U198" s="66"/>
      <c r="V198" s="66"/>
      <c r="W198" s="80"/>
      <c r="X198" s="66"/>
      <c r="Y198" s="66"/>
    </row>
    <row r="199" ht="14.25" customHeight="1">
      <c r="A199" s="170"/>
      <c r="B199" s="171"/>
      <c r="C199" s="191"/>
      <c r="D199" s="171"/>
      <c r="E199" s="171"/>
      <c r="F199" s="192" t="s">
        <v>13</v>
      </c>
      <c r="G199" s="171"/>
      <c r="H199" s="171"/>
      <c r="I199" s="171"/>
      <c r="J199" s="171"/>
      <c r="K199" s="178"/>
      <c r="L199" s="178"/>
      <c r="M199" s="178"/>
      <c r="N199" s="178"/>
      <c r="O199" s="178"/>
      <c r="P199" s="178"/>
      <c r="Q199" s="178"/>
      <c r="R199" s="178"/>
      <c r="S199" s="178"/>
      <c r="T199" s="193">
        <f>SUM(T195:T198)</f>
        <v>121</v>
      </c>
      <c r="U199" s="66"/>
      <c r="V199" s="66"/>
      <c r="W199" s="66"/>
      <c r="X199" s="66"/>
      <c r="Y199" s="66"/>
    </row>
    <row r="200" ht="14.25" customHeight="1">
      <c r="A200" s="194"/>
      <c r="B200" s="194"/>
      <c r="C200" s="194"/>
      <c r="D200" s="194"/>
      <c r="E200" s="194"/>
      <c r="F200" s="194"/>
      <c r="G200" s="194"/>
      <c r="H200" s="194"/>
      <c r="I200" s="194"/>
      <c r="J200" s="194"/>
      <c r="K200" s="178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</row>
    <row r="201" ht="21.0" customHeight="1">
      <c r="A201" s="195" t="s">
        <v>101</v>
      </c>
      <c r="B201" s="157"/>
      <c r="C201" s="157"/>
      <c r="D201" s="157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  <c r="R201" s="157"/>
      <c r="S201" s="157"/>
      <c r="T201" s="158"/>
      <c r="U201" s="66"/>
      <c r="V201" s="66"/>
      <c r="W201" s="66"/>
      <c r="X201" s="66"/>
      <c r="Y201" s="66"/>
    </row>
    <row r="202" ht="21.0" customHeight="1">
      <c r="A202" s="196"/>
      <c r="B202" s="197" t="s">
        <v>1</v>
      </c>
      <c r="C202" s="52"/>
      <c r="D202" s="52"/>
      <c r="E202" s="52"/>
      <c r="F202" s="52"/>
      <c r="G202" s="52"/>
      <c r="H202" s="52"/>
      <c r="I202" s="52"/>
      <c r="J202" s="53"/>
      <c r="K202" s="197" t="s">
        <v>2</v>
      </c>
      <c r="L202" s="52"/>
      <c r="M202" s="52"/>
      <c r="N202" s="52"/>
      <c r="O202" s="52"/>
      <c r="P202" s="52"/>
      <c r="Q202" s="52"/>
      <c r="R202" s="52"/>
      <c r="S202" s="53"/>
      <c r="T202" s="94"/>
      <c r="U202" s="66"/>
      <c r="V202" s="66"/>
      <c r="W202" s="66"/>
      <c r="X202" s="66"/>
      <c r="Y202" s="66"/>
    </row>
    <row r="203" ht="21.0" customHeight="1">
      <c r="A203" s="198"/>
      <c r="B203" s="162" t="s">
        <v>4</v>
      </c>
      <c r="C203" s="162" t="s">
        <v>49</v>
      </c>
      <c r="D203" s="199" t="s">
        <v>50</v>
      </c>
      <c r="E203" s="162" t="s">
        <v>51</v>
      </c>
      <c r="F203" s="162" t="s">
        <v>52</v>
      </c>
      <c r="G203" s="162" t="s">
        <v>9</v>
      </c>
      <c r="H203" s="162" t="s">
        <v>10</v>
      </c>
      <c r="I203" s="162" t="s">
        <v>11</v>
      </c>
      <c r="J203" s="162" t="s">
        <v>12</v>
      </c>
      <c r="K203" s="163" t="s">
        <v>4</v>
      </c>
      <c r="L203" s="200" t="s">
        <v>49</v>
      </c>
      <c r="M203" s="163" t="s">
        <v>50</v>
      </c>
      <c r="N203" s="200" t="s">
        <v>51</v>
      </c>
      <c r="O203" s="163" t="s">
        <v>52</v>
      </c>
      <c r="P203" s="163" t="s">
        <v>9</v>
      </c>
      <c r="Q203" s="163" t="s">
        <v>10</v>
      </c>
      <c r="R203" s="163" t="s">
        <v>11</v>
      </c>
      <c r="S203" s="163" t="s">
        <v>12</v>
      </c>
      <c r="T203" s="175" t="s">
        <v>53</v>
      </c>
      <c r="U203" s="66"/>
      <c r="V203" s="66"/>
      <c r="W203" s="66"/>
      <c r="X203" s="66"/>
      <c r="Y203" s="66"/>
    </row>
    <row r="204" ht="21.0" customHeight="1">
      <c r="A204" s="148" t="s">
        <v>74</v>
      </c>
      <c r="B204" s="166">
        <f>14-1-3+1+3-1-1-1+1+1-1-1-10+1+1+10-1+1-1+3+1-1-1-1+1-1-1-1+1+1+1-1+1+1+1-1-1+1+1+1+1-2+2</f>
        <v>18</v>
      </c>
      <c r="C204" s="166">
        <f>21-2+2-1+1-1+1-1+1+1+1-1-19+19-1+1-1+1-1-1+1-1-1-1-1+1+1+1-1-1-1+1+1+1+1+1+1-2+1-4+2-3-1-1-2+1+3-2+2+1+4-1-2+2-1-1-1-1+1+2+1+1+1+1+1-1-2+1+2-1-5-1+5</f>
        <v>23</v>
      </c>
      <c r="D204" s="166">
        <f>21-1-4+4-3+3+1-1-1-1-1+1+1+1+1-1-20+1+1+20-1-1-1+1+1+1-1-1-1-1+1+1+1-1-1-1+1+1-1+1-1-1+1+1+1+1-2-1-1+2+1+1-1-1-1+1+1+1-1+1-1+1-1-1+1+1-1+1+1-1-3-1+1+3</f>
        <v>22</v>
      </c>
      <c r="E204" s="167">
        <f>19-1-1+1+1-2+2+2-1-1-1-1+1+1+1+1-20-1+18+1-1+1+1+1-1-1-1-1+1+1-1+1+1+1+1-1-1-1+1+3+1-1-1+1-1-1-1-2+1-1+1+1+1+1-1-4+1+1-1+4+1-1-1+1+1+1-1+1-1-2-1+1+2+1</f>
        <v>24</v>
      </c>
      <c r="F204" s="166">
        <f>13-1-2-1+1+2+1-2+2-1-1+1+1-10+10-1-1-1+1-1+1+1-1-2-1-1+1-1+2+1+1-1-1+1-1+1-2+1+1+1+1-1-1+1+1-1+1</f>
        <v>12</v>
      </c>
      <c r="G204" s="166">
        <f>23-1-6+1+6-1-1+1+2-1-1-1+1+1-2+1+2-1-2+1+2-1+1</f>
        <v>24</v>
      </c>
      <c r="H204" s="166">
        <f>1-1+1-1+1+1-1-1+1+1-2+2</f>
        <v>2</v>
      </c>
      <c r="I204" s="166">
        <f>8-1-1</f>
        <v>6</v>
      </c>
      <c r="J204" s="166">
        <f>6+1-1+1-2+2</f>
        <v>7</v>
      </c>
      <c r="K204" s="165">
        <f>16+10-1-1+1-1+1-1+1-8-1+8+1-1+1-1+1-1-1+1+1-1-1+1+1-1+1-3-1+3-1-9-1+1+9</f>
        <v>23</v>
      </c>
      <c r="L204" s="165">
        <f>6+1+1+2-1-3+2-2-1+1+3-1+1-1-1-1+1-2+1-1-3-2+2-1-1+1-1+1+1+1+3+3+1-1-2-2-1-1-1-1+1+1+2+2+1+1+1+1+1-1-3-1-1-1+1+3+1-1-2-1-3-1-2+1+1+1+3</f>
        <v>6</v>
      </c>
      <c r="M204" s="165">
        <f>45-2+1-1-2-1+2-3-1-4+4-2+3+1+2+1-1-1-4+2+2-1-1-1+1+4+1-1-1+1-3+3+1+1+1-1-1-1-1-1+1-40+1+1+1-1+40-1-1-1+1+1+2+1-1+1-1-1+1-1+1+1+1-2-2-1-1-2-4-1-1+2+2+1+1-1-2-1+1+4+2-1-1-3+2+1-3-1+1+1+1+1-1-3-6+3+3+1-1-5-2-2+1+3+1+6+2+2+5-1-1+1-2-3-1+1-1+3-1-1+1-3+1-2-2+1+1+3+2</f>
        <v>43</v>
      </c>
      <c r="N204" s="165">
        <f>35-1-1+1+1-1-1-4-1-1-3-1+3+1+4+1+1+1-1-1-3+1-1-1-2+1+1-4-1+1+3-1+1+2+4-1+1+1+1-2-1-1-4-1-20+1+1+4-1+1+20-1-3+1+2+3-1+1-1-1-1-1-2+1+1+1-1-1-1+1-1-1+1+2-1+1+1+1+1-2-3-1+1+1-4-3-1+3+2-2-2-3+4+1+3-2-1+1-3+1+2+2+1-1-5+3+1+2-7-5-7+5+1-2-1-1+7+5-2-2+7-1+1+2+1-1+2+2-1-1-2-1-2-1+1+2+1-1+2+1-1-4+1-3-5+4+3</f>
        <v>25</v>
      </c>
      <c r="O204" s="165">
        <f>30-1+1-3-1-1+3+1-1-1+1+1+1-1+1-2-18-1+2-1+18+1+1+1-1-1-1+1+1+1-2-2-2-1-1+2-1-1-1-1-1-1+1+2+1-2-2+1+1+1+2-2+1-1+2-1-2-3-1+1+1+1+1-2-1-1-3+1+3+2-1+2+1+1+1+3+1-1-1-1+1+1-1-6-1-5-2+1+6</f>
        <v>19</v>
      </c>
      <c r="P204" s="190">
        <f>16-2+2-3-1+1+3-2-1-1+2+1+1-9-1+9-1+1+1-1-1+1+1-4+1-1+1-1-1-1+1-1-1-1+1+1+1+4-1+1-1+1-1-1-3+1-1+1+1+3+1-1-1-5-1+1+1</f>
        <v>10</v>
      </c>
      <c r="Q204" s="165">
        <f>15+1-1+1-6-1-1+6+1+1-1+1+1-1-1-2+1-1-1-1+2+1+1+1-1-1+1+1-1+1</f>
        <v>16</v>
      </c>
      <c r="R204" s="165">
        <f>8-2+2-1-1+1+1</f>
        <v>8</v>
      </c>
      <c r="S204" s="201">
        <f>5-1+1-1+1-1+1-1</f>
        <v>4</v>
      </c>
      <c r="T204" s="166">
        <f t="shared" ref="T204:T215" si="117">SUM(B204:S204)</f>
        <v>292</v>
      </c>
      <c r="U204" s="113"/>
      <c r="V204" s="66"/>
      <c r="W204" s="66"/>
      <c r="X204" s="66"/>
      <c r="Y204" s="66"/>
    </row>
    <row r="205" ht="21.0" customHeight="1">
      <c r="A205" s="148" t="s">
        <v>15</v>
      </c>
      <c r="B205" s="166">
        <f>13+1-1+1-6+6-1+1-1+1+2</f>
        <v>16</v>
      </c>
      <c r="C205" s="166">
        <f>14-1+1+1+1-2-1+2-1+1+1-1-1-6+1-3+6+1+3+6-1+1-1-1+1-1+1-1+1-1-1+1+1-1-1+1-1+1+1+1+1-1-1+1-1-1+1-1-1-1-1+1-2+1-1+1+1-1+2+1+1+1-1+1-1+1+1+1-1-2-2</f>
        <v>19</v>
      </c>
      <c r="D205" s="167">
        <f>22-1+2+2+1-3-1+3-1+1+1-4-1-1+1+4+1-1-1+1+1+1+1-3-2+3+2-1-5-1-1-1-1+1+1+1+5-1-1+1+1-1+1-1-1-2+1+1+2+1-1-1-3-1+1+1-3+3+1-5-1</f>
        <v>18</v>
      </c>
      <c r="E205" s="166">
        <f>15+1+1-2+2-1+1-1+1+1-1-1-1+1+1+1+1-1+1-1+1-1-3-2+1-1+2+1+3-1+1+1-1+1+1+1-1-1-1+1-1+1+1+1-1-1+1-1+1-4-2</f>
        <v>15</v>
      </c>
      <c r="F205" s="166">
        <f>23+1-2+2-1+1-1-1-3+1-1+1+1+3-1-1+1-1+1-1+1-1</f>
        <v>22</v>
      </c>
      <c r="G205" s="166">
        <f>19-1-1-1-1+1+1-1-1+1+1+1+1-1+1-1+1-1-2+1+2</f>
        <v>19</v>
      </c>
      <c r="H205" s="166">
        <f>11-6-1+6+1-1-1+1+1-1+1-1+1-1</f>
        <v>10</v>
      </c>
      <c r="I205" s="166">
        <f>9-1-1+1</f>
        <v>8</v>
      </c>
      <c r="J205" s="166">
        <f>8</f>
        <v>8</v>
      </c>
      <c r="K205" s="190">
        <f>13+1-1+1-12+12-1-1+1-1-2+1+2-2-1</f>
        <v>10</v>
      </c>
      <c r="L205" s="165">
        <f>20+5-1-1+1-1-1+1+1+1-3+3-2-6-1+6+2-1+1-1-2-1-2+1-1+1+1+1+2-1+1+1-1+1-2-2-1-1+2+1-1+1+1-1-1+1+1-1-1-1-1+1-1+1+1-3-1-1-1-1+3</f>
        <v>16</v>
      </c>
      <c r="M205" s="165">
        <f>35+7+2-1-1+1+1-2-1+1+2+1+1-1-1-2-1-1-4-1+4+1+1-1+1+1+2+1+1-1-9-1-1-12-1-2+2+1+12+1+1+9-1+1-1+1-1+1-1-1-1-3-1+1-6+1+1+1+6+3+1-3-1-3-1+1-1-1+3+1-1-1-1+1+1+3-1+1-1+1-1-1+1+1-1+1-1-1+1+1+1-1-2-3+1+1-1+2-1-1-1+1+3-1-1-2+1+1+1+1-1-2-2+2+1+1-1-1-1+1+2-1-2+2+1+1-1+1+1-1-1+2+1+1+1+1-3-7</f>
        <v>37</v>
      </c>
      <c r="N205" s="190">
        <f>40-1-1+1+4-1-1+1-1-2+1-1+2+1+1+1-3-1-1+3-2-1+1+2+1-10-1+1-3-24-1+1+1+24+10+3-1-1-1-3-1-3-1+1+1+1+1+2+3-1-1-1-2-1+1-3+1+1+2+1-1-2-1+3+2+1-3-2+1-1-1+3-1-1+2+1+1+2-1-1+1-1+1+1-1+1-1+1+1+1+1-4-2-3-2+4+2-1-1+1+1+3+2+3+1+1-1-1+1-1+1+1+1+1-2-1-1-2-1+1+2+1-1-1+1+2+1-1+1-2-8-2-1+1+2</f>
        <v>41</v>
      </c>
      <c r="O205" s="165">
        <f>11+3-1+1-4-1-2-2+1-1+1+2+1+4+2-2-1+2-1-1-2+1+1-1+2+1-5-2+5+1+2-1-1-1-1+1+1-1-1-1-1-2-1-4+1+1+1-1-1+1+2-1-1+1-1-1+4-1+1+1+2+1+1+1+1-1+1+1-1+1+1-1+1-2-9-1-1-3+2</f>
        <v>2</v>
      </c>
      <c r="P205" s="190">
        <f>21-1+1-2-2+1-1-1+1-1-3+1-2-1+2+1+3+1-1-1-6-1+1+2-1-1+2+1+1+1-1+1-1+1+1-1-9</f>
        <v>6</v>
      </c>
      <c r="Q205" s="165">
        <f>2+1+2-1+1-1+1+1-1+1-1+1-1-2+1+2</f>
        <v>6</v>
      </c>
      <c r="R205" s="190">
        <f>8-1+1-1+1-1+1</f>
        <v>8</v>
      </c>
      <c r="S205" s="201">
        <f>3-1+1-1+1-1-1+1-1+1-2</f>
        <v>0</v>
      </c>
      <c r="T205" s="166">
        <f t="shared" si="117"/>
        <v>261</v>
      </c>
      <c r="U205" s="113"/>
      <c r="V205" s="66"/>
      <c r="W205" s="66"/>
      <c r="X205" s="66"/>
      <c r="Y205" s="66"/>
    </row>
    <row r="206">
      <c r="A206" s="148" t="s">
        <v>102</v>
      </c>
      <c r="B206" s="166">
        <f>10-1-1+1+1-1+1+1-1+1-1-1-1+1</f>
        <v>9</v>
      </c>
      <c r="C206" s="166">
        <f>11+1-1-1+1+1-1-3+1+3-2-1+2+1+1+2-3-1-1-1+1-1+1-3+3+1+1-1+1-1+1-1-2-1+1+2+1</f>
        <v>12</v>
      </c>
      <c r="D206" s="166">
        <f>9-1+1-1-1-3+1+1+1+3-2-1-1+2+1+1-2+2-2+1+2-1+1-1+1+1-1-1+1+1-1+1-3+3-1+1-1+1-1+1-2-2-1+2-2+2+1+2-1-1-1+1+1-1+1+1</f>
        <v>12</v>
      </c>
      <c r="E206" s="166">
        <f>17+1-1-1+1+1+1-1-1+1+1+1-2-1+2+1-1-3+3+1-1+1-2+1-1+1+1-1+1-1+1-1-1-1-1+1+1+1-1-1-1+1+1+1+1</f>
        <v>20</v>
      </c>
      <c r="F206" s="166">
        <f>10-1+1-1+1-3+3-1+1-1+1-1+1-1-1-1-1-1+1+1-2-1+2+1</f>
        <v>7</v>
      </c>
      <c r="G206" s="166">
        <f>9-1-1+1+1+1+1-1+1-1+1-1+1-1+1-1+1-1+1+1-1+1+1</f>
        <v>13</v>
      </c>
      <c r="H206" s="166">
        <f>11-1-1+1-1+1</f>
        <v>10</v>
      </c>
      <c r="I206" s="166">
        <f>7-1+1-1+1+1-1+1+1</f>
        <v>9</v>
      </c>
      <c r="J206" s="167">
        <f>7-1+1+1-1+1-1+1+1</f>
        <v>9</v>
      </c>
      <c r="K206" s="165">
        <f>15-2+2-1+1-1+1</f>
        <v>15</v>
      </c>
      <c r="L206" s="165">
        <f>17-1-1+1-1+1+1-1+1-1+1-1+1-1-1+1+1-1-1-1-1+1+1+1+1+1-1-1+1</f>
        <v>17</v>
      </c>
      <c r="M206" s="165">
        <f>11+1-1+1-1+1-2-1-1-1-1+2-1+1+1+1-1-1+1-1-1+1+1+1+1-2+2-3+3</f>
        <v>11</v>
      </c>
      <c r="N206" s="165">
        <f>20-1+1-1+1-1+1-1-1+1-1+1+1-1-1+1+1-1+1+1-2-1+2+1-1-2+1+2-1+1-1+1</f>
        <v>21</v>
      </c>
      <c r="O206" s="165">
        <f>9-1+1-2+2-1+1+1-1-7+7-1-1-1+1+1+1</f>
        <v>9</v>
      </c>
      <c r="P206" s="165">
        <f>10+1-1-1+1+1-1-1+1-1-2+1+2-3-1+1-1+3+1+1-1</f>
        <v>10</v>
      </c>
      <c r="Q206" s="165">
        <f>8-3+3-1-1+1+1</f>
        <v>8</v>
      </c>
      <c r="R206" s="165">
        <f>8-1+1-1+1</f>
        <v>8</v>
      </c>
      <c r="S206" s="201">
        <f>9-1+1-1+1</f>
        <v>9</v>
      </c>
      <c r="T206" s="166">
        <f t="shared" si="117"/>
        <v>209</v>
      </c>
      <c r="U206" s="113"/>
      <c r="V206" s="66"/>
      <c r="W206" s="66"/>
      <c r="X206" s="66"/>
      <c r="Y206" s="66"/>
    </row>
    <row r="207" ht="21.0" customHeight="1">
      <c r="A207" s="148" t="s">
        <v>103</v>
      </c>
      <c r="B207" s="166">
        <f>11-1+1-1+1-1-1+1+1-1+1-1+1-2+2-1+1-1-1+1+1-1-1+1+1-1+1-2+2-1+1-1-2-1+1+2+1-2+2</f>
        <v>11</v>
      </c>
      <c r="C207" s="166">
        <f>3-1+1-1-1+1-1-1+1+1+1-1+1-1+1-1-1+1+1+1-1+1-1-1+1+1+1-1-1+1-2+2-1-1+1+1-1+1-2+2-1-1+1+1-2+2-1-1+1-1+1-3+3</f>
        <v>3</v>
      </c>
      <c r="D207" s="166">
        <f>9+1+1-1-2-1+2+1-2+2+1+2-1-1+1+1-1+1-2+1+2+1-2-1+2-2+1-1-1-1-2+1+1+1+2-4-1+4-1+1-1+1+1-1-1+1+1-3+3-1-1+1+1-1-1-1-1+1+1+1+1-1+1-1+1+1-1-1+1-2+1-2+2</f>
        <v>12</v>
      </c>
      <c r="E207" s="166">
        <f>3-1-1+1+1+1-1+1+1-1-1+1+1+3-1-1+1-1+1+1-1+1-1-2+1-1+1+1+2+1+1-1-1+1+1-1-2-1+2+1+1-2-1-1+2+1+1-1-1+1+1+1-2+2-5+5-1-1+1+1-1-2+1+2+1-1-1+1+1-1-1+1+1-1-3-1+1+3</f>
        <v>12</v>
      </c>
      <c r="F207" s="166">
        <f>8-1-1-1+1+1-2-1-1+1-1+4+1+1+1+2-1-1-1+1+1-1+1+2+1-9+9-3+1-2+1-1+1-1+1-1-1+1-1+1+1+1-2-1+2+1-1-1+1+1-1+1-1+1+1-1-2-1+2</f>
        <v>11</v>
      </c>
      <c r="G207" s="166">
        <f>8-1+1-1+1-2+2-1+1-1+1-1-1-1+1+1+1-1-2-1+1+2+1</f>
        <v>8</v>
      </c>
      <c r="H207" s="166">
        <f>6-6+6-1+1</f>
        <v>6</v>
      </c>
      <c r="I207" s="166">
        <f>9-6+6-1+1-2+2+1</f>
        <v>10</v>
      </c>
      <c r="J207" s="166">
        <f>8-8+8-1+1-1+1-2+2</f>
        <v>8</v>
      </c>
      <c r="K207" s="165">
        <f>8-2-1+2+1-1+1-1+1-2-1+2+1+2-1-1+1+1</f>
        <v>10</v>
      </c>
      <c r="L207" s="165">
        <f>20-1-1+1-1+1+1+1-4-1-1+4-1+1+1+1-1-1-1+1+1+1-1-1-1+1+1+1-1-2+1+2+1-1-1-1-3-1+1+1+3</f>
        <v>20</v>
      </c>
      <c r="M207" s="165">
        <f>28-1-2-1+1+1+2-1-1-8+8+1+1-2-1+2-1+1-1+1-4-1-1+1-4+1+4+1+4-1-1-1-1-4+1+1+1+4+1-1-1-1+1+1-4-1+1+1-1-1-1+4+1+1-2-1+1-2+2+1-1-3-1+2+1-1+3-1-3-3+3+1-1+3-2-1-4+1+1+4</f>
        <v>24</v>
      </c>
      <c r="N207" s="165">
        <f>21-1-1+1-1-1-1+1+1-1-1-6+6+1+1+1-2-1-1+2+1-1-1+1+1+1-2-2-5+2+2+5-1+1-1+1+1-1+1-1-3+1+3-1-1-1-5-1+1+1+1+5+1-1-1-1-6-1+1+1+1+6+1-4-2-2-1+4+2</f>
        <v>18</v>
      </c>
      <c r="O207" s="165">
        <f>17-1-1+1+1+1-1+1-2-1-1-1+2+1-1+1+1-1-1-3+1+3-1-1-1-1-1-3+1+1-2+1+1+3+1-1+2+1-3+3-1-3-1+1+3-1-3-2-1+3+2</f>
        <v>13</v>
      </c>
      <c r="P207" s="165">
        <f>13-1+1-1+1-1+1+1-2-4-2+1+2+4+2-1+1-1-1-1-1+1+1+1+1+1-1-1+1+1+1-1-1+1+1-2+2</f>
        <v>17</v>
      </c>
      <c r="Q207" s="165">
        <f>4-1-1+1-1+1</f>
        <v>3</v>
      </c>
      <c r="R207" s="165">
        <f>10</f>
        <v>10</v>
      </c>
      <c r="S207" s="201">
        <f>8-1+1-1+1-1</f>
        <v>7</v>
      </c>
      <c r="T207" s="166">
        <f t="shared" si="117"/>
        <v>203</v>
      </c>
      <c r="U207" s="113"/>
      <c r="V207" s="66"/>
      <c r="W207" s="66"/>
      <c r="X207" s="66"/>
      <c r="Y207" s="66"/>
    </row>
    <row r="208" ht="25.5" customHeight="1">
      <c r="A208" s="148" t="s">
        <v>17</v>
      </c>
      <c r="B208" s="166">
        <f>10-1+1-1+1+1-1+1-1+1-1-1+1+2-2+2</f>
        <v>12</v>
      </c>
      <c r="C208" s="166">
        <f>9-1-1+1+1-2-1-1+2+1+1-4-2+2-1+4-1+1-3-1-1+1+3+1+1+1-5+5-1-1+1-1-2+2+1+1-2+2-2-1+2-2+2+1-1+1-1+1-1-1+1-1+1+1+1-1+1+1</f>
        <v>12</v>
      </c>
      <c r="D208" s="166">
        <f>14+1+3-1+1-1-1-1+1+1+1+1-6+1+6-1-1+1-1-1+1-3-1-1-1+1+1+1+3-1+1-11-1-1-1+1+14-5-1+5+1-4+4-3+3-1+1-1+1-1+1-1-1-1-1+1+1+1+1+1-3-1-1+1+1-1-1+3+1</f>
        <v>19</v>
      </c>
      <c r="E208" s="166">
        <f>10-1-2-1-1-1+2+1+1-1+1-2+1-1+1-5+1+2-1+1-3-1-1+1+1+3+5+1-1-1-5-1-2+1+1+2+5-1-1+1+1+8-8+1-1+1-2+1-1+1-2+2-5+5+1-1+1-1+1-1+1-1+1</f>
        <v>11</v>
      </c>
      <c r="F208" s="166">
        <f>9-1-1-2-1+2+1+1+1+1-1-3-1+1+3-2+1+1-1+1-1-1+1+2+1-1-1-1-1-1-2-1+1+1+2-1+6-1-1-1+1+1-1+1-1+1-1-1-2+1+2+1-1-2+1+2-1+1-1+1-1-1</f>
        <v>9</v>
      </c>
      <c r="G208" s="166">
        <f>9-1-1+1-1+1-1+1-2-2+2+2-1+1-1+1-1-1+1+1-2-2+2-1+1-1+1</f>
        <v>6</v>
      </c>
      <c r="H208" s="166">
        <f>5-2-3+3-1-1+1+1+1+1</f>
        <v>5</v>
      </c>
      <c r="I208" s="166">
        <f>5-1+1-2+2-1</f>
        <v>4</v>
      </c>
      <c r="J208" s="166">
        <f>5+2</f>
        <v>7</v>
      </c>
      <c r="K208" s="165">
        <f>13+2-1+1-2+2-1+1</f>
        <v>15</v>
      </c>
      <c r="L208" s="165">
        <f>21-1+1-4+4-3+3-1-1-1+1-1-1-1+1+1+1+1+1-1-1+1+1-1-1+1+1-1</f>
        <v>20</v>
      </c>
      <c r="M208" s="190">
        <f>21-3+3+2+1-4-1-1+4+1+1-1-1-1+1+1-1+1-3+1-1-1+3+1+1-3-1-1+1+3+1</f>
        <v>24</v>
      </c>
      <c r="N208" s="165">
        <f>12+3-3+3-2-1-5+5-1+1+1+1-1-1-2-1+1-3+1-2+1+2-3-2-1-1+2+3+1+1-2</f>
        <v>7</v>
      </c>
      <c r="O208" s="190">
        <f>15-2+2-1-1-4+4-1+1-1-1-1-1+1+1-2+1+2+1-3-1+1+3-1-1+1</f>
        <v>12</v>
      </c>
      <c r="P208" s="165">
        <f>17-1-4+4-1-1+1+1+1-1-1+1+1-1-1+1+1</f>
        <v>17</v>
      </c>
      <c r="Q208" s="165">
        <f>8-1+1+1+1+1-1-1</f>
        <v>9</v>
      </c>
      <c r="R208" s="165">
        <f>8</f>
        <v>8</v>
      </c>
      <c r="S208" s="201">
        <f>6-1+1-2+2-1+1</f>
        <v>6</v>
      </c>
      <c r="T208" s="166">
        <f t="shared" si="117"/>
        <v>203</v>
      </c>
      <c r="U208" s="113"/>
      <c r="V208" s="66"/>
      <c r="W208" s="66"/>
      <c r="X208" s="66"/>
      <c r="Y208" s="66"/>
    </row>
    <row r="209">
      <c r="A209" s="148" t="s">
        <v>14</v>
      </c>
      <c r="B209" s="166">
        <f>8+1+1-1-1+1+1-2+2-2-1-1-1+1+1-1-2+1+1+2-1+1+1-1-1-2-1+1+1+2+1-1-1+1-1+1+1-1-1+1+1-1+1+1+1-1-1-1+1-1+1+1+1-1+1+1+1-1+1-2-6+2+6-1-1+1+1-1-1-1+1+1+1+1-1-3+1-3-1-1-1-2-1+1+1+3+2-2+1-1-1+1+1+1-1+2+1-1-1-1+1+1+1-1-1-2-1+1+2</f>
        <v>9</v>
      </c>
      <c r="C209" s="167">
        <f>13-2-3+1+3-1+3+2-1-1+1-1+1+1+3-3+1-1-1-1+1-2+1+1+2+1-1+1+1-1-1-1-1+1-3+1+1+1-2+2-1+3+1-2-1-1-1-2+2+1+1+1+1+2-3-6-1+1-1-1-1-1-1+6+3+1-1-1-1+1+1+1+3-2+1-2-1+2-1-1+1+1+1-2-4+1+2-1+4+1-1+1+1-1-1+1-1+1+2-1+1+1+1-1-1-1+1-1-1-1+1+1-1+1+2+1-3-1-1+2-1+1-1+1+1-3+3-1+1+1-2-1+2+1-1-1+1-1-2-1-1-1+1+2+1+1+1-12+1+12-2-1+2+1-1-1-1+1+1-1+1+1-6-3-1+6+1+3-1-1+1-1+1-1+1-2-1-1-1-1+1-1-1+1+2+1+1+1+1+1-1-1-3-1+1+3+1-1-4+1-1-1+1-1-1+1-1-1+1+1+1+1+1+1-1-1-2+1+1+1-1+1-2+2-1-1-4-1+1-1+1+1+4</f>
        <v>17</v>
      </c>
      <c r="D209" s="180">
        <f>8-1-2-1-1+1-1+2+1+1+1+3+1+1-2-1+1+1-3+1-1-1-1-2+1+2-2+1+1+2</f>
        <v>10</v>
      </c>
      <c r="E209" s="166">
        <f>11-2+1+1+1+4+2-1-1+1-5-1+1+1+5+1-1+1+1-3+3+1+1-1-1-1+1+1-3-1+1-1+3-2+1+1-1+1+2-2-1-1+2+1-1-1-1-1+1+1+1-1+3-2+1-2+1-2-1+1+1+2+1+2-2-1-1+1+2-1-2+1+1-1+1+1+1+2-3-1-1+1-1+1-1-3+1-1+1+1+3-2+1-1-1+1-1-2-1+1+1+2+1+1-1+1+3-1-2+1-1+1+1-1-1-5-1+1+1+1+5+1-1-12+12-1-1+1+1-19+1+19-2-4+2+4-1-1+1-1+1+1-4-1+4+1+1-1-1-1-2-1-3+1-1-1-1+1+2+1+3+1-3+1+1-2-2-1-1-1+2+3+1-1+1-1+2+2-1+1+1-1-1+1-1-1-1+1+1-1+1+1-1+1-1+1+1-1+1+1+1-1-1-1+1+1+1</f>
        <v>28</v>
      </c>
      <c r="F209" s="167">
        <f>0+7+1-1-1-2+1+1+1+1+3+1-1-1-1-1-1+1+1+1-1-1-1+1+1+1-3-1+3+1-2+2+1-2+2+1-1-2+1+1-1+1+1-2-1-1+2-1+1+1-1+1+1-1+1-1-4+1+4+1-1+1+1+1+1-1-1-1-1-3+1-1-1-1-1+1+1+3-1+1+1-3+1+1-1-1+1-1+1+3-1-1-2+1+1-1+1+1+1+1-1-1-1-2+1+1+1-1+1-1-1+1+2+2+1+1+1-1+1</f>
        <v>18</v>
      </c>
      <c r="G209" s="166">
        <f>2+1+1+3+1-1+1-2+1-1+2-1+1+1-1+1+1-1-4+1+1-1-1-2-2-1+1+1+2-1+4+1+1+2-1-1-2+1+1-5+2+1+3+2-3-1-1-1+1-1+1-1-1+1+1-1-1+1+1+1-1-1-1+1-1+1-2+1+1-1-1+1+1-1+2+1+1+1-1-1-1+1-2+1+1-2-1-1+2+1-1+1+1-1+1+1</f>
        <v>9</v>
      </c>
      <c r="H209" s="166">
        <f>6+1-1+1-1-1+1-2-1+1+2-1+1+1-2+1-1+2-1+1+1-1-1+1-1-1+1+1-1+1+1-1+1+1-1+1-1+1+1-6-1+6+1-1+1+1-1-1+1+1-1+1-1-1+1-1+1-1-1-1-1+1+1+1+1+1+1-1+1-2+1+2</f>
        <v>13</v>
      </c>
      <c r="I209" s="166">
        <f>4+1-1+1-1+1+1-1+1-1+1-1+1-1-3+1+2-1-1+1+1-1+1-1-3+3-1+1-1+1-1+1-1+1-1+1+1</f>
        <v>5</v>
      </c>
      <c r="J209" s="166">
        <f>5+1-1-1+1+1-1-1+1-1+1+1-1+1-6+6-1+2-1+1+1-1-1+1+1-1+1-2+2+1-2+2</f>
        <v>9</v>
      </c>
      <c r="K209" s="165">
        <f>8-1-2+1-4+2+4-1+1-1-1+1-1+1-1-2+1-1+2-1-1+1+1-3-1+1-1-1-1+1+1+1-1+1-2+1+2-1-1-1-1+1+1+1</f>
        <v>3</v>
      </c>
      <c r="L209" s="165">
        <f>19+1-1-1-1-1-2+1-1+1+1+1-6-2+2+1-1+6+1+2-1-1+1-1-1+1-1+1+1+1-5+1+1+5-1+1-1-1-4+1-2+1-1-5+4-1-1-2-1+1+2-1-1+1+1+5+1+2-1-2+1+1+1+1-1-1+2-1-1-1-1+1+1+1+1-1+1-1-1-2-2+1+1+1+2+1+1+1-1-1-1-1-1+2-1-1-1+1+1+1+1-1-1+1+1-1-1+1+1+1+1-2+1-1-1-1-3-1-1+2-1+1+1+2+1-1+1+3+1-1+1+-1-1-4-1+1-4-1+1-1+1+1+4</f>
        <v>19</v>
      </c>
      <c r="M209" s="165">
        <f>37-1+1+1-1-1-1-1-1-1+2+1+1+1-6-1-1-2-1-1-3-1+1+7+1+1+1+1-1-1+1+1-13-1-5+1+3+1+1+2+1+1+1-3+13+1-1-4-1+4+3+1-1+1+5-1+1+1+1-1-1-1-1-2-1+1+1-1-4+1-1-1-2-1-1+2+1+2+1+1+4+1+1-1-9-4-1-1+1+1-1-1+9+1+1+4+1+1+1-1-1-2-1-4+1+1+1-1+2+1-1-2+4-6-1-3-3-2+1-1-2-3-1-1-1-3-2+6+2+1+2+3+1+3-1+1+3+1+2+2+3-1-1-1-1-10+1+1+1+1-1-1-2-1-1-2-1-1+1+1+1+10+1-2-2-2+1+1+1+2+1-1-1-1+1+2+1+2+1-2-2-3-1-1+2+1+1+1-1+2+2-1-1-1-1-6-1+2+1+1+1-1-2-3+1+1+1+1+1-4+1+1+6+1-7-2+1+3+2-1-2+4-2-1-1-1+1+2-1-1-4-1-1-1+1+1+1+1+1+7+2-1-1+1-3-2-5-1+1+3+1+1+1-2-1-3-1-1+1+1-5-5-1+5+2+1-6-1+1+3+5+5</f>
        <v>32</v>
      </c>
      <c r="N209" s="165">
        <f>17-6+1+1+1-3-1-1-6-1-2-1+6+3-1-1-2+1+1+2-1-1+1+1+1+6+1-2-1-1+2-3+3+1+1+2+1-1-2-1-1-2-1-1-2+2+1-1-1-2-1+1+2+1-1-1+1+1+2+1+2+1+1+1-1-13-1-2+1-1-1+1-1+13+1+1+1+2-1+1-2-1+1+1+1+1+2-1-1-1-1-2+1+1+1+1+1-1-1-1+1+1-1+2-1-1-2-4+1+1-1-2+1-1-1-1-5-1-1+1+1+4+1+2-1-1-1+2+1-1+5+1+1-1-1-1-1+1+1+1+1+1-2-2-1-3-1+1+1+1+1+1-3-3-2-2+2+3+3+2+1-1-1-1+1-1-1+3+1-1-1+1-3-1+1+2+1+2-1+1+1+1-5+1+3+1+3+1-1-6-1-1-1-2-10+1+1+1+5-1-3+6+1-7-1+1+1+2+10-1-1-6+1+3-1-2-1+7+1-2+1+1-1-1-1-1-1-4-2+1+2+1+1+6+2+1-1+1-2-1+4+1+1-4-1+2-1-1-4-3+1-1-1-1+1+1+4</f>
        <v>15</v>
      </c>
      <c r="O209" s="165">
        <f>11+2-2-1-1-1-1-1-1+2+2+4+1-2-1+1+1+1-13-1+1+1+2-1-2+7+1-1-1+2+1+1+1-1+1-1-1-1-1-1-1+1-2-2+1+1+1-1+1+1+1+2+2+1-3-1-1-1-1-2+1+3+1-1+1+1+1+2+1-1+1+1-1-1-2-1-1+1+1+1+1+6-1-1-4-1-1-1-1-1-3-1-1-2+1+1-1+1+3-1-1-1+2-1-1+1-1+1+1+1+1-1-2-1-1-1-1+1+1+1-1-1+2+1+1+1+4+1-4-1+2+3-5-4+1-1-1+1-2-1+1+1</f>
        <v>1</v>
      </c>
      <c r="P209" s="165">
        <f>5-1-1-1+1-3+1+1-2+3+2-1-2-1-1+1-1+1+2-1+1+1+1-1+1+1-1-1-1-1-2+1+1+1+1-1-1+1-1-2-1+1+2+1+1+2-1-1+1+1+1-1-1+1+1+1+1+1-1+1-1-1+2-3+1-1-1-3+1+1-1-1+3+1+1-2+1-1+1-3-1+2+4+2+1-1-1+1+1-1+1+1</f>
        <v>13</v>
      </c>
      <c r="Q209" s="165">
        <f>25+1-4+4-1+1-1-1-1+1+1+1+1-1+1-3-1+3-1-1+1-4-1+4+1-1+1+1-1-3-1+1+1+3+1-1+1</f>
        <v>27</v>
      </c>
      <c r="R209" s="165">
        <f>2-1+1-1+1-1+1-1-1+1+1+1-1-1+1+1-1+2-1+1-1+1+1-1</f>
        <v>4</v>
      </c>
      <c r="S209" s="201">
        <f>13-4-1+4+1-1+1+1-1-1-1+1-1+1+1+1-3+3+1</f>
        <v>15</v>
      </c>
      <c r="T209" s="166">
        <f t="shared" si="117"/>
        <v>247</v>
      </c>
      <c r="U209" s="113"/>
      <c r="V209" s="66"/>
      <c r="W209" s="66"/>
      <c r="X209" s="66"/>
      <c r="Y209" s="66"/>
    </row>
    <row r="210" ht="21.0" customHeight="1">
      <c r="A210" s="148" t="s">
        <v>21</v>
      </c>
      <c r="B210" s="167">
        <f>4-1+1-1+1-2+1-1+1+2-1-1+1+1-1+1-1+1-2-1+2</f>
        <v>4</v>
      </c>
      <c r="C210" s="167">
        <f>11+1-1+1+1-1-3+3-1+1-1-1+1+1-2+1+2-1-1+1+1-2-1+2-1-1+1-1+1+1-4+4-1-1+1+1+1-2+2-3-1+3+1</f>
        <v>13</v>
      </c>
      <c r="D210" s="166">
        <f>11+1-1+1-1-3-1+3-1-3+1+3-1+1+1-2+2-1-1+1-1+1+1-4-1-1+1+4+1+1-1+1-1-1-2+1+2-1-4+1+4+1-1-3+3+1-1-1-1+1+1+1-1+1-1+1-1+1</f>
        <v>12</v>
      </c>
      <c r="E210" s="167">
        <f>9-5+5-1+1-3+1+1+2-1-1-1+1+1-1+1-1+1-1-1+1+1+1+1+1-1-1-2+1+1+2-1-1-3+1+3+1-5-1+5+1-2+2-1-2+1+2-1+1-2+1+2+1-1+1</f>
        <v>14</v>
      </c>
      <c r="F210" s="166">
        <f>11-1-1-1-1+1-1+1-1+1+1-2+2-1-1+1+1-1+1-1-1+1+1-2+2-1+1-1-1+1-1+1+1+1-1+1-1</f>
        <v>9</v>
      </c>
      <c r="G210" s="166">
        <f>7-3+3-1-1-1+1+1-1+1+1+1-1+1-1+1-1-1+1+1-1+1-1+1-1+1</f>
        <v>8</v>
      </c>
      <c r="H210" s="166">
        <f>7+3-2+2-1-1-1+1+1+1+1-1-1+1+1-1-1+1-1+1+1+1</f>
        <v>12</v>
      </c>
      <c r="I210" s="166">
        <f>K10649+7-1+1-1+1-1+2+1+1</f>
        <v>10</v>
      </c>
      <c r="J210" s="166">
        <f>8-1+1</f>
        <v>8</v>
      </c>
      <c r="K210" s="165">
        <f>5-1+1-1+1-1+1-2-1+1</f>
        <v>3</v>
      </c>
      <c r="L210" s="165">
        <f>14-1-3+1+1+2-1-1+1+1-1-1+1+1-1-1-1+1+1+1-1+1-2-3+1+3-1-2-1+2</f>
        <v>11</v>
      </c>
      <c r="M210" s="165">
        <f>26+1-2+2-1-4+4+1-3+3-1-1-9-1+1+1+1+9-1-1+1+1-1-1-1-1+1+1-1+1-1+1+1+1-2+2-1-1-2+1-1+1+2-2-1-2-6+2+1+2-1-1+1+6-5+1+5-2+3</f>
        <v>27</v>
      </c>
      <c r="N210" s="165">
        <f>22+1-1-6+6+1-1-2-1-10+1+2-1+1+10+1-1-1-1-5-1+5+1+1-1+1-1-1+1-1+1+1-1+1+1-4-1+4-1+1-1+1-2-6+1-1-1+2+6-3+1+1-1+3-1-1-1+1+1+1-1-3+1+3</f>
        <v>21</v>
      </c>
      <c r="O210" s="190">
        <f>15-1+1-2-2+2+2-1-1-4+1+1+4-4+4-1-1+1-7+1-1+7+1-1-1+1+1-2-1-1-1+2+1+1-1-3-1+1+1+1+3-1-2+1-1+2+1-1-1-1+1-1+1+1-1+1</f>
        <v>14</v>
      </c>
      <c r="P210" s="165">
        <f>6-1+1-2-1+1+2-1+1-2+2-1-2+1+2-1+1-1+1+1-1-1+1</f>
        <v>6</v>
      </c>
      <c r="Q210" s="165">
        <f>2-1-1+1+1-1+1-1+1-1+1-1+1-1</f>
        <v>1</v>
      </c>
      <c r="R210" s="165">
        <f>6+1-1</f>
        <v>6</v>
      </c>
      <c r="S210" s="202">
        <f>5-1+1-1+1</f>
        <v>5</v>
      </c>
      <c r="T210" s="166">
        <f t="shared" si="117"/>
        <v>184</v>
      </c>
      <c r="U210" s="113"/>
      <c r="V210" s="66"/>
      <c r="W210" s="66"/>
      <c r="X210" s="66"/>
      <c r="Y210" s="66"/>
    </row>
    <row r="211" ht="21.0" customHeight="1">
      <c r="A211" s="148" t="s">
        <v>104</v>
      </c>
      <c r="B211" s="166">
        <f>6+1-1+1-1-1+1-1+1+2+1</f>
        <v>9</v>
      </c>
      <c r="C211" s="166">
        <f>5+1-1+1-1+1-1+1+1-1+1-1+1+1-2-1-1+1+1-2-1+2+1-1+1-1</f>
        <v>5</v>
      </c>
      <c r="D211" s="166">
        <f>6+1-1-1+1-2+2-1+1-2+2-1+1-1+1-1+1-1+1+1-2+2-1+1-1+2+1-1+1+1-2+2+2-1+1-1+1-1+1</f>
        <v>12</v>
      </c>
      <c r="E211" s="166">
        <f>0+6-2+2-1+1-1+1-1-1+1-1+1-1-1+1+1-1+1+1-1+1-1+1-1+1-1+1+1</f>
        <v>7</v>
      </c>
      <c r="F211" s="166">
        <f>5+1-3+3-1-5+1+5-2+2-1-1+1+1+1+1+1-2+1+2</f>
        <v>10</v>
      </c>
      <c r="G211" s="166">
        <f>0+1+3-1-2+1+1+2+1-1+1-1-1+1+1+1-2+2-1-1+1+1-1+1-1-1+1+1+1+1</f>
        <v>9</v>
      </c>
      <c r="H211" s="166">
        <f>4+1-1+1-1+1-1</f>
        <v>4</v>
      </c>
      <c r="I211" s="166">
        <f>4+1-1+1</f>
        <v>5</v>
      </c>
      <c r="J211" s="166">
        <f>4+1</f>
        <v>5</v>
      </c>
      <c r="K211" s="165">
        <f>12-1+1-2+2-1+2</f>
        <v>13</v>
      </c>
      <c r="L211" s="165">
        <f>15-1-2+1+2-1+1-1-1+1+1+2+1</f>
        <v>18</v>
      </c>
      <c r="M211" s="190">
        <f>18-1-1+1+1-5+5-1+1-1+1-1+1+1-2-1-1-1-1+1+1+1-1-2+1+1-1+1+2+1-1+1+2</f>
        <v>20</v>
      </c>
      <c r="N211" s="165">
        <f>17-1-6+1+6-1-2+1-1+2-1-1-1+1+1+1-2-1+3+2+1-1-3+3+1+3-1+1+2</f>
        <v>24</v>
      </c>
      <c r="O211" s="165">
        <f>16-2-1+2+1-1-1+1+1+1-2-1+2-1-1+1-1-1-1+1-1+1+1-1+1+1+1-1+1-1-1+1+1</f>
        <v>16</v>
      </c>
      <c r="P211" s="165">
        <f>13-1-3+1+3-1+1-1-3+1+3-1+1+1</f>
        <v>14</v>
      </c>
      <c r="Q211" s="169">
        <f>8</f>
        <v>8</v>
      </c>
      <c r="R211" s="165">
        <f>5-1+1+1</f>
        <v>6</v>
      </c>
      <c r="S211" s="201">
        <f>5-1-1+1+1</f>
        <v>5</v>
      </c>
      <c r="T211" s="166">
        <f t="shared" si="117"/>
        <v>190</v>
      </c>
      <c r="U211" s="113"/>
      <c r="V211" s="66"/>
      <c r="W211" s="66"/>
      <c r="X211" s="66"/>
      <c r="Y211" s="66"/>
    </row>
    <row r="212" ht="21.0" customHeight="1">
      <c r="A212" s="148" t="s">
        <v>105</v>
      </c>
      <c r="B212" s="166">
        <f>5-1-1+1-1-1-1+1+1-1+1-1+1+1-1-1-1+1-1-1+1+1+2-2+2-1+1-1-2+1+2-1-2+1+2-1+1</f>
        <v>4</v>
      </c>
      <c r="C212" s="166">
        <f>9-1+1-1-1-1+1+1+1-1-1-1+1-2+1+1-1-1+2+1-1+1-1+1+1+1-1-1-1-1+1+1-2+1-2-1+2+2+1-1+1-2-1+1+2-2+2-1-1+1-4+4-2+2-1+1-1+1-1-2+1+2-1-1-1+1+1-1-2+2+1-1-1-1-2+1+1+1+2-4-1+4+1-1-1-1+1</f>
        <v>5</v>
      </c>
      <c r="D212" s="166">
        <f>0+1+5-1-1+1-2+1-1-1-1+3+1-1+1-4+1+4+1-1-1+1+1-2-1-1-3+1-1+1+2-1+3+1-1+1-1+1-1-1+1+1+1-1+1+1+10-1+1-2-2-2+2+1+1+2+1-8-1+1-1-1-1+1+1-3-3-1+3+3-1+1+1-1+1-1+1-1+1-2+2-2-1+2+1-1+1-1-1+1-1</f>
        <v>8</v>
      </c>
      <c r="E212" s="166">
        <f>7-1+1-1-1+1-1-1-1+1-1+1-1+1+1+10+1-1+1-2+1+2-1-1-1-1-1+1+1+1+1+1+2-1-2-1-1-1-1+1+2+1+1+1+1-1+1-1-2-1+1+1+2+1+1-4+1+4+1-4+2-2-1+1+1+1-2+2-2-1+2+1-1+1-1-4+1+4-1+1-1-1-1+1-4-1+1+1+4-1-1+1+1-2+2-1+1-1+1-1-2</f>
        <v>17</v>
      </c>
      <c r="F212" s="166">
        <f>10-2+1-1+1+1-1+1-1+2-1-1-1+1-1+1+1-1+1+1+1-1-1+1-1+1-1+1+1-1-1-1+1-1+1+1-1-1+1-1+1+1+1-1+1-1-3+3+1-1+1+1-1-1+1-1+1-1-1+1-1-1+1+1-1-2-1-1+2+1+1+1-1+1-1</f>
        <v>10</v>
      </c>
      <c r="G212" s="166">
        <f>0+5-1-1+1+1-1+1-1+1-1-1+1-1+1+1-1+1-1+1-1+1-1-1+1+1-1-2+1+1+2-1+1-1+1-1+1-1+1</f>
        <v>6</v>
      </c>
      <c r="H212" s="166">
        <f>5-1+1-1+1+1-1+1+1-1+1+1+1-1-1+1+1-1+1-1+1-1+1+1</f>
        <v>10</v>
      </c>
      <c r="I212" s="166">
        <f>4+1-1+1-1+1-1+1+1-1+1+1-1+1-1+1-1+1+1-1+1+1-1+1</f>
        <v>9</v>
      </c>
      <c r="J212" s="166">
        <f>7-1+1-1+1+1</f>
        <v>8</v>
      </c>
      <c r="K212" s="165">
        <f>12+1-1-1+1+1+2+1-1-1+1+1-1-1+1</f>
        <v>15</v>
      </c>
      <c r="L212" s="165">
        <f>21-1+1-1+1+1-1+1-4-1+4+1-1-1-1-1-1+1+1+1+1-2-1+1-1-1+1+2+1-2+1-1-4+1+2-1-1-1-1+4-1+1+1+1+1+1-1-4+1+1-1+4-1-1+1+1+1+1-1-1-2-1-1+1</f>
        <v>19</v>
      </c>
      <c r="M212" s="165">
        <f>18+1-1-1+1+1-5-1+5+1+1-3-4-2+4+3-1-1-1+1+1+1+2-1+1+1+1+1-1+2+1-1-4-1-1+1-1+4-1+1+1+1-3-3+1-1-1+3+3-1-1+1+1-2-1-1+1+1-1-1+2+1-3-1+1+1-3-8+1+1+2-1-1+1-1-1-1-3-1-1+8+3-2+1+1+1+1+1+3-1+2+2+1-1-2-1+1+2-1-1-1-3-1+1+1+1+1+3-2-2+2</f>
        <v>22</v>
      </c>
      <c r="N212" s="165">
        <f>8+10-6-1+8+1+1+1-3-1+2-2-1-1-2-1-1+1+1-1-1-4+1-1+1-1+4-1+1+1-4-3+1+3+4-1-1-1-1-1+1+1+1-2-1+1-6+1+1-1-3-3+1+7-3-2-1+1-1-1+1-1+3+3-1+1+1+2+3-2+1+1-1-1+1+1+2+1+2-1-1+1+1+2+1-1-2-1-1-1-2+2+1+1+1+1-1-1-1-2+1+1+1+1</f>
        <v>17</v>
      </c>
      <c r="O212" s="166">
        <f>6-1+10-2-1-1-2+2-1-1-1-1-1-1-2+2+1-1+1-4+1-1+4+1-5+5-1-6-1+6-1-3+1+1-2-1+1-1+1-1+1-1+1</f>
        <v>1</v>
      </c>
      <c r="P212" s="165">
        <f>15+1+1-1-1-1+1+1-1+1-3+3-1-2+1+2-2-1+2-1+1-1-3-1+3+3+3-1+1+1-2+1+1+2-1-2-1+1+1+1+1-1</f>
        <v>21</v>
      </c>
      <c r="Q212" s="165">
        <f>11-1+1-1+1+1+1+1-1+1+1-3+3-1-1+1-1-1+1+1-1+1+1</f>
        <v>15</v>
      </c>
      <c r="R212" s="165">
        <f>10+1-1+1</f>
        <v>11</v>
      </c>
      <c r="S212" s="201">
        <f>8-1+1-1+1+1</f>
        <v>9</v>
      </c>
      <c r="T212" s="166">
        <f t="shared" si="117"/>
        <v>207</v>
      </c>
      <c r="U212" s="113"/>
      <c r="V212" s="66"/>
      <c r="W212" s="66"/>
      <c r="X212" s="66"/>
      <c r="Y212" s="66"/>
    </row>
    <row r="213" ht="19.5" customHeight="1">
      <c r="A213" s="148" t="s">
        <v>106</v>
      </c>
      <c r="B213" s="166">
        <f>2+1-2+2-1+1-1+1-1-1+1+1-1+1-2+2</f>
        <v>3</v>
      </c>
      <c r="C213" s="166">
        <f>3-2+2-1-2+1+2-2-1+1+2-3+3+1-1-1+1+1+1-1+1-3+3-1+1-1+1+1-1-2+1</f>
        <v>4</v>
      </c>
      <c r="D213" s="166">
        <f>0+1+2-2+2-1+2+1-3+3-1+1-1+1+1+1-1+1-7+6-1-5+1+6+10-1+1-1+1-1+1-6-1+6-3+1-1+3+1-1+1+1+1+1-1-1+1+1-1+1-4</f>
        <v>16</v>
      </c>
      <c r="E213" s="180">
        <f>18+1-1</f>
        <v>18</v>
      </c>
      <c r="F213" s="166">
        <f>2-1+1-1+1-1+1-1-1+1+1-2+2+1-1-1+1+1+1-1+1-1+1-1-1+1</f>
        <v>3</v>
      </c>
      <c r="G213" s="166">
        <f>0</f>
        <v>0</v>
      </c>
      <c r="H213" s="166">
        <f>0+1-1+1-1+1</f>
        <v>1</v>
      </c>
      <c r="I213" s="166">
        <f>0</f>
        <v>0</v>
      </c>
      <c r="J213" s="166">
        <f>1-1+1+1-2+2</f>
        <v>2</v>
      </c>
      <c r="K213" s="165">
        <f>9+1+1</f>
        <v>11</v>
      </c>
      <c r="L213" s="165">
        <f>14-1+1-1-3+1+3-1-2+1+1+2-1-1-1+1+1+1-1-1+1-2+1+2-1+2-1-2+1-1+1</f>
        <v>14</v>
      </c>
      <c r="M213" s="190">
        <f>26-1-1-1+1-1+1+1+1-2-1+1+1+1-6-2+6-2+2+2-1-2+1-1+2+1-1-1-1+1+1-1-2-2-1+1+2+1+2-2-1-1</f>
        <v>21</v>
      </c>
      <c r="N213" s="165">
        <f>18-1+1-2+2-1-5-1+1+5-1-1+1+1+1-1-6+6+1-1-1+1+1-10+10-1+1-2+2-6</f>
        <v>12</v>
      </c>
      <c r="O213" s="165">
        <f>13-1-1+1+1-3+3-1+1-3-1-1-1+3+1+1+1-1+1-1-1-1-2</f>
        <v>8</v>
      </c>
      <c r="P213" s="166">
        <f>4-2+2-1-1+1+1-1+1-1-1+1+1+1-1-1-1-1-1+1+1+1+1-1-1</f>
        <v>2</v>
      </c>
      <c r="Q213" s="165">
        <f>3-1+1-1+1</f>
        <v>3</v>
      </c>
      <c r="R213" s="165">
        <f>5</f>
        <v>5</v>
      </c>
      <c r="S213" s="203">
        <f t="shared" ref="S213:S214" si="119">1-1+1</f>
        <v>1</v>
      </c>
      <c r="T213" s="166">
        <f t="shared" si="117"/>
        <v>124</v>
      </c>
      <c r="U213" s="113"/>
      <c r="V213" s="66"/>
      <c r="W213" s="66"/>
      <c r="X213" s="66"/>
      <c r="Y213" s="66"/>
    </row>
    <row r="214" ht="21.0" customHeight="1">
      <c r="A214" s="148" t="s">
        <v>27</v>
      </c>
      <c r="B214" s="166">
        <f>0+2-1+1-1+1-1</f>
        <v>1</v>
      </c>
      <c r="C214" s="166">
        <f>0+3-1-1-1+1+1-2-1+1+1-1</f>
        <v>0</v>
      </c>
      <c r="D214" s="166">
        <f>0+1-1+1-1+3+1-1-1-1+1+1+1+1-1-1+3+1-1+1-1+1+1-1-2+1+2-1+1+1-1-1-1+1+1+1-1-1+1</f>
        <v>8</v>
      </c>
      <c r="E214" s="166">
        <f>0+3-1-1+1+1-1+1-1+1+1-1+1-1-1+1-1+1+1+1-1</f>
        <v>4</v>
      </c>
      <c r="F214" s="166">
        <f>0+2-1-1+1+1-1-1+1-1+1+1-1+1-1+1-1+1+1-1+1-1+1-1</f>
        <v>2</v>
      </c>
      <c r="G214" s="166">
        <f>0+2-1-1+1+1</f>
        <v>2</v>
      </c>
      <c r="H214" s="166">
        <f>0+2</f>
        <v>2</v>
      </c>
      <c r="I214" s="166">
        <f t="shared" ref="I214:J214" si="118">0+1-1+1</f>
        <v>1</v>
      </c>
      <c r="J214" s="166">
        <f t="shared" si="118"/>
        <v>1</v>
      </c>
      <c r="K214" s="165">
        <f>3-1+1</f>
        <v>3</v>
      </c>
      <c r="L214" s="165">
        <f>5+1-1+1+2-1-1-1+1-1+1-1+1</f>
        <v>6</v>
      </c>
      <c r="M214" s="165">
        <f>10-1+1-1+1</f>
        <v>10</v>
      </c>
      <c r="N214" s="201">
        <f>0+10+1-1+1-1-1+1+1+1-1-2+1+2</f>
        <v>12</v>
      </c>
      <c r="O214" s="165">
        <f>8-1+1-1+1+1+1-1-2</f>
        <v>7</v>
      </c>
      <c r="P214" s="165">
        <f>6-3+2+3</f>
        <v>8</v>
      </c>
      <c r="Q214" s="165">
        <f>3-1</f>
        <v>2</v>
      </c>
      <c r="R214" s="165">
        <f>1-1+1+1-1+1</f>
        <v>2</v>
      </c>
      <c r="S214" s="166">
        <f t="shared" si="119"/>
        <v>1</v>
      </c>
      <c r="T214" s="166">
        <f t="shared" si="117"/>
        <v>72</v>
      </c>
      <c r="U214" s="113"/>
      <c r="V214" s="66"/>
      <c r="W214" s="66"/>
      <c r="X214" s="66"/>
      <c r="Y214" s="66"/>
    </row>
    <row r="215" ht="21.0" customHeight="1">
      <c r="A215" s="148" t="s">
        <v>107</v>
      </c>
      <c r="B215" s="166">
        <f>0+2-1+1-1+1-1+1</f>
        <v>2</v>
      </c>
      <c r="C215" s="166">
        <f>0+3-1+1-1+1-2+2-1</f>
        <v>2</v>
      </c>
      <c r="D215" s="166">
        <f>0+1-1+1-1+3-1+1-1+1-1+1-1-2+1+2-1</f>
        <v>2</v>
      </c>
      <c r="E215" s="166">
        <f>0+3-1+1-1+1-1-1-1+1+1+1+1+1</f>
        <v>5</v>
      </c>
      <c r="F215" s="166">
        <f>0+2+1-1+1-1-2+1+2-1+1-1+1</f>
        <v>3</v>
      </c>
      <c r="G215" s="166">
        <f>0+2+1-1+1</f>
        <v>3</v>
      </c>
      <c r="H215" s="166">
        <f>0+2-1+1</f>
        <v>2</v>
      </c>
      <c r="I215" s="166">
        <f>0+1-1+1</f>
        <v>1</v>
      </c>
      <c r="J215" s="166">
        <f>0+1</f>
        <v>1</v>
      </c>
      <c r="K215" s="166">
        <f>3-1+1+1-1-1+1-1+1-1-1+1-1+1</f>
        <v>2</v>
      </c>
      <c r="L215" s="201">
        <f>1+5-1+1-1+1-1+1-1-1-1-1+1+1+1+1+1-1+1-1</f>
        <v>6</v>
      </c>
      <c r="M215" s="165">
        <f>10-1-1-1+1-1+1-3+3+1-1-1-1-1+1-1-1-1+1+1+1-1-5+5+1+8-1+1-1+1+1-2</f>
        <v>13</v>
      </c>
      <c r="N215" s="204">
        <f>8-7-1+7+1+2-3+3-1-1+1-4+4</f>
        <v>9</v>
      </c>
      <c r="O215" s="165">
        <f>8-1+1+1-1-1+2-1-1+1+1-1-3-1-1-1-1+2+1+3+1+1+1-2+2+1-1-1</f>
        <v>9</v>
      </c>
      <c r="P215" s="165">
        <f>6-1-1+1+1-1-3+1-1+3+1+1-2</f>
        <v>5</v>
      </c>
      <c r="Q215" s="165">
        <f>3+1-1</f>
        <v>3</v>
      </c>
      <c r="R215" s="165">
        <f>1-1+1+1+1-1-1+1</f>
        <v>2</v>
      </c>
      <c r="S215" s="165">
        <f>1-1+1+1-1+1</f>
        <v>2</v>
      </c>
      <c r="T215" s="166">
        <f t="shared" si="117"/>
        <v>72</v>
      </c>
      <c r="U215" s="113"/>
      <c r="V215" s="66"/>
      <c r="W215" s="66"/>
      <c r="X215" s="66"/>
      <c r="Y215" s="66"/>
    </row>
    <row r="216" ht="21.0" customHeight="1">
      <c r="A216" s="205" t="s">
        <v>108</v>
      </c>
      <c r="B216" s="166"/>
      <c r="C216" s="166"/>
      <c r="D216" s="166"/>
      <c r="E216" s="166"/>
      <c r="F216" s="166"/>
      <c r="G216" s="166"/>
      <c r="H216" s="166"/>
      <c r="I216" s="166"/>
      <c r="J216" s="166"/>
      <c r="K216" s="206"/>
      <c r="L216" s="207"/>
      <c r="M216" s="206"/>
      <c r="N216" s="207">
        <f>1-1+1-1+1</f>
        <v>1</v>
      </c>
      <c r="O216" s="206"/>
      <c r="P216" s="206"/>
      <c r="Q216" s="206"/>
      <c r="R216" s="166"/>
      <c r="S216" s="206"/>
      <c r="T216" s="208"/>
      <c r="U216" s="113"/>
      <c r="V216" s="66"/>
      <c r="W216" s="66"/>
      <c r="X216" s="66"/>
      <c r="Y216" s="66"/>
    </row>
    <row r="217" ht="21.0" customHeight="1">
      <c r="A217" s="209" t="s">
        <v>109</v>
      </c>
      <c r="B217" s="166">
        <f>0+2</f>
        <v>2</v>
      </c>
      <c r="C217" s="166">
        <f>0+3</f>
        <v>3</v>
      </c>
      <c r="D217" s="166">
        <f>0+1-1+1-1+3-1+1-1</f>
        <v>2</v>
      </c>
      <c r="E217" s="166">
        <f>0+3-1+1-1+1-1+1+1-1</f>
        <v>3</v>
      </c>
      <c r="F217" s="166">
        <f>0+2-1+1+1</f>
        <v>3</v>
      </c>
      <c r="G217" s="166">
        <f t="shared" ref="G217:H217" si="120">0+2</f>
        <v>2</v>
      </c>
      <c r="H217" s="166">
        <f t="shared" si="120"/>
        <v>2</v>
      </c>
      <c r="I217" s="166">
        <f>0+1-1+1</f>
        <v>1</v>
      </c>
      <c r="J217" s="166">
        <f>0+1</f>
        <v>1</v>
      </c>
      <c r="K217" s="165">
        <f>3-1+1+1</f>
        <v>4</v>
      </c>
      <c r="L217" s="165">
        <f>5-1+1-1+1-1+1+1</f>
        <v>6</v>
      </c>
      <c r="M217" s="165">
        <f>10+1-1-1+1+1</f>
        <v>11</v>
      </c>
      <c r="N217" s="201">
        <f>10-1+1</f>
        <v>10</v>
      </c>
      <c r="O217" s="165">
        <f>8-1+1-1+1-1+1</f>
        <v>8</v>
      </c>
      <c r="P217" s="165">
        <f>6</f>
        <v>6</v>
      </c>
      <c r="Q217" s="165">
        <f>3</f>
        <v>3</v>
      </c>
      <c r="R217" s="166">
        <f>1-1</f>
        <v>0</v>
      </c>
      <c r="S217" s="165">
        <f>1-1+1-1+1+1+1</f>
        <v>3</v>
      </c>
      <c r="T217" s="210">
        <f>SUM(B217:S217)</f>
        <v>70</v>
      </c>
      <c r="U217" s="113"/>
      <c r="V217" s="66"/>
      <c r="W217" s="66"/>
      <c r="X217" s="66"/>
      <c r="Y217" s="66"/>
    </row>
    <row r="218" ht="21.0" customHeight="1">
      <c r="A218" s="170"/>
      <c r="B218" s="171"/>
      <c r="C218" s="171"/>
      <c r="D218" s="171"/>
      <c r="E218" s="171"/>
      <c r="F218" s="171"/>
      <c r="G218" s="171"/>
      <c r="H218" s="171"/>
      <c r="I218" s="171"/>
      <c r="J218" s="171"/>
      <c r="K218" s="171"/>
      <c r="L218" s="192" t="s">
        <v>13</v>
      </c>
      <c r="M218" s="171"/>
      <c r="N218" s="171"/>
      <c r="O218" s="211"/>
      <c r="P218" s="171"/>
      <c r="Q218" s="171"/>
      <c r="R218" s="171"/>
      <c r="S218" s="171" t="s">
        <v>13</v>
      </c>
      <c r="T218" s="212">
        <f>SUM(T204:T217)</f>
        <v>2334</v>
      </c>
      <c r="U218" s="113"/>
      <c r="V218" s="66"/>
      <c r="W218" s="66"/>
      <c r="X218" s="66"/>
      <c r="Y218" s="66"/>
    </row>
    <row r="219" ht="14.25" customHeight="1">
      <c r="A219" s="194"/>
      <c r="B219" s="194"/>
      <c r="C219" s="194"/>
      <c r="D219" s="194"/>
      <c r="E219" s="194"/>
      <c r="F219" s="194"/>
      <c r="G219" s="194"/>
      <c r="H219" s="194"/>
      <c r="I219" s="194"/>
      <c r="J219" s="194"/>
      <c r="K219" s="178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</row>
    <row r="220" ht="18.75" customHeight="1">
      <c r="A220" s="174" t="s">
        <v>110</v>
      </c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3"/>
      <c r="U220" s="66"/>
      <c r="V220" s="66"/>
      <c r="W220" s="66"/>
      <c r="X220" s="66"/>
      <c r="Y220" s="66"/>
    </row>
    <row r="221" ht="20.25" customHeight="1">
      <c r="A221" s="148"/>
      <c r="B221" s="160" t="s">
        <v>1</v>
      </c>
      <c r="C221" s="52"/>
      <c r="D221" s="52"/>
      <c r="E221" s="52"/>
      <c r="F221" s="52"/>
      <c r="G221" s="52"/>
      <c r="H221" s="52"/>
      <c r="I221" s="52"/>
      <c r="J221" s="53"/>
      <c r="K221" s="160" t="s">
        <v>2</v>
      </c>
      <c r="L221" s="52"/>
      <c r="M221" s="52"/>
      <c r="N221" s="52"/>
      <c r="O221" s="52"/>
      <c r="P221" s="52"/>
      <c r="Q221" s="52"/>
      <c r="R221" s="52"/>
      <c r="S221" s="53"/>
      <c r="T221" s="94"/>
      <c r="U221" s="66"/>
      <c r="V221" s="66"/>
      <c r="W221" s="66"/>
      <c r="X221" s="66"/>
      <c r="Y221" s="66"/>
    </row>
    <row r="222" ht="14.25" customHeight="1">
      <c r="A222" s="148"/>
      <c r="B222" s="162" t="s">
        <v>4</v>
      </c>
      <c r="C222" s="162" t="s">
        <v>49</v>
      </c>
      <c r="D222" s="162" t="s">
        <v>50</v>
      </c>
      <c r="E222" s="162" t="s">
        <v>51</v>
      </c>
      <c r="F222" s="162" t="s">
        <v>52</v>
      </c>
      <c r="G222" s="162" t="s">
        <v>9</v>
      </c>
      <c r="H222" s="162" t="s">
        <v>10</v>
      </c>
      <c r="I222" s="162" t="s">
        <v>11</v>
      </c>
      <c r="J222" s="162" t="s">
        <v>12</v>
      </c>
      <c r="K222" s="163" t="s">
        <v>4</v>
      </c>
      <c r="L222" s="163" t="s">
        <v>49</v>
      </c>
      <c r="M222" s="163" t="s">
        <v>50</v>
      </c>
      <c r="N222" s="163" t="s">
        <v>51</v>
      </c>
      <c r="O222" s="163" t="s">
        <v>52</v>
      </c>
      <c r="P222" s="163" t="s">
        <v>9</v>
      </c>
      <c r="Q222" s="163" t="s">
        <v>10</v>
      </c>
      <c r="R222" s="163" t="s">
        <v>11</v>
      </c>
      <c r="S222" s="163" t="s">
        <v>12</v>
      </c>
      <c r="T222" s="175" t="s">
        <v>53</v>
      </c>
      <c r="U222" s="66"/>
      <c r="V222" s="66"/>
      <c r="W222" s="66"/>
      <c r="X222" s="66"/>
      <c r="Y222" s="66"/>
    </row>
    <row r="223" ht="14.25" customHeight="1">
      <c r="A223" s="148" t="s">
        <v>111</v>
      </c>
      <c r="B223" s="166">
        <f>0+1</f>
        <v>1</v>
      </c>
      <c r="C223" s="166">
        <f>0</f>
        <v>0</v>
      </c>
      <c r="D223" s="166">
        <f>0+1</f>
        <v>1</v>
      </c>
      <c r="E223" s="166">
        <f>1-1</f>
        <v>0</v>
      </c>
      <c r="F223" s="166">
        <f>1-1+1</f>
        <v>1</v>
      </c>
      <c r="G223" s="166">
        <f>0</f>
        <v>0</v>
      </c>
      <c r="H223" s="166">
        <f>1</f>
        <v>1</v>
      </c>
      <c r="I223" s="166">
        <f t="shared" ref="I223:J223" si="121">0</f>
        <v>0</v>
      </c>
      <c r="J223" s="166">
        <f t="shared" si="121"/>
        <v>0</v>
      </c>
      <c r="K223" s="166">
        <f>0+1+1</f>
        <v>2</v>
      </c>
      <c r="L223" s="166">
        <f>0+1-1+3-1</f>
        <v>2</v>
      </c>
      <c r="M223" s="166">
        <f>0+1+2-2+2+2-1-1+1+1-1-1+1+1-2+2-1+1</f>
        <v>5</v>
      </c>
      <c r="N223" s="166">
        <f>0+1+1</f>
        <v>2</v>
      </c>
      <c r="O223" s="166">
        <f>0+1-1+1-1+1</f>
        <v>1</v>
      </c>
      <c r="P223" s="166">
        <f>0+2-1+1</f>
        <v>2</v>
      </c>
      <c r="Q223" s="166">
        <f>0+1+1</f>
        <v>2</v>
      </c>
      <c r="R223" s="166">
        <f>0+1</f>
        <v>1</v>
      </c>
      <c r="S223" s="166">
        <f>0</f>
        <v>0</v>
      </c>
      <c r="T223" s="213">
        <f>SUM(K223:S223)</f>
        <v>17</v>
      </c>
      <c r="U223" s="66"/>
      <c r="V223" s="66"/>
      <c r="W223" s="66"/>
      <c r="X223" s="66"/>
      <c r="Y223" s="66"/>
    </row>
    <row r="224" ht="14.25" customHeight="1">
      <c r="A224" s="170"/>
      <c r="B224" s="171"/>
      <c r="C224" s="171"/>
      <c r="D224" s="171"/>
      <c r="E224" s="171"/>
      <c r="F224" s="171"/>
      <c r="G224" s="171"/>
      <c r="H224" s="171"/>
      <c r="I224" s="171"/>
      <c r="J224" s="171"/>
      <c r="K224" s="178"/>
      <c r="L224" s="66"/>
      <c r="M224" s="66"/>
      <c r="N224" s="66"/>
      <c r="O224" s="66"/>
      <c r="P224" s="66"/>
      <c r="Q224" s="66"/>
      <c r="R224" s="66"/>
      <c r="S224" s="66"/>
      <c r="T224" s="214">
        <f>SUM(T223)</f>
        <v>17</v>
      </c>
      <c r="U224" s="66"/>
      <c r="V224" s="66"/>
      <c r="W224" s="66"/>
      <c r="X224" s="66"/>
      <c r="Y224" s="66"/>
    </row>
    <row r="225" ht="14.25" customHeight="1">
      <c r="A225" s="194"/>
      <c r="B225" s="194"/>
      <c r="C225" s="194"/>
      <c r="D225" s="194"/>
      <c r="E225" s="194"/>
      <c r="F225" s="194"/>
      <c r="G225" s="194"/>
      <c r="H225" s="194"/>
      <c r="I225" s="194"/>
      <c r="J225" s="194"/>
      <c r="K225" s="178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</row>
    <row r="226" ht="14.25" customHeight="1">
      <c r="A226" s="194"/>
      <c r="B226" s="194"/>
      <c r="C226" s="194"/>
      <c r="D226" s="194"/>
      <c r="E226" s="194"/>
      <c r="F226" s="194"/>
      <c r="G226" s="194"/>
      <c r="H226" s="194"/>
      <c r="I226" s="194"/>
      <c r="J226" s="194"/>
      <c r="K226" s="178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</row>
    <row r="227" ht="21.75" customHeight="1">
      <c r="A227" s="179" t="s">
        <v>112</v>
      </c>
      <c r="B227" s="157"/>
      <c r="C227" s="157"/>
      <c r="D227" s="157"/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  <c r="R227" s="157"/>
      <c r="S227" s="158"/>
      <c r="T227" s="66"/>
      <c r="U227" s="66"/>
      <c r="V227" s="66"/>
      <c r="W227" s="66"/>
      <c r="X227" s="66"/>
      <c r="Y227" s="66"/>
    </row>
    <row r="228" ht="21.0" customHeight="1">
      <c r="A228" s="159"/>
      <c r="B228" s="160" t="s">
        <v>1</v>
      </c>
      <c r="C228" s="52"/>
      <c r="D228" s="52"/>
      <c r="E228" s="52"/>
      <c r="F228" s="52"/>
      <c r="G228" s="52"/>
      <c r="H228" s="52"/>
      <c r="I228" s="53"/>
      <c r="J228" s="160" t="s">
        <v>2</v>
      </c>
      <c r="K228" s="52"/>
      <c r="L228" s="52"/>
      <c r="M228" s="52"/>
      <c r="N228" s="52"/>
      <c r="O228" s="52"/>
      <c r="P228" s="52"/>
      <c r="Q228" s="52"/>
      <c r="R228" s="53"/>
      <c r="S228" s="66"/>
      <c r="T228" s="66"/>
      <c r="U228" s="66"/>
      <c r="V228" s="66"/>
      <c r="W228" s="66"/>
      <c r="X228" s="66"/>
      <c r="Y228" s="66"/>
    </row>
    <row r="229" ht="14.25" customHeight="1">
      <c r="A229" s="215" t="s">
        <v>113</v>
      </c>
      <c r="B229" s="216">
        <v>5.0</v>
      </c>
      <c r="C229" s="216">
        <v>7.0</v>
      </c>
      <c r="D229" s="216">
        <v>9.0</v>
      </c>
      <c r="E229" s="216">
        <v>11.0</v>
      </c>
      <c r="F229" s="216">
        <v>13.0</v>
      </c>
      <c r="G229" s="216">
        <v>15.0</v>
      </c>
      <c r="H229" s="216">
        <v>17.0</v>
      </c>
      <c r="I229" s="216">
        <v>19.0</v>
      </c>
      <c r="J229" s="217">
        <v>28.0</v>
      </c>
      <c r="K229" s="217">
        <v>30.0</v>
      </c>
      <c r="L229" s="217">
        <v>32.0</v>
      </c>
      <c r="M229" s="217">
        <v>34.0</v>
      </c>
      <c r="N229" s="217">
        <v>36.0</v>
      </c>
      <c r="O229" s="217">
        <v>38.0</v>
      </c>
      <c r="P229" s="217">
        <v>40.0</v>
      </c>
      <c r="Q229" s="217">
        <v>42.0</v>
      </c>
      <c r="R229" s="217">
        <v>44.0</v>
      </c>
      <c r="S229" s="218" t="s">
        <v>53</v>
      </c>
      <c r="T229" s="66"/>
      <c r="U229" s="66"/>
      <c r="V229" s="66"/>
      <c r="W229" s="66"/>
      <c r="X229" s="66"/>
      <c r="Y229" s="66"/>
    </row>
    <row r="230" ht="14.25" customHeight="1">
      <c r="A230" s="219"/>
      <c r="B230" s="166">
        <f>19+1</f>
        <v>20</v>
      </c>
      <c r="C230" s="166">
        <f>5+17</f>
        <v>22</v>
      </c>
      <c r="D230" s="166">
        <f>0+12-1-1+1</f>
        <v>11</v>
      </c>
      <c r="E230" s="166">
        <f>0+6</f>
        <v>6</v>
      </c>
      <c r="F230" s="166">
        <f>5+5-3</f>
        <v>7</v>
      </c>
      <c r="G230" s="166">
        <f>4+3-2</f>
        <v>5</v>
      </c>
      <c r="H230" s="166"/>
      <c r="I230" s="166"/>
      <c r="J230" s="166">
        <f>1+8</f>
        <v>9</v>
      </c>
      <c r="K230" s="166">
        <f>0+21-1-2+2+1-6-1+1+6</f>
        <v>21</v>
      </c>
      <c r="L230" s="166">
        <f>1+19-1+1-1+1-1-2-6+4-1+1</f>
        <v>15</v>
      </c>
      <c r="M230" s="166">
        <f>0+17-6+6-6+11</f>
        <v>22</v>
      </c>
      <c r="N230" s="166">
        <f>11-1-1+1-1+1-6+7</f>
        <v>11</v>
      </c>
      <c r="O230" s="166">
        <f>9+1-1+1</f>
        <v>10</v>
      </c>
      <c r="P230" s="166">
        <f>5-1+1</f>
        <v>5</v>
      </c>
      <c r="Q230" s="166"/>
      <c r="R230" s="166"/>
      <c r="S230" s="213">
        <f>SUM(J230:R230)</f>
        <v>93</v>
      </c>
      <c r="T230" s="66"/>
      <c r="U230" s="66"/>
      <c r="V230" s="66"/>
      <c r="W230" s="66"/>
      <c r="X230" s="66"/>
      <c r="Y230" s="66"/>
    </row>
    <row r="231" ht="14.25" customHeight="1">
      <c r="A231" s="170"/>
      <c r="B231" s="171"/>
      <c r="C231" s="171"/>
      <c r="D231" s="171"/>
      <c r="E231" s="171"/>
      <c r="F231" s="171"/>
      <c r="G231" s="191"/>
      <c r="H231" s="171"/>
      <c r="I231" s="171"/>
      <c r="J231" s="171"/>
      <c r="K231" s="178"/>
      <c r="L231" s="66"/>
      <c r="M231" s="66"/>
      <c r="N231" s="66"/>
      <c r="O231" s="66"/>
      <c r="P231" s="66"/>
      <c r="Q231" s="66"/>
      <c r="R231" s="66"/>
      <c r="S231" s="76">
        <f>SUM(S230)</f>
        <v>93</v>
      </c>
      <c r="T231" s="66"/>
      <c r="U231" s="66"/>
      <c r="V231" s="66"/>
      <c r="W231" s="66"/>
      <c r="X231" s="66"/>
      <c r="Y231" s="66"/>
    </row>
    <row r="232" ht="14.25" customHeight="1">
      <c r="A232" s="194"/>
      <c r="B232" s="194"/>
      <c r="C232" s="194"/>
      <c r="D232" s="194"/>
      <c r="E232" s="194"/>
      <c r="F232" s="194"/>
      <c r="G232" s="194"/>
      <c r="H232" s="194"/>
      <c r="I232" s="194"/>
      <c r="J232" s="194"/>
      <c r="K232" s="178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</row>
    <row r="233" ht="19.5" customHeight="1">
      <c r="A233" s="220" t="s">
        <v>77</v>
      </c>
      <c r="B233" s="52"/>
      <c r="C233" s="52"/>
      <c r="D233" s="52"/>
      <c r="E233" s="52"/>
      <c r="F233" s="52"/>
      <c r="G233" s="52"/>
      <c r="H233" s="52"/>
      <c r="I233" s="52"/>
      <c r="J233" s="52"/>
      <c r="K233" s="53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</row>
    <row r="234" ht="21.0" customHeight="1">
      <c r="A234" s="221" t="s">
        <v>114</v>
      </c>
      <c r="B234" s="197" t="s">
        <v>115</v>
      </c>
      <c r="C234" s="52"/>
      <c r="D234" s="52"/>
      <c r="E234" s="52"/>
      <c r="F234" s="52"/>
      <c r="G234" s="52"/>
      <c r="H234" s="52"/>
      <c r="I234" s="52"/>
      <c r="J234" s="53"/>
      <c r="K234" s="17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</row>
    <row r="235" ht="14.25" customHeight="1">
      <c r="A235" s="222"/>
      <c r="B235" s="223" t="s">
        <v>4</v>
      </c>
      <c r="C235" s="223" t="s">
        <v>49</v>
      </c>
      <c r="D235" s="223" t="s">
        <v>50</v>
      </c>
      <c r="E235" s="223" t="s">
        <v>51</v>
      </c>
      <c r="F235" s="223" t="s">
        <v>52</v>
      </c>
      <c r="G235" s="223" t="s">
        <v>9</v>
      </c>
      <c r="H235" s="223" t="s">
        <v>10</v>
      </c>
      <c r="I235" s="223" t="s">
        <v>11</v>
      </c>
      <c r="J235" s="223" t="s">
        <v>12</v>
      </c>
      <c r="K235" s="175" t="s">
        <v>53</v>
      </c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</row>
    <row r="236" ht="14.25" customHeight="1">
      <c r="A236" s="224"/>
      <c r="B236" s="166">
        <f>0</f>
        <v>0</v>
      </c>
      <c r="C236" s="166">
        <f>0+2+1-2+2-1+1+1-1</f>
        <v>3</v>
      </c>
      <c r="D236" s="166">
        <f>0+1-1</f>
        <v>0</v>
      </c>
      <c r="E236" s="166">
        <f>0+1+1-2+1-1+1-1+1+1-2+1+2-1+1-2</f>
        <v>1</v>
      </c>
      <c r="F236" s="166">
        <f>0+1-1+1+1-1-1+1-1+1-1</f>
        <v>0</v>
      </c>
      <c r="G236" s="166">
        <f>0+1-1+1-1</f>
        <v>0</v>
      </c>
      <c r="H236" s="166">
        <f>0+1-1+1</f>
        <v>1</v>
      </c>
      <c r="I236" s="166">
        <f>0+3</f>
        <v>3</v>
      </c>
      <c r="J236" s="166">
        <f>0</f>
        <v>0</v>
      </c>
      <c r="K236" s="176">
        <f>SUM(B236:J236)</f>
        <v>8</v>
      </c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</row>
    <row r="237" ht="14.25" customHeight="1">
      <c r="A237" s="170"/>
      <c r="B237" s="171"/>
      <c r="C237" s="171"/>
      <c r="D237" s="171"/>
      <c r="E237" s="171"/>
      <c r="F237" s="171"/>
      <c r="G237" s="171"/>
      <c r="H237" s="171"/>
      <c r="I237" s="171"/>
      <c r="J237" s="171" t="s">
        <v>116</v>
      </c>
      <c r="K237" s="183">
        <f>SUM(K236)</f>
        <v>8</v>
      </c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</row>
    <row r="238" ht="14.25" customHeight="1">
      <c r="A238" s="194"/>
      <c r="B238" s="194"/>
      <c r="C238" s="194"/>
      <c r="D238" s="194"/>
      <c r="E238" s="194"/>
      <c r="F238" s="194"/>
      <c r="G238" s="194"/>
      <c r="H238" s="194"/>
      <c r="I238" s="194"/>
      <c r="J238" s="194"/>
      <c r="K238" s="178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</row>
    <row r="239" ht="18.75" customHeight="1">
      <c r="A239" s="225" t="s">
        <v>117</v>
      </c>
      <c r="B239" s="157"/>
      <c r="C239" s="157"/>
      <c r="D239" s="157"/>
      <c r="E239" s="157"/>
      <c r="F239" s="157"/>
      <c r="G239" s="157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  <c r="R239" s="157"/>
      <c r="S239" s="158"/>
      <c r="T239" s="66"/>
      <c r="U239" s="66"/>
      <c r="V239" s="66"/>
      <c r="W239" s="66"/>
      <c r="X239" s="66"/>
      <c r="Y239" s="66"/>
    </row>
    <row r="240" ht="14.25" customHeight="1">
      <c r="A240" s="182"/>
      <c r="B240" s="160" t="s">
        <v>118</v>
      </c>
      <c r="C240" s="52"/>
      <c r="D240" s="52"/>
      <c r="E240" s="52"/>
      <c r="F240" s="52"/>
      <c r="G240" s="52"/>
      <c r="H240" s="52"/>
      <c r="I240" s="52"/>
      <c r="J240" s="53"/>
      <c r="K240" s="226" t="s">
        <v>119</v>
      </c>
      <c r="L240" s="227"/>
      <c r="M240" s="227"/>
      <c r="N240" s="227"/>
      <c r="O240" s="227"/>
      <c r="P240" s="227"/>
      <c r="Q240" s="227"/>
      <c r="R240" s="227"/>
      <c r="S240" s="218"/>
      <c r="T240" s="66"/>
      <c r="U240" s="66"/>
      <c r="V240" s="66"/>
      <c r="W240" s="66"/>
      <c r="X240" s="66"/>
      <c r="Y240" s="66"/>
    </row>
    <row r="241" ht="21.0" customHeight="1">
      <c r="A241" s="182"/>
      <c r="B241" s="228" t="s">
        <v>4</v>
      </c>
      <c r="C241" s="228" t="s">
        <v>49</v>
      </c>
      <c r="D241" s="228" t="s">
        <v>50</v>
      </c>
      <c r="E241" s="228" t="s">
        <v>51</v>
      </c>
      <c r="F241" s="228" t="s">
        <v>52</v>
      </c>
      <c r="G241" s="228" t="s">
        <v>9</v>
      </c>
      <c r="H241" s="228" t="s">
        <v>10</v>
      </c>
      <c r="I241" s="228" t="s">
        <v>11</v>
      </c>
      <c r="J241" s="228" t="s">
        <v>4</v>
      </c>
      <c r="K241" s="228" t="s">
        <v>49</v>
      </c>
      <c r="L241" s="228" t="s">
        <v>50</v>
      </c>
      <c r="M241" s="228" t="s">
        <v>51</v>
      </c>
      <c r="N241" s="228" t="s">
        <v>52</v>
      </c>
      <c r="O241" s="228" t="s">
        <v>9</v>
      </c>
      <c r="P241" s="228" t="s">
        <v>10</v>
      </c>
      <c r="Q241" s="228" t="s">
        <v>11</v>
      </c>
      <c r="R241" s="229" t="s">
        <v>12</v>
      </c>
      <c r="S241" s="230" t="s">
        <v>53</v>
      </c>
      <c r="T241" s="66"/>
      <c r="U241" s="66"/>
      <c r="V241" s="66"/>
      <c r="W241" s="66"/>
      <c r="X241" s="66"/>
      <c r="Y241" s="66"/>
    </row>
    <row r="242" ht="14.25" customHeight="1">
      <c r="A242" s="148" t="s">
        <v>120</v>
      </c>
      <c r="B242" s="166"/>
      <c r="C242" s="166">
        <f>0+1</f>
        <v>1</v>
      </c>
      <c r="D242" s="166">
        <f>0+1-1+3+2</f>
        <v>5</v>
      </c>
      <c r="E242" s="166">
        <f>0+1-1+1-1</f>
        <v>0</v>
      </c>
      <c r="F242" s="166"/>
      <c r="G242" s="166">
        <f>0+1-1</f>
        <v>0</v>
      </c>
      <c r="H242" s="166"/>
      <c r="I242" s="166"/>
      <c r="J242" s="166"/>
      <c r="K242" s="166">
        <f>0+1+4+1-5-1+1+3+1</f>
        <v>5</v>
      </c>
      <c r="L242" s="166">
        <f>0+4+2-1+1-1-4-1+3-2+2-1+1-2+2</f>
        <v>3</v>
      </c>
      <c r="M242" s="166">
        <f>0+4+2-4-1-1+1-1+1+2-2+2-1+1-2+2-1+1</f>
        <v>3</v>
      </c>
      <c r="N242" s="166">
        <f>0+2-2+2+1-1+1-3+3-3+3</f>
        <v>3</v>
      </c>
      <c r="O242" s="166">
        <f>1+2-2+2+1</f>
        <v>4</v>
      </c>
      <c r="P242" s="166">
        <f>0+1-1</f>
        <v>0</v>
      </c>
      <c r="Q242" s="166"/>
      <c r="R242" s="203"/>
      <c r="S242" s="76">
        <f>SUM(B242:R242)</f>
        <v>24</v>
      </c>
      <c r="T242" s="66"/>
      <c r="U242" s="66"/>
      <c r="V242" s="66"/>
      <c r="W242" s="66"/>
      <c r="X242" s="66"/>
      <c r="Y242" s="66"/>
    </row>
    <row r="243" ht="14.25" customHeight="1">
      <c r="A243" s="194"/>
      <c r="B243" s="194"/>
      <c r="C243" s="194"/>
      <c r="D243" s="194"/>
      <c r="E243" s="194"/>
      <c r="F243" s="194"/>
      <c r="G243" s="194"/>
      <c r="H243" s="194"/>
      <c r="I243" s="194"/>
      <c r="J243" s="194"/>
      <c r="K243" s="178"/>
      <c r="L243" s="66"/>
      <c r="M243" s="66"/>
      <c r="N243" s="66"/>
      <c r="O243" s="66"/>
      <c r="P243" s="66"/>
      <c r="Q243" s="66"/>
      <c r="R243" s="66"/>
      <c r="S243" s="76">
        <f>S242</f>
        <v>24</v>
      </c>
      <c r="T243" s="66"/>
      <c r="U243" s="66"/>
      <c r="V243" s="66"/>
      <c r="W243" s="66"/>
      <c r="X243" s="66"/>
      <c r="Y243" s="66"/>
    </row>
    <row r="244" ht="14.25" customHeight="1">
      <c r="A244" s="194"/>
      <c r="B244" s="194"/>
      <c r="C244" s="194"/>
      <c r="D244" s="194"/>
      <c r="E244" s="194"/>
      <c r="F244" s="194"/>
      <c r="G244" s="194"/>
      <c r="H244" s="194"/>
      <c r="I244" s="194"/>
      <c r="J244" s="194"/>
      <c r="K244" s="178"/>
      <c r="L244" s="66"/>
      <c r="M244" s="66"/>
      <c r="N244" s="66"/>
      <c r="O244" s="66"/>
      <c r="P244" s="66"/>
      <c r="Q244" s="66"/>
      <c r="R244" s="66"/>
      <c r="S244" s="231"/>
      <c r="T244" s="66"/>
      <c r="U244" s="66"/>
      <c r="V244" s="66"/>
      <c r="W244" s="66"/>
      <c r="X244" s="66"/>
      <c r="Y244" s="66"/>
    </row>
    <row r="245" ht="69.0" customHeight="1">
      <c r="A245" s="232" t="s">
        <v>121</v>
      </c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3"/>
      <c r="T245" s="66"/>
      <c r="U245" s="66"/>
      <c r="V245" s="66"/>
      <c r="W245" s="66"/>
      <c r="X245" s="66"/>
      <c r="Y245" s="66"/>
    </row>
    <row r="246" ht="40.5" customHeight="1">
      <c r="A246" s="233"/>
      <c r="B246" s="233"/>
      <c r="C246" s="233"/>
      <c r="D246" s="233"/>
      <c r="E246" s="233"/>
      <c r="F246" s="233"/>
      <c r="G246" s="233"/>
      <c r="H246" s="233"/>
      <c r="I246" s="233"/>
      <c r="J246" s="233"/>
      <c r="K246" s="233"/>
      <c r="L246" s="233"/>
      <c r="M246" s="233"/>
      <c r="N246" s="233"/>
      <c r="O246" s="233"/>
      <c r="P246" s="233"/>
      <c r="Q246" s="233"/>
      <c r="R246" s="233"/>
      <c r="S246" s="233"/>
      <c r="T246" s="66"/>
      <c r="U246" s="66"/>
      <c r="V246" s="66"/>
      <c r="W246" s="66"/>
      <c r="X246" s="66"/>
      <c r="Y246" s="66"/>
    </row>
    <row r="247" ht="21.0" customHeight="1">
      <c r="A247" s="160" t="s">
        <v>122</v>
      </c>
      <c r="B247" s="52"/>
      <c r="C247" s="52"/>
      <c r="D247" s="52"/>
      <c r="E247" s="52"/>
      <c r="F247" s="52"/>
      <c r="G247" s="52"/>
      <c r="H247" s="52"/>
      <c r="I247" s="52"/>
      <c r="J247" s="52"/>
      <c r="K247" s="53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</row>
    <row r="248" ht="14.25" customHeight="1">
      <c r="A248" s="160" t="s">
        <v>88</v>
      </c>
      <c r="B248" s="52"/>
      <c r="C248" s="52"/>
      <c r="D248" s="52"/>
      <c r="E248" s="52"/>
      <c r="F248" s="52"/>
      <c r="G248" s="52"/>
      <c r="H248" s="52"/>
      <c r="I248" s="52"/>
      <c r="J248" s="53"/>
      <c r="K248" s="175" t="s">
        <v>53</v>
      </c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</row>
    <row r="249" ht="14.25" customHeight="1">
      <c r="A249" s="148" t="s">
        <v>15</v>
      </c>
      <c r="B249" s="234">
        <f>4-1+1-1+1-1+1-1+1-1+1-4+1+4-1+1-1+1+1</f>
        <v>6</v>
      </c>
      <c r="C249" s="52"/>
      <c r="D249" s="52"/>
      <c r="E249" s="52"/>
      <c r="F249" s="52"/>
      <c r="G249" s="52"/>
      <c r="H249" s="52"/>
      <c r="I249" s="52"/>
      <c r="J249" s="53"/>
      <c r="K249" s="176">
        <f t="shared" ref="K249:K251" si="122">SUM(B249:J249)</f>
        <v>6</v>
      </c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</row>
    <row r="250" ht="14.25" customHeight="1">
      <c r="A250" s="148" t="s">
        <v>14</v>
      </c>
      <c r="B250" s="234">
        <f>1-1+1-1</f>
        <v>0</v>
      </c>
      <c r="C250" s="52"/>
      <c r="D250" s="52"/>
      <c r="E250" s="52"/>
      <c r="F250" s="52"/>
      <c r="G250" s="52"/>
      <c r="H250" s="52"/>
      <c r="I250" s="52"/>
      <c r="J250" s="53"/>
      <c r="K250" s="176">
        <f t="shared" si="122"/>
        <v>0</v>
      </c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</row>
    <row r="251" ht="14.25" customHeight="1">
      <c r="A251" s="148" t="s">
        <v>80</v>
      </c>
      <c r="B251" s="234"/>
      <c r="C251" s="52"/>
      <c r="D251" s="52"/>
      <c r="E251" s="52"/>
      <c r="F251" s="52"/>
      <c r="G251" s="52"/>
      <c r="H251" s="52"/>
      <c r="I251" s="52"/>
      <c r="J251" s="53"/>
      <c r="K251" s="176">
        <f t="shared" si="122"/>
        <v>0</v>
      </c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</row>
    <row r="252" ht="14.25" customHeight="1">
      <c r="A252" s="170"/>
      <c r="B252" s="171"/>
      <c r="C252" s="171"/>
      <c r="D252" s="171"/>
      <c r="E252" s="171"/>
      <c r="F252" s="171"/>
      <c r="G252" s="171"/>
      <c r="H252" s="171"/>
      <c r="I252" s="171"/>
      <c r="J252" s="171"/>
      <c r="K252" s="193">
        <f>SUM(K249:K251)</f>
        <v>6</v>
      </c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</row>
    <row r="253" ht="14.25" customHeight="1">
      <c r="A253" s="170"/>
      <c r="B253" s="171"/>
      <c r="C253" s="171"/>
      <c r="D253" s="171"/>
      <c r="E253" s="171"/>
      <c r="F253" s="171"/>
      <c r="G253" s="171"/>
      <c r="H253" s="171"/>
      <c r="I253" s="171"/>
      <c r="J253" s="171"/>
      <c r="K253" s="113"/>
      <c r="L253" s="113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</row>
    <row r="254" ht="21.0" customHeight="1">
      <c r="A254" s="160" t="s">
        <v>123</v>
      </c>
      <c r="B254" s="52"/>
      <c r="C254" s="52"/>
      <c r="D254" s="52"/>
      <c r="E254" s="52"/>
      <c r="F254" s="52"/>
      <c r="G254" s="52"/>
      <c r="H254" s="52"/>
      <c r="I254" s="52"/>
      <c r="J254" s="52"/>
      <c r="K254" s="53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</row>
    <row r="255" ht="14.25" customHeight="1">
      <c r="A255" s="160" t="s">
        <v>88</v>
      </c>
      <c r="B255" s="52"/>
      <c r="C255" s="52"/>
      <c r="D255" s="52"/>
      <c r="E255" s="52"/>
      <c r="F255" s="52"/>
      <c r="G255" s="52"/>
      <c r="H255" s="52"/>
      <c r="I255" s="52"/>
      <c r="J255" s="53"/>
      <c r="K255" s="175" t="s">
        <v>53</v>
      </c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</row>
    <row r="256" ht="14.25" customHeight="1">
      <c r="A256" s="148" t="s">
        <v>54</v>
      </c>
      <c r="B256" s="234">
        <f>4-1+1-1+1-1+1-1+1-1+1-4+1+4-1+1-1+1+1</f>
        <v>6</v>
      </c>
      <c r="C256" s="52"/>
      <c r="D256" s="52"/>
      <c r="E256" s="52"/>
      <c r="F256" s="52"/>
      <c r="G256" s="52"/>
      <c r="H256" s="52"/>
      <c r="I256" s="52"/>
      <c r="J256" s="53"/>
      <c r="K256" s="176">
        <f t="shared" ref="K256:K257" si="123">SUM(B256:J256)</f>
        <v>6</v>
      </c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</row>
    <row r="257" ht="14.25" customHeight="1">
      <c r="A257" s="148" t="s">
        <v>74</v>
      </c>
      <c r="B257" s="234">
        <f>1-1+1-1</f>
        <v>0</v>
      </c>
      <c r="C257" s="52"/>
      <c r="D257" s="52"/>
      <c r="E257" s="52"/>
      <c r="F257" s="52"/>
      <c r="G257" s="52"/>
      <c r="H257" s="52"/>
      <c r="I257" s="52"/>
      <c r="J257" s="53"/>
      <c r="K257" s="176">
        <f t="shared" si="123"/>
        <v>0</v>
      </c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</row>
    <row r="258" ht="14.25" customHeight="1">
      <c r="A258" s="194"/>
      <c r="B258" s="194"/>
      <c r="C258" s="194"/>
      <c r="D258" s="194"/>
      <c r="E258" s="194"/>
      <c r="F258" s="194"/>
      <c r="G258" s="194"/>
      <c r="H258" s="194"/>
      <c r="I258" s="194"/>
      <c r="J258" s="194"/>
      <c r="K258" s="178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</row>
    <row r="259" ht="14.25" customHeight="1">
      <c r="A259" s="182"/>
      <c r="B259" s="160" t="s">
        <v>124</v>
      </c>
      <c r="C259" s="52"/>
      <c r="D259" s="52"/>
      <c r="E259" s="52"/>
      <c r="F259" s="52"/>
      <c r="G259" s="52"/>
      <c r="H259" s="52"/>
      <c r="I259" s="52"/>
      <c r="J259" s="93"/>
      <c r="K259" s="17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</row>
    <row r="260" ht="14.25" customHeight="1">
      <c r="A260" s="182" t="s">
        <v>93</v>
      </c>
      <c r="B260" s="166">
        <v>28.0</v>
      </c>
      <c r="C260" s="166">
        <v>30.0</v>
      </c>
      <c r="D260" s="166">
        <v>32.0</v>
      </c>
      <c r="E260" s="166">
        <v>34.0</v>
      </c>
      <c r="F260" s="166">
        <v>36.0</v>
      </c>
      <c r="G260" s="166">
        <v>38.0</v>
      </c>
      <c r="H260" s="166">
        <v>40.0</v>
      </c>
      <c r="I260" s="166"/>
      <c r="J260" s="203"/>
      <c r="K260" s="17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</row>
    <row r="261" ht="14.25" customHeight="1">
      <c r="A261" s="182"/>
      <c r="B261" s="228" t="s">
        <v>125</v>
      </c>
      <c r="C261" s="228"/>
      <c r="D261" s="228"/>
      <c r="E261" s="228"/>
      <c r="F261" s="228"/>
      <c r="G261" s="228"/>
      <c r="H261" s="228"/>
      <c r="I261" s="228"/>
      <c r="J261" s="229"/>
      <c r="K261" s="175" t="s">
        <v>53</v>
      </c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</row>
    <row r="262" ht="14.25" customHeight="1">
      <c r="A262" s="148" t="s">
        <v>74</v>
      </c>
      <c r="B262" s="166">
        <f>1-1</f>
        <v>0</v>
      </c>
      <c r="C262" s="166"/>
      <c r="D262" s="166"/>
      <c r="E262" s="166"/>
      <c r="F262" s="166"/>
      <c r="G262" s="166"/>
      <c r="H262" s="166"/>
      <c r="I262" s="166"/>
      <c r="J262" s="203"/>
      <c r="K262" s="176">
        <f t="shared" ref="K262:K263" si="124">SUM(B262:J262)</f>
        <v>0</v>
      </c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</row>
    <row r="263" ht="14.25" customHeight="1">
      <c r="A263" s="148" t="s">
        <v>14</v>
      </c>
      <c r="B263" s="98">
        <f>1+1-2+2</f>
        <v>2</v>
      </c>
      <c r="C263" s="166"/>
      <c r="D263" s="166"/>
      <c r="E263" s="166"/>
      <c r="F263" s="166"/>
      <c r="G263" s="166"/>
      <c r="H263" s="166"/>
      <c r="I263" s="166"/>
      <c r="J263" s="203"/>
      <c r="K263" s="176">
        <f t="shared" si="124"/>
        <v>2</v>
      </c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</row>
    <row r="264" ht="14.25" customHeight="1">
      <c r="A264" s="194"/>
      <c r="B264" s="194"/>
      <c r="C264" s="194"/>
      <c r="D264" s="194"/>
      <c r="E264" s="194"/>
      <c r="F264" s="194"/>
      <c r="G264" s="194"/>
      <c r="H264" s="194"/>
      <c r="I264" s="194"/>
      <c r="J264" s="194"/>
      <c r="K264" s="178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</row>
    <row r="265" ht="14.25" customHeight="1">
      <c r="A265" s="182"/>
      <c r="B265" s="235" t="s">
        <v>126</v>
      </c>
      <c r="C265" s="52"/>
      <c r="D265" s="52"/>
      <c r="E265" s="52"/>
      <c r="F265" s="52"/>
      <c r="G265" s="52"/>
      <c r="H265" s="52"/>
      <c r="I265" s="52"/>
      <c r="J265" s="93"/>
      <c r="K265" s="17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</row>
    <row r="266" ht="21.0" customHeight="1">
      <c r="A266" s="236" t="s">
        <v>43</v>
      </c>
      <c r="B266" s="52"/>
      <c r="C266" s="52"/>
      <c r="D266" s="52"/>
      <c r="E266" s="52"/>
      <c r="F266" s="52"/>
      <c r="G266" s="52"/>
      <c r="H266" s="52"/>
      <c r="I266" s="52"/>
      <c r="J266" s="52"/>
      <c r="K266" s="53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</row>
    <row r="267" ht="14.25" customHeight="1">
      <c r="A267" s="182"/>
      <c r="B267" s="237" t="s">
        <v>4</v>
      </c>
      <c r="C267" s="237" t="s">
        <v>49</v>
      </c>
      <c r="D267" s="237" t="s">
        <v>50</v>
      </c>
      <c r="E267" s="237" t="s">
        <v>51</v>
      </c>
      <c r="F267" s="237" t="s">
        <v>52</v>
      </c>
      <c r="G267" s="237" t="s">
        <v>9</v>
      </c>
      <c r="H267" s="237" t="s">
        <v>10</v>
      </c>
      <c r="I267" s="237" t="s">
        <v>11</v>
      </c>
      <c r="J267" s="238" t="s">
        <v>12</v>
      </c>
      <c r="K267" s="175" t="s">
        <v>53</v>
      </c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</row>
    <row r="268" ht="14.25" customHeight="1">
      <c r="A268" s="148" t="s">
        <v>14</v>
      </c>
      <c r="B268" s="166">
        <f t="shared" ref="B268:C268" si="125">0+1</f>
        <v>1</v>
      </c>
      <c r="C268" s="166">
        <f t="shared" si="125"/>
        <v>1</v>
      </c>
      <c r="D268" s="166">
        <f>0+2-1+1+1-1-1+1-1</f>
        <v>1</v>
      </c>
      <c r="E268" s="166">
        <f>0+2-1+1-1+1-2+2-2</f>
        <v>0</v>
      </c>
      <c r="F268" s="166">
        <f>0+2-1+1-1</f>
        <v>1</v>
      </c>
      <c r="G268" s="166">
        <f>0+2</f>
        <v>2</v>
      </c>
      <c r="H268" s="166">
        <f>0+1</f>
        <v>1</v>
      </c>
      <c r="I268" s="166">
        <f t="shared" ref="I268:J268" si="126">0</f>
        <v>0</v>
      </c>
      <c r="J268" s="166">
        <f t="shared" si="126"/>
        <v>0</v>
      </c>
      <c r="K268" s="176">
        <f t="shared" ref="K268:K270" si="129">SUM(B268:J268)</f>
        <v>7</v>
      </c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</row>
    <row r="269" ht="14.25" customHeight="1">
      <c r="A269" s="148" t="s">
        <v>74</v>
      </c>
      <c r="B269" s="166">
        <f t="shared" ref="B269:B270" si="130">0</f>
        <v>0</v>
      </c>
      <c r="C269" s="166">
        <f>0+1-1+1-1+1+1</f>
        <v>2</v>
      </c>
      <c r="D269" s="166">
        <f t="shared" ref="D269:E269" si="127">0</f>
        <v>0</v>
      </c>
      <c r="E269" s="166">
        <f t="shared" si="127"/>
        <v>0</v>
      </c>
      <c r="F269" s="166">
        <f>0+2</f>
        <v>2</v>
      </c>
      <c r="G269" s="166">
        <f t="shared" ref="G269:J269" si="128">0</f>
        <v>0</v>
      </c>
      <c r="H269" s="166">
        <f t="shared" si="128"/>
        <v>0</v>
      </c>
      <c r="I269" s="166">
        <f t="shared" si="128"/>
        <v>0</v>
      </c>
      <c r="J269" s="166">
        <f t="shared" si="128"/>
        <v>0</v>
      </c>
      <c r="K269" s="176">
        <f t="shared" si="129"/>
        <v>4</v>
      </c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</row>
    <row r="270" ht="14.25" customHeight="1">
      <c r="A270" s="148" t="s">
        <v>18</v>
      </c>
      <c r="B270" s="166">
        <f t="shared" si="130"/>
        <v>0</v>
      </c>
      <c r="C270" s="166">
        <f t="shared" ref="C270:J270" si="131">0</f>
        <v>0</v>
      </c>
      <c r="D270" s="166">
        <f t="shared" si="131"/>
        <v>0</v>
      </c>
      <c r="E270" s="166">
        <f t="shared" si="131"/>
        <v>0</v>
      </c>
      <c r="F270" s="166">
        <f t="shared" si="131"/>
        <v>0</v>
      </c>
      <c r="G270" s="166">
        <f t="shared" si="131"/>
        <v>0</v>
      </c>
      <c r="H270" s="166">
        <f t="shared" si="131"/>
        <v>0</v>
      </c>
      <c r="I270" s="166">
        <f t="shared" si="131"/>
        <v>0</v>
      </c>
      <c r="J270" s="166">
        <f t="shared" si="131"/>
        <v>0</v>
      </c>
      <c r="K270" s="176">
        <f t="shared" si="129"/>
        <v>0</v>
      </c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</row>
    <row r="271" ht="14.25" customHeight="1">
      <c r="A271" s="170"/>
      <c r="B271" s="171"/>
      <c r="C271" s="171"/>
      <c r="D271" s="171"/>
      <c r="E271" s="171"/>
      <c r="F271" s="171"/>
      <c r="G271" s="171"/>
      <c r="H271" s="171"/>
      <c r="I271" s="171"/>
      <c r="J271" s="171"/>
      <c r="K271" s="183">
        <f>SUM(K268:K270)</f>
        <v>11</v>
      </c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</row>
    <row r="272" ht="14.25" customHeight="1">
      <c r="A272" s="239"/>
      <c r="B272" s="239"/>
      <c r="C272" s="239"/>
      <c r="D272" s="239"/>
      <c r="E272" s="239"/>
      <c r="F272" s="239"/>
      <c r="G272" s="239"/>
      <c r="H272" s="239"/>
      <c r="I272" s="239"/>
      <c r="J272" s="239"/>
      <c r="K272" s="173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</row>
    <row r="273" ht="14.25" customHeight="1">
      <c r="A273" s="239"/>
      <c r="B273" s="239"/>
      <c r="C273" s="239"/>
      <c r="D273" s="239"/>
      <c r="E273" s="239"/>
      <c r="F273" s="239"/>
      <c r="G273" s="239"/>
      <c r="H273" s="239"/>
      <c r="I273" s="239"/>
      <c r="J273" s="239"/>
      <c r="K273" s="173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</row>
    <row r="274" ht="21.75" customHeight="1">
      <c r="A274" s="179" t="s">
        <v>127</v>
      </c>
      <c r="B274" s="157"/>
      <c r="C274" s="157"/>
      <c r="D274" s="157"/>
      <c r="E274" s="157"/>
      <c r="F274" s="157"/>
      <c r="G274" s="157"/>
      <c r="H274" s="157"/>
      <c r="I274" s="157"/>
      <c r="J274" s="157"/>
      <c r="K274" s="157"/>
      <c r="L274" s="157"/>
      <c r="M274" s="157"/>
      <c r="N274" s="157"/>
      <c r="O274" s="157"/>
      <c r="P274" s="157"/>
      <c r="Q274" s="157"/>
      <c r="R274" s="157"/>
      <c r="S274" s="158"/>
      <c r="T274" s="66"/>
      <c r="U274" s="66"/>
      <c r="V274" s="66"/>
      <c r="W274" s="66"/>
      <c r="X274" s="66"/>
      <c r="Y274" s="66"/>
    </row>
    <row r="275" ht="21.0" customHeight="1">
      <c r="A275" s="148"/>
      <c r="B275" s="160" t="s">
        <v>1</v>
      </c>
      <c r="C275" s="52"/>
      <c r="D275" s="52"/>
      <c r="E275" s="52"/>
      <c r="F275" s="52"/>
      <c r="G275" s="52"/>
      <c r="H275" s="52"/>
      <c r="I275" s="53"/>
      <c r="J275" s="240" t="s">
        <v>2</v>
      </c>
      <c r="K275" s="52"/>
      <c r="L275" s="52"/>
      <c r="M275" s="52"/>
      <c r="N275" s="52"/>
      <c r="O275" s="52"/>
      <c r="P275" s="52"/>
      <c r="Q275" s="52"/>
      <c r="R275" s="53"/>
      <c r="S275" s="218"/>
      <c r="T275" s="66"/>
      <c r="U275" s="66"/>
      <c r="V275" s="66"/>
      <c r="W275" s="66"/>
      <c r="X275" s="66"/>
      <c r="Y275" s="66"/>
    </row>
    <row r="276" ht="42.0" customHeight="1">
      <c r="A276" s="148" t="s">
        <v>128</v>
      </c>
      <c r="B276" s="241">
        <v>5.0</v>
      </c>
      <c r="C276" s="241">
        <v>7.0</v>
      </c>
      <c r="D276" s="241">
        <v>9.0</v>
      </c>
      <c r="E276" s="241">
        <v>11.0</v>
      </c>
      <c r="F276" s="241">
        <v>13.0</v>
      </c>
      <c r="G276" s="241">
        <v>15.0</v>
      </c>
      <c r="H276" s="241">
        <v>17.0</v>
      </c>
      <c r="I276" s="241">
        <v>19.0</v>
      </c>
      <c r="J276" s="242">
        <v>28.0</v>
      </c>
      <c r="K276" s="242">
        <v>30.0</v>
      </c>
      <c r="L276" s="242">
        <v>32.0</v>
      </c>
      <c r="M276" s="242">
        <v>34.0</v>
      </c>
      <c r="N276" s="242">
        <v>36.0</v>
      </c>
      <c r="O276" s="242">
        <v>38.0</v>
      </c>
      <c r="P276" s="242">
        <v>40.0</v>
      </c>
      <c r="Q276" s="242">
        <v>42.0</v>
      </c>
      <c r="R276" s="242">
        <v>44.0</v>
      </c>
      <c r="S276" s="175" t="s">
        <v>53</v>
      </c>
      <c r="T276" s="66"/>
      <c r="U276" s="66"/>
      <c r="V276" s="66"/>
      <c r="W276" s="66"/>
      <c r="X276" s="66"/>
      <c r="Y276" s="66"/>
    </row>
    <row r="277" ht="14.25" customHeight="1">
      <c r="A277" s="148" t="s">
        <v>55</v>
      </c>
      <c r="B277" s="166"/>
      <c r="C277" s="166"/>
      <c r="D277" s="166"/>
      <c r="E277" s="166"/>
      <c r="F277" s="166"/>
      <c r="G277" s="166"/>
      <c r="H277" s="243">
        <v>1.0</v>
      </c>
      <c r="I277" s="166"/>
      <c r="J277" s="166">
        <f>0</f>
        <v>0</v>
      </c>
      <c r="K277" s="166">
        <f t="shared" ref="K277:Q277" si="132">1</f>
        <v>1</v>
      </c>
      <c r="L277" s="166">
        <f t="shared" si="132"/>
        <v>1</v>
      </c>
      <c r="M277" s="166">
        <f t="shared" si="132"/>
        <v>1</v>
      </c>
      <c r="N277" s="166">
        <f t="shared" si="132"/>
        <v>1</v>
      </c>
      <c r="O277" s="166">
        <f t="shared" si="132"/>
        <v>1</v>
      </c>
      <c r="P277" s="166">
        <f t="shared" si="132"/>
        <v>1</v>
      </c>
      <c r="Q277" s="166">
        <f t="shared" si="132"/>
        <v>1</v>
      </c>
      <c r="R277" s="166">
        <f>0</f>
        <v>0</v>
      </c>
      <c r="S277" s="176">
        <f>SUM(J277:R277)</f>
        <v>7</v>
      </c>
      <c r="T277" s="66"/>
      <c r="U277" s="66"/>
      <c r="V277" s="66"/>
      <c r="W277" s="66"/>
      <c r="X277" s="66"/>
      <c r="Y277" s="66"/>
    </row>
    <row r="278" ht="14.25" customHeight="1">
      <c r="A278" s="244"/>
      <c r="B278" s="194"/>
      <c r="C278" s="194"/>
      <c r="D278" s="194"/>
      <c r="E278" s="194"/>
      <c r="F278" s="194"/>
      <c r="G278" s="194"/>
      <c r="H278" s="194"/>
      <c r="I278" s="194"/>
      <c r="J278" s="194"/>
      <c r="K278" s="194"/>
      <c r="L278" s="194"/>
      <c r="M278" s="194"/>
      <c r="N278" s="194"/>
      <c r="O278" s="194"/>
      <c r="P278" s="194"/>
      <c r="Q278" s="194"/>
      <c r="R278" s="194"/>
      <c r="S278" s="193">
        <v>7.0</v>
      </c>
      <c r="T278" s="66"/>
      <c r="U278" s="66"/>
      <c r="V278" s="66"/>
      <c r="W278" s="66"/>
      <c r="X278" s="66"/>
      <c r="Y278" s="66"/>
    </row>
    <row r="279" ht="14.25" customHeight="1">
      <c r="A279" s="239"/>
      <c r="B279" s="239"/>
      <c r="C279" s="239"/>
      <c r="D279" s="239"/>
      <c r="E279" s="239"/>
      <c r="F279" s="239"/>
      <c r="G279" s="239"/>
      <c r="H279" s="239"/>
      <c r="I279" s="239"/>
      <c r="J279" s="239"/>
      <c r="K279" s="173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</row>
    <row r="280" ht="14.25" customHeight="1">
      <c r="A280" s="239"/>
      <c r="B280" s="239"/>
      <c r="C280" s="239"/>
      <c r="D280" s="239"/>
      <c r="E280" s="239"/>
      <c r="F280" s="239"/>
      <c r="G280" s="239"/>
      <c r="H280" s="239"/>
      <c r="I280" s="239"/>
      <c r="J280" s="239"/>
      <c r="K280" s="173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</row>
    <row r="281" ht="14.25" customHeight="1">
      <c r="A281" s="245" t="s">
        <v>129</v>
      </c>
      <c r="B281" s="52"/>
      <c r="C281" s="52"/>
      <c r="D281" s="52"/>
      <c r="E281" s="52"/>
      <c r="F281" s="52"/>
      <c r="G281" s="52"/>
      <c r="H281" s="52"/>
      <c r="I281" s="52"/>
      <c r="J281" s="52"/>
      <c r="K281" s="53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</row>
    <row r="282" ht="14.25" customHeight="1">
      <c r="A282" s="246" t="s">
        <v>129</v>
      </c>
      <c r="B282" s="247" t="s">
        <v>4</v>
      </c>
      <c r="C282" s="237" t="s">
        <v>49</v>
      </c>
      <c r="D282" s="237" t="s">
        <v>50</v>
      </c>
      <c r="E282" s="237" t="s">
        <v>51</v>
      </c>
      <c r="F282" s="237" t="s">
        <v>52</v>
      </c>
      <c r="G282" s="237" t="s">
        <v>9</v>
      </c>
      <c r="H282" s="237" t="s">
        <v>10</v>
      </c>
      <c r="I282" s="237" t="s">
        <v>11</v>
      </c>
      <c r="J282" s="238" t="s">
        <v>12</v>
      </c>
      <c r="K282" s="248" t="s">
        <v>53</v>
      </c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</row>
    <row r="283" ht="14.25" customHeight="1">
      <c r="A283" s="127"/>
      <c r="B283" s="249">
        <f t="shared" ref="B283:D283" si="133">0</f>
        <v>0</v>
      </c>
      <c r="C283" s="166">
        <f t="shared" si="133"/>
        <v>0</v>
      </c>
      <c r="D283" s="166">
        <f t="shared" si="133"/>
        <v>0</v>
      </c>
      <c r="E283" s="166">
        <f>0+21-2+1+1-2+2-1-5+1-1+5-1+1+1-1-1+1+20+1-1-1+1+1-1-1-1-19-1+1+1+1+1-1-8</f>
        <v>13</v>
      </c>
      <c r="F283" s="166">
        <f t="shared" ref="F283:J283" si="134">0</f>
        <v>0</v>
      </c>
      <c r="G283" s="166">
        <f t="shared" si="134"/>
        <v>0</v>
      </c>
      <c r="H283" s="166">
        <f t="shared" si="134"/>
        <v>0</v>
      </c>
      <c r="I283" s="166">
        <f t="shared" si="134"/>
        <v>0</v>
      </c>
      <c r="J283" s="203">
        <f t="shared" si="134"/>
        <v>0</v>
      </c>
      <c r="K283" s="250">
        <f>SUM(B283:J283)</f>
        <v>13</v>
      </c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</row>
    <row r="284" ht="14.25" customHeight="1">
      <c r="A284" s="239"/>
      <c r="B284" s="239"/>
      <c r="C284" s="239"/>
      <c r="D284" s="239"/>
      <c r="E284" s="251" t="s">
        <v>13</v>
      </c>
      <c r="F284" s="239"/>
      <c r="G284" s="239"/>
      <c r="H284" s="239"/>
      <c r="I284" s="239"/>
      <c r="J284" s="239"/>
      <c r="K284" s="173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</row>
    <row r="285" ht="14.25" customHeight="1">
      <c r="A285" s="245" t="s">
        <v>130</v>
      </c>
      <c r="B285" s="52"/>
      <c r="C285" s="52"/>
      <c r="D285" s="52"/>
      <c r="E285" s="52"/>
      <c r="F285" s="52"/>
      <c r="G285" s="52"/>
      <c r="H285" s="52"/>
      <c r="I285" s="52"/>
      <c r="J285" s="52"/>
      <c r="K285" s="53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</row>
    <row r="286" ht="14.25" customHeight="1">
      <c r="A286" s="246" t="s">
        <v>130</v>
      </c>
      <c r="B286" s="247" t="s">
        <v>4</v>
      </c>
      <c r="C286" s="237" t="s">
        <v>49</v>
      </c>
      <c r="D286" s="237" t="s">
        <v>50</v>
      </c>
      <c r="E286" s="237" t="s">
        <v>51</v>
      </c>
      <c r="F286" s="237" t="s">
        <v>52</v>
      </c>
      <c r="G286" s="237" t="s">
        <v>9</v>
      </c>
      <c r="H286" s="237" t="s">
        <v>10</v>
      </c>
      <c r="I286" s="237" t="s">
        <v>11</v>
      </c>
      <c r="J286" s="238" t="s">
        <v>12</v>
      </c>
      <c r="K286" s="175" t="s">
        <v>53</v>
      </c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</row>
    <row r="287" ht="14.25" customHeight="1">
      <c r="A287" s="127"/>
      <c r="B287" s="249">
        <f>0+3-1</f>
        <v>2</v>
      </c>
      <c r="C287" s="166">
        <f t="shared" ref="C287:D287" si="135">0</f>
        <v>0</v>
      </c>
      <c r="D287" s="166">
        <f t="shared" si="135"/>
        <v>0</v>
      </c>
      <c r="E287" s="166">
        <f>0+1-1+1-1+1</f>
        <v>1</v>
      </c>
      <c r="F287" s="166">
        <f t="shared" ref="F287:I287" si="136">0</f>
        <v>0</v>
      </c>
      <c r="G287" s="166">
        <f t="shared" si="136"/>
        <v>0</v>
      </c>
      <c r="H287" s="166">
        <f t="shared" si="136"/>
        <v>0</v>
      </c>
      <c r="I287" s="166">
        <f t="shared" si="136"/>
        <v>0</v>
      </c>
      <c r="J287" s="98"/>
      <c r="K287" s="252">
        <f>SUM(B287:J287)</f>
        <v>3</v>
      </c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</row>
    <row r="288" ht="14.25" customHeight="1">
      <c r="A288" s="239"/>
      <c r="B288" s="239"/>
      <c r="C288" s="239"/>
      <c r="D288" s="239"/>
      <c r="E288" s="239"/>
      <c r="F288" s="239"/>
      <c r="G288" s="239"/>
      <c r="H288" s="239"/>
      <c r="I288" s="239"/>
      <c r="J288" s="239"/>
      <c r="K288" s="173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</row>
    <row r="289" ht="14.25" customHeight="1">
      <c r="K289" s="253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</row>
    <row r="290" ht="14.25" customHeight="1">
      <c r="K290" s="253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</row>
    <row r="291" ht="14.25" customHeight="1">
      <c r="K291" s="253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</row>
    <row r="292" ht="14.25" customHeight="1">
      <c r="A292" s="66"/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</row>
    <row r="293" ht="14.25" customHeight="1">
      <c r="A293" s="66"/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</row>
    <row r="294" ht="14.25" customHeight="1">
      <c r="A294" s="66"/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</row>
    <row r="295" ht="14.25" customHeight="1">
      <c r="A295" s="66"/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</row>
    <row r="296" ht="14.25" customHeight="1">
      <c r="A296" s="66"/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</row>
    <row r="297" ht="14.25" customHeight="1">
      <c r="A297" s="66"/>
      <c r="B297" s="66"/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</row>
    <row r="298" ht="14.25" customHeight="1">
      <c r="A298" s="66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</row>
    <row r="299" ht="14.25" customHeight="1">
      <c r="A299" s="66"/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</row>
    <row r="300" ht="14.25" customHeight="1">
      <c r="A300" s="66"/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</row>
    <row r="301" ht="14.25" customHeight="1">
      <c r="A301" s="66"/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</row>
    <row r="302" ht="14.25" customHeight="1">
      <c r="A302" s="66"/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</row>
    <row r="303" ht="14.25" customHeight="1">
      <c r="A303" s="66"/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</row>
    <row r="304" ht="14.25" customHeight="1">
      <c r="A304" s="66"/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</row>
    <row r="305" ht="14.25" customHeight="1">
      <c r="A305" s="66"/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</row>
    <row r="306" ht="14.25" customHeight="1">
      <c r="A306" s="66"/>
      <c r="B306" s="66"/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</row>
    <row r="307" ht="14.25" customHeight="1">
      <c r="A307" s="66"/>
      <c r="B307" s="66"/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</row>
    <row r="308" ht="14.25" customHeight="1">
      <c r="A308" s="66"/>
      <c r="B308" s="66"/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</row>
    <row r="309" ht="14.25" customHeight="1">
      <c r="A309" s="66"/>
      <c r="B309" s="66"/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</row>
    <row r="310" ht="14.25" customHeight="1">
      <c r="A310" s="66"/>
      <c r="B310" s="66"/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</row>
    <row r="311" ht="14.25" customHeight="1">
      <c r="A311" s="66"/>
      <c r="B311" s="66"/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</row>
    <row r="312" ht="14.25" customHeight="1">
      <c r="A312" s="66"/>
      <c r="B312" s="66"/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</row>
    <row r="313" ht="14.25" customHeight="1">
      <c r="A313" s="66"/>
      <c r="B313" s="66"/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</row>
    <row r="314" ht="14.25" customHeight="1">
      <c r="A314" s="66"/>
      <c r="B314" s="66"/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</row>
    <row r="315" ht="14.25" customHeight="1">
      <c r="A315" s="66"/>
      <c r="B315" s="66"/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</row>
    <row r="316" ht="14.25" customHeight="1">
      <c r="A316" s="66"/>
      <c r="B316" s="66"/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</row>
    <row r="317" ht="14.25" customHeight="1">
      <c r="A317" s="66"/>
      <c r="B317" s="66"/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</row>
    <row r="318" ht="14.25" customHeight="1">
      <c r="A318" s="66"/>
      <c r="B318" s="66"/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</row>
    <row r="319" ht="14.25" customHeight="1">
      <c r="A319" s="66"/>
      <c r="B319" s="66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</row>
    <row r="320" ht="14.25" customHeight="1">
      <c r="A320" s="66"/>
      <c r="B320" s="66"/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</row>
    <row r="321" ht="14.25" customHeight="1">
      <c r="A321" s="66"/>
      <c r="B321" s="66"/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</row>
    <row r="322" ht="14.25" customHeight="1">
      <c r="A322" s="66"/>
      <c r="B322" s="66"/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</row>
    <row r="323" ht="14.25" customHeight="1">
      <c r="A323" s="66"/>
      <c r="B323" s="66"/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</row>
    <row r="324" ht="14.25" customHeight="1">
      <c r="A324" s="66"/>
      <c r="B324" s="66"/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</row>
    <row r="325" ht="14.25" customHeight="1">
      <c r="A325" s="66"/>
      <c r="B325" s="66"/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</row>
    <row r="326" ht="14.25" customHeight="1">
      <c r="A326" s="66"/>
      <c r="B326" s="66"/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</row>
    <row r="327" ht="14.25" customHeight="1">
      <c r="A327" s="66"/>
      <c r="B327" s="66"/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</row>
    <row r="328" ht="14.25" customHeight="1">
      <c r="A328" s="66"/>
      <c r="B328" s="66"/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</row>
    <row r="329" ht="14.25" customHeight="1">
      <c r="A329" s="66"/>
      <c r="B329" s="66"/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</row>
    <row r="330" ht="14.25" customHeight="1">
      <c r="A330" s="66"/>
      <c r="B330" s="66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</row>
    <row r="331" ht="14.25" customHeight="1">
      <c r="A331" s="66"/>
      <c r="B331" s="66"/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</row>
    <row r="332" ht="14.25" customHeight="1">
      <c r="A332" s="66"/>
      <c r="B332" s="66"/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</row>
    <row r="333" ht="14.25" customHeight="1">
      <c r="A333" s="66"/>
      <c r="B333" s="66"/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</row>
    <row r="334" ht="14.25" customHeight="1">
      <c r="A334" s="66"/>
      <c r="B334" s="66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</row>
    <row r="335" ht="14.25" customHeight="1">
      <c r="A335" s="66"/>
      <c r="B335" s="66"/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</row>
    <row r="336" ht="14.25" customHeight="1">
      <c r="A336" s="66"/>
      <c r="B336" s="66"/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</row>
    <row r="337" ht="14.25" customHeight="1">
      <c r="A337" s="66"/>
      <c r="B337" s="66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</row>
    <row r="338" ht="14.25" customHeight="1">
      <c r="A338" s="66"/>
      <c r="B338" s="66"/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</row>
    <row r="339" ht="14.25" customHeight="1">
      <c r="A339" s="66"/>
      <c r="B339" s="66"/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</row>
    <row r="340" ht="14.25" customHeight="1">
      <c r="A340" s="66"/>
      <c r="B340" s="66"/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</row>
    <row r="341" ht="14.25" customHeight="1">
      <c r="A341" s="66"/>
      <c r="B341" s="66"/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</row>
    <row r="342" ht="14.25" customHeight="1">
      <c r="A342" s="66"/>
      <c r="B342" s="66"/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</row>
    <row r="343" ht="14.25" customHeight="1">
      <c r="A343" s="66"/>
      <c r="B343" s="66"/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</row>
    <row r="344" ht="14.25" customHeight="1">
      <c r="A344" s="66"/>
      <c r="B344" s="66"/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</row>
    <row r="345" ht="14.25" customHeight="1">
      <c r="A345" s="66"/>
      <c r="B345" s="66"/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</row>
    <row r="346" ht="14.25" customHeight="1">
      <c r="A346" s="66"/>
      <c r="B346" s="66"/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</row>
    <row r="347" ht="14.25" customHeight="1">
      <c r="A347" s="66"/>
      <c r="B347" s="66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</row>
    <row r="348" ht="14.25" customHeight="1">
      <c r="A348" s="66"/>
      <c r="B348" s="66"/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</row>
    <row r="349" ht="14.25" customHeight="1">
      <c r="A349" s="66"/>
      <c r="B349" s="66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</row>
    <row r="350" ht="14.25" customHeight="1">
      <c r="A350" s="66"/>
      <c r="B350" s="66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</row>
    <row r="351" ht="14.25" customHeight="1">
      <c r="A351" s="66"/>
      <c r="B351" s="66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</row>
    <row r="352" ht="14.25" customHeight="1">
      <c r="A352" s="66"/>
      <c r="B352" s="66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</row>
    <row r="353" ht="14.25" customHeight="1">
      <c r="A353" s="66"/>
      <c r="B353" s="66"/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</row>
    <row r="354" ht="14.25" customHeight="1">
      <c r="A354" s="66"/>
      <c r="B354" s="66"/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</row>
    <row r="355" ht="14.25" customHeight="1">
      <c r="A355" s="66"/>
      <c r="B355" s="66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</row>
    <row r="356" ht="14.25" customHeight="1">
      <c r="A356" s="66"/>
      <c r="B356" s="66"/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</row>
    <row r="357" ht="14.25" customHeight="1">
      <c r="A357" s="66"/>
      <c r="B357" s="66"/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</row>
    <row r="358" ht="14.25" customHeight="1">
      <c r="A358" s="66"/>
      <c r="B358" s="66"/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</row>
    <row r="359" ht="14.25" customHeight="1">
      <c r="A359" s="66"/>
      <c r="B359" s="66"/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</row>
    <row r="360" ht="14.25" customHeight="1">
      <c r="A360" s="66"/>
      <c r="B360" s="66"/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</row>
    <row r="361" ht="14.25" customHeight="1">
      <c r="A361" s="66"/>
      <c r="B361" s="66"/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</row>
    <row r="362" ht="14.25" customHeight="1">
      <c r="A362" s="66"/>
      <c r="B362" s="66"/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</row>
    <row r="363" ht="14.25" customHeight="1">
      <c r="A363" s="66"/>
      <c r="B363" s="66"/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</row>
    <row r="364" ht="14.25" customHeight="1">
      <c r="A364" s="66"/>
      <c r="B364" s="66"/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</row>
    <row r="365" ht="14.25" customHeight="1">
      <c r="A365" s="66"/>
      <c r="B365" s="66"/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</row>
    <row r="366" ht="14.25" customHeight="1">
      <c r="A366" s="66"/>
      <c r="B366" s="66"/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</row>
    <row r="367" ht="14.25" customHeight="1">
      <c r="A367" s="66"/>
      <c r="B367" s="66"/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</row>
    <row r="368" ht="14.25" customHeight="1">
      <c r="A368" s="66"/>
      <c r="B368" s="66"/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</row>
    <row r="369" ht="14.25" customHeight="1">
      <c r="A369" s="66"/>
      <c r="B369" s="66"/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</row>
    <row r="370" ht="14.25" customHeight="1">
      <c r="A370" s="66"/>
      <c r="B370" s="66"/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</row>
    <row r="371" ht="14.25" customHeight="1">
      <c r="A371" s="66"/>
      <c r="B371" s="66"/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</row>
    <row r="372" ht="14.25" customHeight="1">
      <c r="A372" s="66"/>
      <c r="B372" s="66"/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</row>
    <row r="373" ht="14.25" customHeight="1">
      <c r="A373" s="66"/>
      <c r="B373" s="66"/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</row>
    <row r="374" ht="14.25" customHeight="1">
      <c r="A374" s="66"/>
      <c r="B374" s="66"/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</row>
    <row r="375" ht="14.25" customHeight="1">
      <c r="A375" s="66"/>
      <c r="B375" s="66"/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</row>
    <row r="376" ht="14.25" customHeight="1">
      <c r="A376" s="66"/>
      <c r="B376" s="66"/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</row>
    <row r="377" ht="14.25" customHeight="1">
      <c r="A377" s="66"/>
      <c r="B377" s="66"/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</row>
    <row r="378" ht="14.25" customHeight="1">
      <c r="A378" s="66"/>
      <c r="B378" s="66"/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</row>
    <row r="379" ht="14.25" customHeight="1">
      <c r="A379" s="66"/>
      <c r="B379" s="66"/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</row>
    <row r="380" ht="14.25" customHeight="1">
      <c r="A380" s="66"/>
      <c r="B380" s="66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</row>
    <row r="381" ht="14.25" customHeight="1">
      <c r="A381" s="66"/>
      <c r="B381" s="66"/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</row>
    <row r="382" ht="14.25" customHeight="1">
      <c r="A382" s="66"/>
      <c r="B382" s="66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</row>
    <row r="383" ht="14.25" customHeight="1">
      <c r="A383" s="66"/>
      <c r="B383" s="66"/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</row>
    <row r="384" ht="14.25" customHeight="1">
      <c r="A384" s="66"/>
      <c r="B384" s="66"/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</row>
    <row r="385" ht="14.25" customHeight="1">
      <c r="A385" s="66"/>
      <c r="B385" s="66"/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</row>
    <row r="386" ht="14.25" customHeight="1">
      <c r="A386" s="66"/>
      <c r="B386" s="66"/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</row>
    <row r="387" ht="14.25" customHeight="1">
      <c r="A387" s="66"/>
      <c r="B387" s="66"/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</row>
    <row r="388" ht="14.25" customHeight="1">
      <c r="A388" s="66"/>
      <c r="B388" s="66"/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</row>
    <row r="389" ht="14.25" customHeight="1">
      <c r="A389" s="66"/>
      <c r="B389" s="66"/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</row>
    <row r="390" ht="14.25" customHeight="1">
      <c r="A390" s="66"/>
      <c r="B390" s="66"/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</row>
    <row r="391" ht="14.25" customHeight="1">
      <c r="A391" s="66"/>
      <c r="B391" s="66"/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</row>
    <row r="392" ht="14.25" customHeight="1">
      <c r="A392" s="66"/>
      <c r="B392" s="66"/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</row>
    <row r="393" ht="14.25" customHeight="1">
      <c r="A393" s="66"/>
      <c r="B393" s="66"/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</row>
    <row r="394" ht="14.25" customHeight="1">
      <c r="A394" s="66"/>
      <c r="B394" s="66"/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</row>
    <row r="395" ht="14.25" customHeight="1">
      <c r="A395" s="66"/>
      <c r="B395" s="66"/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</row>
    <row r="396" ht="14.25" customHeight="1">
      <c r="A396" s="66"/>
      <c r="B396" s="66"/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</row>
    <row r="397" ht="14.25" customHeight="1">
      <c r="A397" s="66"/>
      <c r="B397" s="66"/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</row>
    <row r="398" ht="14.25" customHeight="1">
      <c r="A398" s="66"/>
      <c r="B398" s="66"/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</row>
    <row r="399" ht="14.25" customHeight="1">
      <c r="A399" s="66"/>
      <c r="B399" s="66"/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</row>
    <row r="400" ht="14.25" customHeight="1">
      <c r="A400" s="66"/>
      <c r="B400" s="66"/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</row>
    <row r="401" ht="14.25" customHeight="1">
      <c r="A401" s="66"/>
      <c r="B401" s="66"/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</row>
    <row r="402" ht="14.25" customHeight="1">
      <c r="A402" s="66"/>
      <c r="B402" s="66"/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</row>
    <row r="403" ht="14.25" customHeight="1">
      <c r="A403" s="66"/>
      <c r="B403" s="66"/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</row>
    <row r="404" ht="14.25" customHeight="1">
      <c r="A404" s="66"/>
      <c r="B404" s="66"/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</row>
    <row r="405" ht="14.25" customHeight="1">
      <c r="A405" s="66"/>
      <c r="B405" s="66"/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</row>
    <row r="406" ht="14.25" customHeight="1">
      <c r="A406" s="66"/>
      <c r="B406" s="66"/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</row>
    <row r="407" ht="14.25" customHeight="1">
      <c r="A407" s="66"/>
      <c r="B407" s="66"/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</row>
    <row r="408" ht="14.25" customHeight="1">
      <c r="A408" s="66"/>
      <c r="B408" s="66"/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</row>
    <row r="409" ht="14.25" customHeight="1">
      <c r="A409" s="66"/>
      <c r="B409" s="66"/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</row>
    <row r="410" ht="14.25" customHeight="1">
      <c r="A410" s="66"/>
      <c r="B410" s="66"/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</row>
    <row r="411" ht="14.25" customHeight="1">
      <c r="A411" s="66"/>
      <c r="B411" s="66"/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</row>
    <row r="412" ht="14.25" customHeight="1">
      <c r="A412" s="66"/>
      <c r="B412" s="66"/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</row>
    <row r="413" ht="14.25" customHeight="1">
      <c r="A413" s="66"/>
      <c r="B413" s="66"/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</row>
    <row r="414" ht="14.25" customHeight="1">
      <c r="A414" s="66"/>
      <c r="B414" s="66"/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</row>
    <row r="415" ht="14.25" customHeight="1">
      <c r="A415" s="66"/>
      <c r="B415" s="66"/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</row>
    <row r="416" ht="14.25" customHeight="1">
      <c r="A416" s="66"/>
      <c r="B416" s="66"/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</row>
    <row r="417" ht="14.25" customHeight="1">
      <c r="A417" s="66"/>
      <c r="B417" s="66"/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</row>
    <row r="418" ht="14.25" customHeight="1">
      <c r="A418" s="66"/>
      <c r="B418" s="66"/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</row>
    <row r="419" ht="14.25" customHeight="1">
      <c r="A419" s="66"/>
      <c r="B419" s="66"/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</row>
    <row r="420" ht="14.25" customHeight="1">
      <c r="A420" s="66"/>
      <c r="B420" s="66"/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</row>
    <row r="421" ht="14.25" customHeight="1">
      <c r="A421" s="66"/>
      <c r="B421" s="66"/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</row>
    <row r="422" ht="14.25" customHeight="1">
      <c r="A422" s="66"/>
      <c r="B422" s="66"/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</row>
    <row r="423" ht="14.25" customHeight="1">
      <c r="A423" s="66"/>
      <c r="B423" s="66"/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</row>
    <row r="424" ht="14.25" customHeight="1">
      <c r="A424" s="66"/>
      <c r="B424" s="66"/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</row>
    <row r="425" ht="14.25" customHeight="1">
      <c r="A425" s="66"/>
      <c r="B425" s="66"/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</row>
    <row r="426" ht="14.25" customHeight="1">
      <c r="A426" s="66"/>
      <c r="B426" s="66"/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</row>
    <row r="427" ht="14.25" customHeight="1">
      <c r="A427" s="66"/>
      <c r="B427" s="66"/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</row>
    <row r="428" ht="14.25" customHeight="1">
      <c r="A428" s="66"/>
      <c r="B428" s="66"/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</row>
    <row r="429" ht="14.25" customHeight="1">
      <c r="A429" s="66"/>
      <c r="B429" s="66"/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</row>
    <row r="430" ht="14.25" customHeight="1">
      <c r="A430" s="66"/>
      <c r="B430" s="66"/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</row>
    <row r="431" ht="14.25" customHeight="1">
      <c r="A431" s="66"/>
      <c r="B431" s="66"/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</row>
    <row r="432" ht="14.25" customHeight="1">
      <c r="A432" s="66"/>
      <c r="B432" s="66"/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</row>
    <row r="433" ht="14.25" customHeight="1">
      <c r="A433" s="66"/>
      <c r="B433" s="66"/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</row>
    <row r="434" ht="14.25" customHeight="1">
      <c r="A434" s="66"/>
      <c r="B434" s="66"/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</row>
    <row r="435" ht="14.25" customHeight="1">
      <c r="A435" s="66"/>
      <c r="B435" s="66"/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</row>
    <row r="436" ht="14.25" customHeight="1">
      <c r="A436" s="66"/>
      <c r="B436" s="66"/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</row>
    <row r="437" ht="14.25" customHeight="1">
      <c r="A437" s="66"/>
      <c r="B437" s="66"/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</row>
    <row r="438" ht="14.25" customHeight="1">
      <c r="A438" s="66"/>
      <c r="B438" s="66"/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</row>
    <row r="439" ht="14.25" customHeight="1">
      <c r="A439" s="66"/>
      <c r="B439" s="66"/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</row>
    <row r="440" ht="14.25" customHeight="1">
      <c r="A440" s="66"/>
      <c r="B440" s="66"/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</row>
    <row r="441" ht="14.25" customHeight="1">
      <c r="A441" s="66"/>
      <c r="B441" s="66"/>
      <c r="C441" s="66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</row>
    <row r="442" ht="14.25" customHeight="1">
      <c r="A442" s="66"/>
      <c r="B442" s="66"/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</row>
    <row r="443" ht="14.25" customHeight="1">
      <c r="A443" s="66"/>
      <c r="B443" s="66"/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</row>
    <row r="444" ht="14.25" customHeight="1">
      <c r="A444" s="66"/>
      <c r="B444" s="66"/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</row>
    <row r="445" ht="14.25" customHeight="1">
      <c r="A445" s="66"/>
      <c r="B445" s="66"/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</row>
    <row r="446" ht="14.25" customHeight="1">
      <c r="A446" s="66"/>
      <c r="B446" s="66"/>
      <c r="C446" s="66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</row>
    <row r="447" ht="14.25" customHeight="1">
      <c r="A447" s="66"/>
      <c r="B447" s="66"/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</row>
    <row r="448" ht="14.25" customHeight="1">
      <c r="A448" s="66"/>
      <c r="B448" s="66"/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</row>
    <row r="449" ht="14.25" customHeight="1">
      <c r="A449" s="66"/>
      <c r="B449" s="66"/>
      <c r="C449" s="66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</row>
    <row r="450" ht="14.25" customHeight="1">
      <c r="A450" s="66"/>
      <c r="B450" s="66"/>
      <c r="C450" s="66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</row>
    <row r="451" ht="14.25" customHeight="1">
      <c r="A451" s="66"/>
      <c r="B451" s="66"/>
      <c r="C451" s="66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</row>
    <row r="452" ht="14.25" customHeight="1">
      <c r="A452" s="66"/>
      <c r="B452" s="66"/>
      <c r="C452" s="66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</row>
    <row r="453" ht="14.25" customHeight="1">
      <c r="A453" s="66"/>
      <c r="B453" s="66"/>
      <c r="C453" s="66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</row>
    <row r="454" ht="14.25" customHeight="1">
      <c r="A454" s="66"/>
      <c r="B454" s="66"/>
      <c r="C454" s="66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</row>
    <row r="455" ht="14.25" customHeight="1">
      <c r="A455" s="66"/>
      <c r="B455" s="66"/>
      <c r="C455" s="66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</row>
    <row r="456" ht="14.25" customHeight="1">
      <c r="A456" s="66"/>
      <c r="B456" s="66"/>
      <c r="C456" s="66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</row>
    <row r="457" ht="14.25" customHeight="1">
      <c r="A457" s="66"/>
      <c r="B457" s="66"/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</row>
    <row r="458" ht="14.25" customHeight="1">
      <c r="A458" s="66"/>
      <c r="B458" s="66"/>
      <c r="C458" s="66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</row>
    <row r="459" ht="14.25" customHeight="1">
      <c r="A459" s="66"/>
      <c r="B459" s="66"/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</row>
    <row r="460" ht="14.25" customHeight="1">
      <c r="A460" s="66"/>
      <c r="B460" s="66"/>
      <c r="C460" s="66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</row>
    <row r="461" ht="14.25" customHeight="1">
      <c r="A461" s="66"/>
      <c r="B461" s="66"/>
      <c r="C461" s="66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</row>
    <row r="462" ht="14.25" customHeight="1">
      <c r="A462" s="66"/>
      <c r="B462" s="66"/>
      <c r="C462" s="66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</row>
    <row r="463" ht="14.25" customHeight="1">
      <c r="A463" s="66"/>
      <c r="B463" s="66"/>
      <c r="C463" s="66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</row>
    <row r="464" ht="14.25" customHeight="1">
      <c r="A464" s="66"/>
      <c r="B464" s="66"/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</row>
    <row r="465" ht="14.25" customHeight="1">
      <c r="A465" s="66"/>
      <c r="B465" s="66"/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</row>
    <row r="466" ht="14.25" customHeight="1">
      <c r="A466" s="66"/>
      <c r="B466" s="66"/>
      <c r="C466" s="66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</row>
    <row r="467" ht="14.25" customHeight="1">
      <c r="A467" s="66"/>
      <c r="B467" s="66"/>
      <c r="C467" s="66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</row>
    <row r="468" ht="14.25" customHeight="1">
      <c r="A468" s="66"/>
      <c r="B468" s="66"/>
      <c r="C468" s="66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</row>
    <row r="469" ht="14.25" customHeight="1">
      <c r="A469" s="66"/>
      <c r="B469" s="66"/>
      <c r="C469" s="66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</row>
    <row r="470" ht="14.25" customHeight="1">
      <c r="A470" s="66"/>
      <c r="B470" s="66"/>
      <c r="C470" s="66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</row>
    <row r="471" ht="14.25" customHeight="1">
      <c r="A471" s="66"/>
      <c r="B471" s="66"/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</row>
    <row r="472" ht="14.25" customHeight="1">
      <c r="A472" s="66"/>
      <c r="B472" s="66"/>
      <c r="C472" s="66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</row>
    <row r="473" ht="14.25" customHeight="1">
      <c r="A473" s="66"/>
      <c r="B473" s="66"/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</row>
    <row r="474" ht="14.25" customHeight="1">
      <c r="A474" s="66"/>
      <c r="B474" s="66"/>
      <c r="C474" s="66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</row>
    <row r="475" ht="14.25" customHeight="1">
      <c r="A475" s="66"/>
      <c r="B475" s="66"/>
      <c r="C475" s="66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</row>
    <row r="476" ht="14.25" customHeight="1">
      <c r="A476" s="66"/>
      <c r="B476" s="66"/>
      <c r="C476" s="66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</row>
    <row r="477" ht="14.25" customHeight="1">
      <c r="A477" s="66"/>
      <c r="B477" s="66"/>
      <c r="C477" s="66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</row>
    <row r="478" ht="14.25" customHeight="1">
      <c r="A478" s="66"/>
      <c r="B478" s="66"/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</row>
    <row r="479" ht="14.25" customHeight="1">
      <c r="A479" s="66"/>
      <c r="B479" s="66"/>
      <c r="C479" s="66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</row>
    <row r="480" ht="14.25" customHeight="1">
      <c r="A480" s="66"/>
      <c r="B480" s="66"/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</row>
    <row r="481" ht="14.25" customHeight="1">
      <c r="A481" s="66"/>
      <c r="B481" s="66"/>
      <c r="C481" s="66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</row>
    <row r="482" ht="14.25" customHeight="1">
      <c r="A482" s="66"/>
      <c r="B482" s="66"/>
      <c r="C482" s="66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</row>
    <row r="483" ht="14.25" customHeight="1">
      <c r="A483" s="66"/>
      <c r="B483" s="66"/>
      <c r="C483" s="66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</row>
    <row r="484" ht="14.25" customHeight="1">
      <c r="A484" s="66"/>
      <c r="B484" s="66"/>
      <c r="C484" s="66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</row>
    <row r="485" ht="14.25" customHeight="1">
      <c r="A485" s="66"/>
      <c r="B485" s="66"/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</row>
    <row r="486" ht="14.25" customHeight="1">
      <c r="A486" s="66"/>
      <c r="B486" s="66"/>
      <c r="C486" s="66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</row>
    <row r="487" ht="14.25" customHeight="1">
      <c r="A487" s="66"/>
      <c r="B487" s="66"/>
      <c r="C487" s="66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</row>
    <row r="488" ht="14.25" customHeight="1">
      <c r="A488" s="66"/>
      <c r="B488" s="66"/>
      <c r="C488" s="66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</row>
    <row r="489" ht="14.25" customHeight="1">
      <c r="A489" s="66"/>
      <c r="B489" s="66"/>
      <c r="C489" s="66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</row>
    <row r="490" ht="14.25" customHeight="1">
      <c r="A490" s="66"/>
      <c r="B490" s="66"/>
      <c r="C490" s="66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</row>
    <row r="491" ht="14.25" customHeight="1">
      <c r="A491" s="66"/>
      <c r="B491" s="66"/>
      <c r="C491" s="66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</row>
    <row r="492" ht="14.25" customHeight="1">
      <c r="A492" s="66"/>
      <c r="B492" s="66"/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</row>
    <row r="493" ht="14.25" customHeight="1">
      <c r="A493" s="66"/>
      <c r="B493" s="66"/>
      <c r="C493" s="66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</row>
    <row r="494" ht="14.25" customHeight="1">
      <c r="A494" s="66"/>
      <c r="B494" s="66"/>
      <c r="C494" s="66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</row>
    <row r="495" ht="14.25" customHeight="1">
      <c r="A495" s="66"/>
      <c r="B495" s="66"/>
      <c r="C495" s="66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</row>
    <row r="496" ht="14.25" customHeight="1">
      <c r="A496" s="66"/>
      <c r="B496" s="66"/>
      <c r="C496" s="66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</row>
    <row r="497" ht="14.25" customHeight="1">
      <c r="A497" s="66"/>
      <c r="B497" s="66"/>
      <c r="C497" s="66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</row>
    <row r="498" ht="14.25" customHeight="1">
      <c r="A498" s="66"/>
      <c r="B498" s="66"/>
      <c r="C498" s="66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</row>
    <row r="499" ht="14.25" customHeight="1">
      <c r="A499" s="66"/>
      <c r="B499" s="66"/>
      <c r="C499" s="66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</row>
    <row r="500" ht="14.25" customHeight="1">
      <c r="A500" s="66"/>
      <c r="B500" s="66"/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</row>
    <row r="501" ht="14.25" customHeight="1">
      <c r="A501" s="66"/>
      <c r="B501" s="66"/>
      <c r="C501" s="66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</row>
    <row r="502" ht="14.25" customHeight="1">
      <c r="A502" s="66"/>
      <c r="B502" s="66"/>
      <c r="C502" s="66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</row>
    <row r="503" ht="14.25" customHeight="1">
      <c r="A503" s="66"/>
      <c r="B503" s="66"/>
      <c r="C503" s="66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</row>
    <row r="504" ht="14.25" customHeight="1">
      <c r="A504" s="66"/>
      <c r="B504" s="66"/>
      <c r="C504" s="66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</row>
    <row r="505" ht="14.25" customHeight="1">
      <c r="A505" s="66"/>
      <c r="B505" s="66"/>
      <c r="C505" s="66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</row>
    <row r="506" ht="14.25" customHeight="1">
      <c r="A506" s="66"/>
      <c r="B506" s="66"/>
      <c r="C506" s="66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</row>
    <row r="507" ht="14.25" customHeight="1">
      <c r="A507" s="66"/>
      <c r="B507" s="66"/>
      <c r="C507" s="66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</row>
    <row r="508" ht="14.25" customHeight="1">
      <c r="A508" s="66"/>
      <c r="B508" s="66"/>
      <c r="C508" s="66"/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</row>
    <row r="509" ht="14.25" customHeight="1">
      <c r="A509" s="66"/>
      <c r="B509" s="66"/>
      <c r="C509" s="66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</row>
    <row r="510" ht="14.25" customHeight="1">
      <c r="A510" s="66"/>
      <c r="B510" s="66"/>
      <c r="C510" s="66"/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</row>
    <row r="511" ht="14.25" customHeight="1">
      <c r="A511" s="66"/>
      <c r="B511" s="66"/>
      <c r="C511" s="66"/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</row>
    <row r="512" ht="14.25" customHeight="1">
      <c r="A512" s="66"/>
      <c r="B512" s="66"/>
      <c r="C512" s="66"/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</row>
    <row r="513" ht="14.25" customHeight="1">
      <c r="A513" s="66"/>
      <c r="B513" s="66"/>
      <c r="C513" s="66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</row>
    <row r="514" ht="14.25" customHeight="1">
      <c r="A514" s="66"/>
      <c r="B514" s="66"/>
      <c r="C514" s="66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</row>
    <row r="515" ht="14.25" customHeight="1">
      <c r="A515" s="66"/>
      <c r="B515" s="66"/>
      <c r="C515" s="66"/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</row>
    <row r="516" ht="14.25" customHeight="1">
      <c r="A516" s="66"/>
      <c r="B516" s="66"/>
      <c r="C516" s="66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</row>
    <row r="517" ht="14.25" customHeight="1">
      <c r="A517" s="66"/>
      <c r="B517" s="66"/>
      <c r="C517" s="66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</row>
    <row r="518" ht="14.25" customHeight="1">
      <c r="A518" s="66"/>
      <c r="B518" s="66"/>
      <c r="C518" s="66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</row>
    <row r="519" ht="14.25" customHeight="1">
      <c r="A519" s="66"/>
      <c r="B519" s="66"/>
      <c r="C519" s="66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</row>
    <row r="520" ht="14.25" customHeight="1">
      <c r="A520" s="66"/>
      <c r="B520" s="66"/>
      <c r="C520" s="66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</row>
    <row r="521" ht="14.25" customHeight="1">
      <c r="A521" s="66"/>
      <c r="B521" s="66"/>
      <c r="C521" s="66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</row>
    <row r="522" ht="14.25" customHeight="1">
      <c r="A522" s="66"/>
      <c r="B522" s="66"/>
      <c r="C522" s="66"/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</row>
    <row r="523" ht="14.25" customHeight="1">
      <c r="A523" s="66"/>
      <c r="B523" s="66"/>
      <c r="C523" s="66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</row>
    <row r="524" ht="14.25" customHeight="1">
      <c r="A524" s="66"/>
      <c r="B524" s="66"/>
      <c r="C524" s="66"/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</row>
    <row r="525" ht="14.25" customHeight="1">
      <c r="A525" s="66"/>
      <c r="B525" s="66"/>
      <c r="C525" s="66"/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</row>
    <row r="526" ht="14.25" customHeight="1">
      <c r="A526" s="66"/>
      <c r="B526" s="66"/>
      <c r="C526" s="66"/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</row>
    <row r="527" ht="14.25" customHeight="1">
      <c r="A527" s="66"/>
      <c r="B527" s="66"/>
      <c r="C527" s="66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</row>
    <row r="528" ht="14.25" customHeight="1">
      <c r="A528" s="66"/>
      <c r="B528" s="66"/>
      <c r="C528" s="66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</row>
    <row r="529" ht="14.25" customHeight="1">
      <c r="A529" s="66"/>
      <c r="B529" s="66"/>
      <c r="C529" s="66"/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</row>
    <row r="530" ht="14.25" customHeight="1">
      <c r="A530" s="66"/>
      <c r="B530" s="66"/>
      <c r="C530" s="66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</row>
    <row r="531" ht="14.25" customHeight="1">
      <c r="A531" s="66"/>
      <c r="B531" s="66"/>
      <c r="C531" s="66"/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</row>
    <row r="532" ht="14.25" customHeight="1">
      <c r="A532" s="66"/>
      <c r="B532" s="66"/>
      <c r="C532" s="66"/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</row>
    <row r="533" ht="14.25" customHeight="1">
      <c r="A533" s="66"/>
      <c r="B533" s="66"/>
      <c r="C533" s="66"/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</row>
    <row r="534" ht="14.25" customHeight="1">
      <c r="A534" s="66"/>
      <c r="B534" s="66"/>
      <c r="C534" s="66"/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</row>
    <row r="535" ht="14.25" customHeight="1">
      <c r="A535" s="66"/>
      <c r="B535" s="66"/>
      <c r="C535" s="66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</row>
    <row r="536" ht="14.25" customHeight="1">
      <c r="A536" s="66"/>
      <c r="B536" s="66"/>
      <c r="C536" s="66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</row>
    <row r="537" ht="14.25" customHeight="1">
      <c r="A537" s="66"/>
      <c r="B537" s="66"/>
      <c r="C537" s="66"/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</row>
    <row r="538" ht="14.25" customHeight="1">
      <c r="A538" s="66"/>
      <c r="B538" s="66"/>
      <c r="C538" s="66"/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</row>
    <row r="539" ht="14.25" customHeight="1">
      <c r="A539" s="66"/>
      <c r="B539" s="66"/>
      <c r="C539" s="66"/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</row>
    <row r="540" ht="14.25" customHeight="1">
      <c r="A540" s="66"/>
      <c r="B540" s="66"/>
      <c r="C540" s="66"/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</row>
    <row r="541" ht="14.25" customHeight="1">
      <c r="A541" s="66"/>
      <c r="B541" s="66"/>
      <c r="C541" s="66"/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</row>
    <row r="542" ht="14.25" customHeight="1">
      <c r="A542" s="66"/>
      <c r="B542" s="66"/>
      <c r="C542" s="66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</row>
    <row r="543" ht="14.25" customHeight="1">
      <c r="A543" s="66"/>
      <c r="B543" s="66"/>
      <c r="C543" s="66"/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</row>
    <row r="544" ht="14.25" customHeight="1">
      <c r="A544" s="66"/>
      <c r="B544" s="66"/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</row>
    <row r="545" ht="14.25" customHeight="1">
      <c r="A545" s="66"/>
      <c r="B545" s="66"/>
      <c r="C545" s="66"/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</row>
    <row r="546" ht="14.25" customHeight="1">
      <c r="A546" s="66"/>
      <c r="B546" s="66"/>
      <c r="C546" s="66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</row>
    <row r="547" ht="14.25" customHeight="1">
      <c r="A547" s="66"/>
      <c r="B547" s="66"/>
      <c r="C547" s="66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</row>
    <row r="548" ht="14.25" customHeight="1">
      <c r="A548" s="66"/>
      <c r="B548" s="66"/>
      <c r="C548" s="66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</row>
    <row r="549" ht="14.25" customHeight="1">
      <c r="A549" s="66"/>
      <c r="B549" s="66"/>
      <c r="C549" s="66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</row>
    <row r="550" ht="14.25" customHeight="1">
      <c r="A550" s="66"/>
      <c r="B550" s="66"/>
      <c r="C550" s="66"/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</row>
    <row r="551" ht="14.25" customHeight="1">
      <c r="A551" s="66"/>
      <c r="B551" s="66"/>
      <c r="C551" s="66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</row>
    <row r="552" ht="14.25" customHeight="1">
      <c r="A552" s="66"/>
      <c r="B552" s="66"/>
      <c r="C552" s="66"/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</row>
    <row r="553" ht="14.25" customHeight="1">
      <c r="A553" s="66"/>
      <c r="B553" s="66"/>
      <c r="C553" s="66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</row>
    <row r="554" ht="14.25" customHeight="1">
      <c r="A554" s="66"/>
      <c r="B554" s="66"/>
      <c r="C554" s="66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</row>
    <row r="555" ht="14.25" customHeight="1">
      <c r="A555" s="66"/>
      <c r="B555" s="66"/>
      <c r="C555" s="66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</row>
    <row r="556" ht="14.25" customHeight="1">
      <c r="A556" s="66"/>
      <c r="B556" s="66"/>
      <c r="C556" s="66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</row>
    <row r="557" ht="14.25" customHeight="1">
      <c r="A557" s="66"/>
      <c r="B557" s="66"/>
      <c r="C557" s="66"/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</row>
    <row r="558" ht="14.25" customHeight="1">
      <c r="A558" s="66"/>
      <c r="B558" s="66"/>
      <c r="C558" s="66"/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</row>
    <row r="559" ht="14.25" customHeight="1">
      <c r="A559" s="66"/>
      <c r="B559" s="66"/>
      <c r="C559" s="66"/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</row>
    <row r="560" ht="14.25" customHeight="1">
      <c r="A560" s="66"/>
      <c r="B560" s="66"/>
      <c r="C560" s="66"/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</row>
    <row r="561" ht="14.25" customHeight="1">
      <c r="A561" s="66"/>
      <c r="B561" s="66"/>
      <c r="C561" s="66"/>
      <c r="D561" s="66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</row>
    <row r="562" ht="14.25" customHeight="1">
      <c r="A562" s="66"/>
      <c r="B562" s="66"/>
      <c r="C562" s="66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</row>
    <row r="563" ht="14.25" customHeight="1">
      <c r="A563" s="66"/>
      <c r="B563" s="66"/>
      <c r="C563" s="66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</row>
    <row r="564" ht="14.25" customHeight="1">
      <c r="A564" s="66"/>
      <c r="B564" s="66"/>
      <c r="C564" s="66"/>
      <c r="D564" s="66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</row>
    <row r="565" ht="14.25" customHeight="1">
      <c r="A565" s="66"/>
      <c r="B565" s="66"/>
      <c r="C565" s="66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</row>
    <row r="566" ht="14.25" customHeight="1">
      <c r="A566" s="66"/>
      <c r="B566" s="66"/>
      <c r="C566" s="66"/>
      <c r="D566" s="66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</row>
    <row r="567" ht="14.25" customHeight="1">
      <c r="A567" s="66"/>
      <c r="B567" s="66"/>
      <c r="C567" s="66"/>
      <c r="D567" s="66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</row>
    <row r="568" ht="14.25" customHeight="1">
      <c r="A568" s="66"/>
      <c r="B568" s="66"/>
      <c r="C568" s="66"/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</row>
    <row r="569" ht="14.25" customHeight="1">
      <c r="A569" s="66"/>
      <c r="B569" s="66"/>
      <c r="C569" s="66"/>
      <c r="D569" s="66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</row>
    <row r="570" ht="14.25" customHeight="1">
      <c r="A570" s="66"/>
      <c r="B570" s="66"/>
      <c r="C570" s="66"/>
      <c r="D570" s="66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</row>
    <row r="571" ht="14.25" customHeight="1">
      <c r="A571" s="66"/>
      <c r="B571" s="66"/>
      <c r="C571" s="66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</row>
    <row r="572" ht="14.25" customHeight="1">
      <c r="A572" s="66"/>
      <c r="B572" s="66"/>
      <c r="C572" s="66"/>
      <c r="D572" s="66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</row>
    <row r="573" ht="14.25" customHeight="1">
      <c r="A573" s="66"/>
      <c r="B573" s="66"/>
      <c r="C573" s="66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</row>
    <row r="574" ht="14.25" customHeight="1">
      <c r="A574" s="66"/>
      <c r="B574" s="66"/>
      <c r="C574" s="66"/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</row>
    <row r="575" ht="14.25" customHeight="1">
      <c r="A575" s="66"/>
      <c r="B575" s="66"/>
      <c r="C575" s="66"/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</row>
    <row r="576" ht="14.25" customHeight="1">
      <c r="A576" s="66"/>
      <c r="B576" s="66"/>
      <c r="C576" s="66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</row>
    <row r="577" ht="14.25" customHeight="1">
      <c r="A577" s="66"/>
      <c r="B577" s="66"/>
      <c r="C577" s="66"/>
      <c r="D577" s="66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</row>
    <row r="578" ht="14.25" customHeight="1">
      <c r="A578" s="66"/>
      <c r="B578" s="66"/>
      <c r="C578" s="66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</row>
    <row r="579" ht="14.25" customHeight="1">
      <c r="A579" s="66"/>
      <c r="B579" s="66"/>
      <c r="C579" s="66"/>
      <c r="D579" s="66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</row>
    <row r="580" ht="14.25" customHeight="1">
      <c r="A580" s="66"/>
      <c r="B580" s="66"/>
      <c r="C580" s="66"/>
      <c r="D580" s="66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</row>
    <row r="581" ht="14.25" customHeight="1">
      <c r="A581" s="66"/>
      <c r="B581" s="66"/>
      <c r="C581" s="66"/>
      <c r="D581" s="66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</row>
    <row r="582" ht="14.25" customHeight="1">
      <c r="A582" s="66"/>
      <c r="B582" s="66"/>
      <c r="C582" s="66"/>
      <c r="D582" s="66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</row>
    <row r="583" ht="14.25" customHeight="1">
      <c r="A583" s="66"/>
      <c r="B583" s="66"/>
      <c r="C583" s="66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</row>
    <row r="584" ht="14.25" customHeight="1">
      <c r="A584" s="66"/>
      <c r="B584" s="66"/>
      <c r="C584" s="66"/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</row>
    <row r="585" ht="14.25" customHeight="1">
      <c r="A585" s="66"/>
      <c r="B585" s="66"/>
      <c r="C585" s="66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</row>
    <row r="586" ht="14.25" customHeight="1">
      <c r="A586" s="66"/>
      <c r="B586" s="66"/>
      <c r="C586" s="66"/>
      <c r="D586" s="66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</row>
    <row r="587" ht="14.25" customHeight="1">
      <c r="A587" s="66"/>
      <c r="B587" s="66"/>
      <c r="C587" s="66"/>
      <c r="D587" s="66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</row>
    <row r="588" ht="14.25" customHeight="1">
      <c r="A588" s="66"/>
      <c r="B588" s="66"/>
      <c r="C588" s="66"/>
      <c r="D588" s="66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</row>
    <row r="589" ht="14.25" customHeight="1">
      <c r="A589" s="66"/>
      <c r="B589" s="66"/>
      <c r="C589" s="66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</row>
    <row r="590" ht="14.25" customHeight="1">
      <c r="A590" s="66"/>
      <c r="B590" s="66"/>
      <c r="C590" s="66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</row>
    <row r="591" ht="14.25" customHeight="1">
      <c r="A591" s="66"/>
      <c r="B591" s="66"/>
      <c r="C591" s="66"/>
      <c r="D591" s="66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</row>
    <row r="592" ht="14.25" customHeight="1">
      <c r="A592" s="66"/>
      <c r="B592" s="66"/>
      <c r="C592" s="66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</row>
    <row r="593" ht="14.25" customHeight="1">
      <c r="A593" s="66"/>
      <c r="B593" s="66"/>
      <c r="C593" s="66"/>
      <c r="D593" s="66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</row>
    <row r="594" ht="14.25" customHeight="1">
      <c r="A594" s="66"/>
      <c r="B594" s="66"/>
      <c r="C594" s="66"/>
      <c r="D594" s="66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</row>
    <row r="595" ht="14.25" customHeight="1">
      <c r="A595" s="66"/>
      <c r="B595" s="66"/>
      <c r="C595" s="66"/>
      <c r="D595" s="66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</row>
    <row r="596" ht="14.25" customHeight="1">
      <c r="A596" s="66"/>
      <c r="B596" s="66"/>
      <c r="C596" s="66"/>
      <c r="D596" s="66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</row>
    <row r="597" ht="14.25" customHeight="1">
      <c r="A597" s="66"/>
      <c r="B597" s="66"/>
      <c r="C597" s="66"/>
      <c r="D597" s="66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</row>
    <row r="598" ht="14.25" customHeight="1">
      <c r="A598" s="66"/>
      <c r="B598" s="66"/>
      <c r="C598" s="66"/>
      <c r="D598" s="66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</row>
    <row r="599" ht="14.25" customHeight="1">
      <c r="A599" s="66"/>
      <c r="B599" s="66"/>
      <c r="C599" s="66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</row>
    <row r="600" ht="14.25" customHeight="1">
      <c r="A600" s="66"/>
      <c r="B600" s="66"/>
      <c r="C600" s="66"/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</row>
    <row r="601" ht="14.25" customHeight="1">
      <c r="A601" s="66"/>
      <c r="B601" s="66"/>
      <c r="C601" s="66"/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</row>
    <row r="602" ht="14.25" customHeight="1">
      <c r="A602" s="66"/>
      <c r="B602" s="66"/>
      <c r="C602" s="66"/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</row>
    <row r="603" ht="14.25" customHeight="1">
      <c r="A603" s="66"/>
      <c r="B603" s="66"/>
      <c r="C603" s="66"/>
      <c r="D603" s="66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</row>
    <row r="604" ht="14.25" customHeight="1">
      <c r="A604" s="66"/>
      <c r="B604" s="66"/>
      <c r="C604" s="66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</row>
    <row r="605" ht="14.25" customHeight="1">
      <c r="A605" s="66"/>
      <c r="B605" s="66"/>
      <c r="C605" s="66"/>
      <c r="D605" s="66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</row>
    <row r="606" ht="14.25" customHeight="1">
      <c r="A606" s="66"/>
      <c r="B606" s="66"/>
      <c r="C606" s="66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</row>
    <row r="607" ht="14.25" customHeight="1">
      <c r="A607" s="66"/>
      <c r="B607" s="66"/>
      <c r="C607" s="66"/>
      <c r="D607" s="66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</row>
    <row r="608" ht="14.25" customHeight="1">
      <c r="A608" s="66"/>
      <c r="B608" s="66"/>
      <c r="C608" s="66"/>
      <c r="D608" s="66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</row>
    <row r="609" ht="14.25" customHeight="1">
      <c r="A609" s="66"/>
      <c r="B609" s="66"/>
      <c r="C609" s="66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</row>
    <row r="610" ht="14.25" customHeight="1">
      <c r="A610" s="66"/>
      <c r="B610" s="66"/>
      <c r="C610" s="66"/>
      <c r="D610" s="66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</row>
    <row r="611" ht="14.25" customHeight="1">
      <c r="A611" s="66"/>
      <c r="B611" s="66"/>
      <c r="C611" s="66"/>
      <c r="D611" s="66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</row>
    <row r="612" ht="14.25" customHeight="1">
      <c r="A612" s="66"/>
      <c r="B612" s="66"/>
      <c r="C612" s="66"/>
      <c r="D612" s="66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</row>
    <row r="613" ht="14.25" customHeight="1">
      <c r="A613" s="66"/>
      <c r="B613" s="66"/>
      <c r="C613" s="66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</row>
    <row r="614" ht="14.25" customHeight="1">
      <c r="A614" s="66"/>
      <c r="B614" s="66"/>
      <c r="C614" s="66"/>
      <c r="D614" s="66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</row>
    <row r="615" ht="14.25" customHeight="1">
      <c r="A615" s="66"/>
      <c r="B615" s="66"/>
      <c r="C615" s="66"/>
      <c r="D615" s="66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</row>
    <row r="616" ht="14.25" customHeight="1">
      <c r="A616" s="66"/>
      <c r="B616" s="66"/>
      <c r="C616" s="66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</row>
    <row r="617" ht="14.25" customHeight="1">
      <c r="A617" s="66"/>
      <c r="B617" s="66"/>
      <c r="C617" s="66"/>
      <c r="D617" s="66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</row>
    <row r="618" ht="14.25" customHeight="1">
      <c r="A618" s="66"/>
      <c r="B618" s="66"/>
      <c r="C618" s="66"/>
      <c r="D618" s="66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</row>
    <row r="619" ht="14.25" customHeight="1">
      <c r="A619" s="66"/>
      <c r="B619" s="66"/>
      <c r="C619" s="66"/>
      <c r="D619" s="66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</row>
    <row r="620" ht="14.25" customHeight="1">
      <c r="A620" s="66"/>
      <c r="B620" s="66"/>
      <c r="C620" s="66"/>
      <c r="D620" s="66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</row>
    <row r="621" ht="14.25" customHeight="1">
      <c r="A621" s="66"/>
      <c r="B621" s="66"/>
      <c r="C621" s="66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</row>
    <row r="622" ht="14.25" customHeight="1">
      <c r="A622" s="66"/>
      <c r="B622" s="66"/>
      <c r="C622" s="66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</row>
    <row r="623" ht="14.25" customHeight="1">
      <c r="A623" s="66"/>
      <c r="B623" s="66"/>
      <c r="C623" s="66"/>
      <c r="D623" s="66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</row>
    <row r="624" ht="14.25" customHeight="1">
      <c r="A624" s="66"/>
      <c r="B624" s="66"/>
      <c r="C624" s="66"/>
      <c r="D624" s="66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</row>
    <row r="625" ht="14.25" customHeight="1">
      <c r="A625" s="66"/>
      <c r="B625" s="66"/>
      <c r="C625" s="66"/>
      <c r="D625" s="66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</row>
    <row r="626" ht="14.25" customHeight="1">
      <c r="A626" s="66"/>
      <c r="B626" s="66"/>
      <c r="C626" s="66"/>
      <c r="D626" s="66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</row>
    <row r="627" ht="14.25" customHeight="1">
      <c r="A627" s="66"/>
      <c r="B627" s="66"/>
      <c r="C627" s="66"/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</row>
    <row r="628" ht="14.25" customHeight="1">
      <c r="A628" s="66"/>
      <c r="B628" s="66"/>
      <c r="C628" s="66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</row>
    <row r="629" ht="14.25" customHeight="1">
      <c r="A629" s="66"/>
      <c r="B629" s="66"/>
      <c r="C629" s="66"/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</row>
    <row r="630" ht="14.25" customHeight="1">
      <c r="A630" s="66"/>
      <c r="B630" s="66"/>
      <c r="C630" s="66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</row>
    <row r="631" ht="14.25" customHeight="1">
      <c r="A631" s="66"/>
      <c r="B631" s="66"/>
      <c r="C631" s="66"/>
      <c r="D631" s="66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</row>
    <row r="632" ht="14.25" customHeight="1">
      <c r="A632" s="66"/>
      <c r="B632" s="66"/>
      <c r="C632" s="66"/>
      <c r="D632" s="66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</row>
    <row r="633" ht="14.25" customHeight="1">
      <c r="A633" s="66"/>
      <c r="B633" s="66"/>
      <c r="C633" s="66"/>
      <c r="D633" s="66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</row>
    <row r="634" ht="14.25" customHeight="1">
      <c r="A634" s="66"/>
      <c r="B634" s="66"/>
      <c r="C634" s="66"/>
      <c r="D634" s="66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</row>
    <row r="635" ht="14.25" customHeight="1">
      <c r="A635" s="66"/>
      <c r="B635" s="66"/>
      <c r="C635" s="66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</row>
    <row r="636" ht="14.25" customHeight="1">
      <c r="A636" s="66"/>
      <c r="B636" s="66"/>
      <c r="C636" s="66"/>
      <c r="D636" s="66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</row>
    <row r="637" ht="14.25" customHeight="1">
      <c r="A637" s="66"/>
      <c r="B637" s="66"/>
      <c r="C637" s="66"/>
      <c r="D637" s="66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</row>
    <row r="638" ht="14.25" customHeight="1">
      <c r="A638" s="66"/>
      <c r="B638" s="66"/>
      <c r="C638" s="66"/>
      <c r="D638" s="66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</row>
    <row r="639" ht="14.25" customHeight="1">
      <c r="A639" s="66"/>
      <c r="B639" s="66"/>
      <c r="C639" s="66"/>
      <c r="D639" s="66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</row>
    <row r="640" ht="14.25" customHeight="1">
      <c r="A640" s="66"/>
      <c r="B640" s="66"/>
      <c r="C640" s="66"/>
      <c r="D640" s="66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</row>
    <row r="641" ht="14.25" customHeight="1">
      <c r="A641" s="66"/>
      <c r="B641" s="66"/>
      <c r="C641" s="66"/>
      <c r="D641" s="66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</row>
    <row r="642" ht="14.25" customHeight="1">
      <c r="A642" s="66"/>
      <c r="B642" s="66"/>
      <c r="C642" s="66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</row>
    <row r="643" ht="14.25" customHeight="1">
      <c r="A643" s="66"/>
      <c r="B643" s="66"/>
      <c r="C643" s="66"/>
      <c r="D643" s="66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</row>
    <row r="644" ht="14.25" customHeight="1">
      <c r="A644" s="66"/>
      <c r="B644" s="66"/>
      <c r="C644" s="66"/>
      <c r="D644" s="66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</row>
    <row r="645" ht="14.25" customHeight="1">
      <c r="A645" s="66"/>
      <c r="B645" s="66"/>
      <c r="C645" s="66"/>
      <c r="D645" s="66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</row>
    <row r="646" ht="14.25" customHeight="1">
      <c r="A646" s="66"/>
      <c r="B646" s="66"/>
      <c r="C646" s="66"/>
      <c r="D646" s="66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</row>
    <row r="647" ht="14.25" customHeight="1">
      <c r="A647" s="66"/>
      <c r="B647" s="66"/>
      <c r="C647" s="66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</row>
    <row r="648" ht="14.25" customHeight="1">
      <c r="A648" s="66"/>
      <c r="B648" s="66"/>
      <c r="C648" s="66"/>
      <c r="D648" s="66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</row>
    <row r="649" ht="14.25" customHeight="1">
      <c r="A649" s="66"/>
      <c r="B649" s="66"/>
      <c r="C649" s="66"/>
      <c r="D649" s="66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</row>
    <row r="650" ht="14.25" customHeight="1">
      <c r="A650" s="66"/>
      <c r="B650" s="66"/>
      <c r="C650" s="66"/>
      <c r="D650" s="66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</row>
    <row r="651" ht="14.25" customHeight="1">
      <c r="A651" s="66"/>
      <c r="B651" s="66"/>
      <c r="C651" s="66"/>
      <c r="D651" s="66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</row>
    <row r="652" ht="14.25" customHeight="1">
      <c r="A652" s="66"/>
      <c r="B652" s="66"/>
      <c r="C652" s="66"/>
      <c r="D652" s="66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</row>
    <row r="653" ht="14.25" customHeight="1">
      <c r="A653" s="66"/>
      <c r="B653" s="66"/>
      <c r="C653" s="66"/>
      <c r="D653" s="66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</row>
    <row r="654" ht="14.25" customHeight="1">
      <c r="A654" s="66"/>
      <c r="B654" s="66"/>
      <c r="C654" s="66"/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</row>
    <row r="655" ht="14.25" customHeight="1">
      <c r="A655" s="66"/>
      <c r="B655" s="66"/>
      <c r="C655" s="66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</row>
    <row r="656" ht="14.25" customHeight="1">
      <c r="A656" s="66"/>
      <c r="B656" s="66"/>
      <c r="C656" s="66"/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</row>
    <row r="657" ht="14.25" customHeight="1">
      <c r="A657" s="66"/>
      <c r="B657" s="66"/>
      <c r="C657" s="66"/>
      <c r="D657" s="66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</row>
    <row r="658" ht="14.25" customHeight="1">
      <c r="A658" s="66"/>
      <c r="B658" s="66"/>
      <c r="C658" s="66"/>
      <c r="D658" s="66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</row>
    <row r="659" ht="14.25" customHeight="1">
      <c r="A659" s="66"/>
      <c r="B659" s="66"/>
      <c r="C659" s="66"/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</row>
    <row r="660" ht="14.25" customHeight="1">
      <c r="A660" s="66"/>
      <c r="B660" s="66"/>
      <c r="C660" s="66"/>
      <c r="D660" s="66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</row>
    <row r="661" ht="14.25" customHeight="1">
      <c r="A661" s="66"/>
      <c r="B661" s="66"/>
      <c r="C661" s="66"/>
      <c r="D661" s="66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</row>
    <row r="662" ht="14.25" customHeight="1">
      <c r="A662" s="66"/>
      <c r="B662" s="66"/>
      <c r="C662" s="66"/>
      <c r="D662" s="66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</row>
    <row r="663" ht="14.25" customHeight="1">
      <c r="A663" s="66"/>
      <c r="B663" s="66"/>
      <c r="C663" s="66"/>
      <c r="D663" s="66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</row>
    <row r="664" ht="14.25" customHeight="1">
      <c r="A664" s="66"/>
      <c r="B664" s="66"/>
      <c r="C664" s="66"/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</row>
    <row r="665" ht="14.25" customHeight="1">
      <c r="A665" s="66"/>
      <c r="B665" s="66"/>
      <c r="C665" s="66"/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</row>
    <row r="666" ht="14.25" customHeight="1">
      <c r="A666" s="66"/>
      <c r="B666" s="66"/>
      <c r="C666" s="66"/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</row>
    <row r="667" ht="14.25" customHeight="1">
      <c r="A667" s="66"/>
      <c r="B667" s="66"/>
      <c r="C667" s="66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</row>
    <row r="668" ht="14.25" customHeight="1">
      <c r="A668" s="66"/>
      <c r="B668" s="66"/>
      <c r="C668" s="66"/>
      <c r="D668" s="66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</row>
    <row r="669" ht="14.25" customHeight="1">
      <c r="A669" s="66"/>
      <c r="B669" s="66"/>
      <c r="C669" s="66"/>
      <c r="D669" s="66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</row>
    <row r="670" ht="14.25" customHeight="1">
      <c r="A670" s="66"/>
      <c r="B670" s="66"/>
      <c r="C670" s="66"/>
      <c r="D670" s="66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</row>
    <row r="671" ht="14.25" customHeight="1">
      <c r="A671" s="66"/>
      <c r="B671" s="66"/>
      <c r="C671" s="66"/>
      <c r="D671" s="66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</row>
    <row r="672" ht="14.25" customHeight="1">
      <c r="A672" s="66"/>
      <c r="B672" s="66"/>
      <c r="C672" s="66"/>
      <c r="D672" s="66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</row>
    <row r="673" ht="14.25" customHeight="1">
      <c r="A673" s="66"/>
      <c r="B673" s="66"/>
      <c r="C673" s="66"/>
      <c r="D673" s="66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</row>
    <row r="674" ht="14.25" customHeight="1">
      <c r="A674" s="66"/>
      <c r="B674" s="66"/>
      <c r="C674" s="66"/>
      <c r="D674" s="66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</row>
    <row r="675" ht="14.25" customHeight="1">
      <c r="A675" s="66"/>
      <c r="B675" s="66"/>
      <c r="C675" s="66"/>
      <c r="D675" s="66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</row>
    <row r="676" ht="14.25" customHeight="1">
      <c r="A676" s="66"/>
      <c r="B676" s="66"/>
      <c r="C676" s="66"/>
      <c r="D676" s="66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</row>
    <row r="677" ht="14.25" customHeight="1">
      <c r="A677" s="66"/>
      <c r="B677" s="66"/>
      <c r="C677" s="66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</row>
    <row r="678" ht="14.25" customHeight="1">
      <c r="A678" s="66"/>
      <c r="B678" s="66"/>
      <c r="C678" s="66"/>
      <c r="D678" s="66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</row>
    <row r="679" ht="14.25" customHeight="1">
      <c r="A679" s="66"/>
      <c r="B679" s="66"/>
      <c r="C679" s="66"/>
      <c r="D679" s="66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</row>
    <row r="680" ht="14.25" customHeight="1">
      <c r="A680" s="66"/>
      <c r="B680" s="66"/>
      <c r="C680" s="66"/>
      <c r="D680" s="66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</row>
    <row r="681" ht="14.25" customHeight="1">
      <c r="A681" s="66"/>
      <c r="B681" s="66"/>
      <c r="C681" s="66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</row>
    <row r="682" ht="14.25" customHeight="1">
      <c r="A682" s="66"/>
      <c r="B682" s="66"/>
      <c r="C682" s="66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</row>
    <row r="683" ht="14.25" customHeight="1">
      <c r="A683" s="66"/>
      <c r="B683" s="66"/>
      <c r="C683" s="66"/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</row>
    <row r="684" ht="14.25" customHeight="1">
      <c r="A684" s="66"/>
      <c r="B684" s="66"/>
      <c r="C684" s="66"/>
      <c r="D684" s="66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</row>
    <row r="685" ht="14.25" customHeight="1">
      <c r="A685" s="66"/>
      <c r="B685" s="66"/>
      <c r="C685" s="66"/>
      <c r="D685" s="66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</row>
    <row r="686" ht="14.25" customHeight="1">
      <c r="A686" s="66"/>
      <c r="B686" s="66"/>
      <c r="C686" s="66"/>
      <c r="D686" s="66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</row>
    <row r="687" ht="14.25" customHeight="1">
      <c r="A687" s="66"/>
      <c r="B687" s="66"/>
      <c r="C687" s="66"/>
      <c r="D687" s="66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</row>
    <row r="688" ht="14.25" customHeight="1">
      <c r="A688" s="66"/>
      <c r="B688" s="66"/>
      <c r="C688" s="66"/>
      <c r="D688" s="66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</row>
    <row r="689" ht="14.25" customHeight="1">
      <c r="A689" s="66"/>
      <c r="B689" s="66"/>
      <c r="C689" s="66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</row>
    <row r="690" ht="14.25" customHeight="1">
      <c r="A690" s="66"/>
      <c r="B690" s="66"/>
      <c r="C690" s="66"/>
      <c r="D690" s="66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</row>
    <row r="691" ht="14.25" customHeight="1">
      <c r="A691" s="66"/>
      <c r="B691" s="66"/>
      <c r="C691" s="66"/>
      <c r="D691" s="66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</row>
    <row r="692" ht="14.25" customHeight="1">
      <c r="A692" s="66"/>
      <c r="B692" s="66"/>
      <c r="C692" s="66"/>
      <c r="D692" s="66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</row>
    <row r="693" ht="14.25" customHeight="1">
      <c r="A693" s="66"/>
      <c r="B693" s="66"/>
      <c r="C693" s="66"/>
      <c r="D693" s="66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</row>
    <row r="694" ht="14.25" customHeight="1">
      <c r="A694" s="66"/>
      <c r="B694" s="66"/>
      <c r="C694" s="66"/>
      <c r="D694" s="66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</row>
    <row r="695" ht="14.25" customHeight="1">
      <c r="A695" s="66"/>
      <c r="B695" s="66"/>
      <c r="C695" s="66"/>
      <c r="D695" s="66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</row>
    <row r="696" ht="14.25" customHeight="1">
      <c r="A696" s="66"/>
      <c r="B696" s="66"/>
      <c r="C696" s="66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</row>
    <row r="697" ht="14.25" customHeight="1">
      <c r="A697" s="66"/>
      <c r="B697" s="66"/>
      <c r="C697" s="66"/>
      <c r="D697" s="66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</row>
    <row r="698" ht="14.25" customHeight="1">
      <c r="A698" s="66"/>
      <c r="B698" s="66"/>
      <c r="C698" s="66"/>
      <c r="D698" s="66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</row>
    <row r="699" ht="14.25" customHeight="1">
      <c r="A699" s="66"/>
      <c r="B699" s="66"/>
      <c r="C699" s="66"/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</row>
    <row r="700" ht="14.25" customHeight="1">
      <c r="A700" s="66"/>
      <c r="B700" s="66"/>
      <c r="C700" s="66"/>
      <c r="D700" s="66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</row>
    <row r="701" ht="14.25" customHeight="1">
      <c r="A701" s="66"/>
      <c r="B701" s="66"/>
      <c r="C701" s="66"/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</row>
    <row r="702" ht="14.25" customHeight="1">
      <c r="A702" s="66"/>
      <c r="B702" s="66"/>
      <c r="C702" s="66"/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</row>
    <row r="703" ht="14.25" customHeight="1">
      <c r="A703" s="66"/>
      <c r="B703" s="66"/>
      <c r="C703" s="66"/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</row>
    <row r="704" ht="14.25" customHeight="1">
      <c r="A704" s="66"/>
      <c r="B704" s="66"/>
      <c r="C704" s="66"/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</row>
    <row r="705" ht="14.25" customHeight="1">
      <c r="A705" s="66"/>
      <c r="B705" s="66"/>
      <c r="C705" s="66"/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</row>
    <row r="706" ht="14.25" customHeight="1">
      <c r="A706" s="66"/>
      <c r="B706" s="66"/>
      <c r="C706" s="66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</row>
    <row r="707" ht="14.25" customHeight="1">
      <c r="A707" s="66"/>
      <c r="B707" s="66"/>
      <c r="C707" s="66"/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</row>
    <row r="708" ht="14.25" customHeight="1">
      <c r="A708" s="66"/>
      <c r="B708" s="66"/>
      <c r="C708" s="66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</row>
    <row r="709" ht="14.25" customHeight="1">
      <c r="A709" s="66"/>
      <c r="B709" s="66"/>
      <c r="C709" s="66"/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</row>
    <row r="710" ht="14.25" customHeight="1">
      <c r="A710" s="66"/>
      <c r="B710" s="66"/>
      <c r="C710" s="66"/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</row>
    <row r="711" ht="14.25" customHeight="1">
      <c r="A711" s="66"/>
      <c r="B711" s="66"/>
      <c r="C711" s="66"/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</row>
    <row r="712" ht="14.25" customHeight="1">
      <c r="A712" s="66"/>
      <c r="B712" s="66"/>
      <c r="C712" s="66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</row>
    <row r="713" ht="14.25" customHeight="1">
      <c r="A713" s="66"/>
      <c r="B713" s="66"/>
      <c r="C713" s="66"/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</row>
    <row r="714" ht="14.25" customHeight="1">
      <c r="A714" s="66"/>
      <c r="B714" s="66"/>
      <c r="C714" s="66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</row>
    <row r="715" ht="14.25" customHeight="1">
      <c r="A715" s="66"/>
      <c r="B715" s="66"/>
      <c r="C715" s="66"/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</row>
    <row r="716" ht="14.25" customHeight="1">
      <c r="A716" s="66"/>
      <c r="B716" s="66"/>
      <c r="C716" s="66"/>
      <c r="D716" s="66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</row>
    <row r="717" ht="14.25" customHeight="1">
      <c r="A717" s="66"/>
      <c r="B717" s="66"/>
      <c r="C717" s="66"/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</row>
    <row r="718" ht="14.25" customHeight="1">
      <c r="A718" s="66"/>
      <c r="B718" s="66"/>
      <c r="C718" s="66"/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</row>
    <row r="719" ht="14.25" customHeight="1">
      <c r="A719" s="66"/>
      <c r="B719" s="66"/>
      <c r="C719" s="66"/>
      <c r="D719" s="66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</row>
    <row r="720" ht="14.25" customHeight="1">
      <c r="A720" s="66"/>
      <c r="B720" s="66"/>
      <c r="C720" s="66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</row>
    <row r="721" ht="14.25" customHeight="1">
      <c r="A721" s="66"/>
      <c r="B721" s="66"/>
      <c r="C721" s="66"/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</row>
    <row r="722" ht="14.25" customHeight="1">
      <c r="A722" s="66"/>
      <c r="B722" s="66"/>
      <c r="C722" s="66"/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</row>
    <row r="723" ht="14.25" customHeight="1">
      <c r="A723" s="66"/>
      <c r="B723" s="66"/>
      <c r="C723" s="66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</row>
    <row r="724" ht="14.25" customHeight="1">
      <c r="A724" s="66"/>
      <c r="B724" s="66"/>
      <c r="C724" s="66"/>
      <c r="D724" s="66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</row>
    <row r="725" ht="14.25" customHeight="1">
      <c r="A725" s="66"/>
      <c r="B725" s="66"/>
      <c r="C725" s="66"/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</row>
    <row r="726" ht="14.25" customHeight="1">
      <c r="A726" s="66"/>
      <c r="B726" s="66"/>
      <c r="C726" s="66"/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</row>
    <row r="727" ht="14.25" customHeight="1">
      <c r="A727" s="66"/>
      <c r="B727" s="66"/>
      <c r="C727" s="66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</row>
    <row r="728" ht="14.25" customHeight="1">
      <c r="A728" s="66"/>
      <c r="B728" s="66"/>
      <c r="C728" s="66"/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</row>
    <row r="729" ht="14.25" customHeight="1">
      <c r="A729" s="66"/>
      <c r="B729" s="66"/>
      <c r="C729" s="66"/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</row>
    <row r="730" ht="14.25" customHeight="1">
      <c r="A730" s="66"/>
      <c r="B730" s="66"/>
      <c r="C730" s="66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</row>
    <row r="731" ht="14.25" customHeight="1">
      <c r="A731" s="66"/>
      <c r="B731" s="66"/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</row>
    <row r="732" ht="14.25" customHeight="1">
      <c r="A732" s="66"/>
      <c r="B732" s="66"/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</row>
    <row r="733" ht="14.25" customHeight="1">
      <c r="A733" s="66"/>
      <c r="B733" s="66"/>
      <c r="C733" s="66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</row>
    <row r="734" ht="14.25" customHeight="1">
      <c r="A734" s="66"/>
      <c r="B734" s="66"/>
      <c r="C734" s="66"/>
      <c r="D734" s="66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</row>
    <row r="735" ht="14.25" customHeight="1">
      <c r="A735" s="66"/>
      <c r="B735" s="66"/>
      <c r="C735" s="66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</row>
    <row r="736" ht="14.25" customHeight="1">
      <c r="A736" s="66"/>
      <c r="B736" s="66"/>
      <c r="C736" s="66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</row>
    <row r="737" ht="14.25" customHeight="1">
      <c r="A737" s="66"/>
      <c r="B737" s="66"/>
      <c r="C737" s="66"/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</row>
    <row r="738" ht="14.25" customHeight="1">
      <c r="A738" s="66"/>
      <c r="B738" s="66"/>
      <c r="C738" s="66"/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</row>
    <row r="739" ht="14.25" customHeight="1">
      <c r="A739" s="66"/>
      <c r="B739" s="66"/>
      <c r="C739" s="66"/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</row>
    <row r="740" ht="14.25" customHeight="1">
      <c r="A740" s="66"/>
      <c r="B740" s="66"/>
      <c r="C740" s="66"/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  <c r="X740" s="66"/>
      <c r="Y740" s="66"/>
    </row>
    <row r="741" ht="14.25" customHeight="1">
      <c r="A741" s="66"/>
      <c r="B741" s="66"/>
      <c r="C741" s="66"/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  <c r="X741" s="66"/>
      <c r="Y741" s="66"/>
    </row>
    <row r="742" ht="14.25" customHeight="1">
      <c r="A742" s="66"/>
      <c r="B742" s="66"/>
      <c r="C742" s="66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66"/>
      <c r="X742" s="66"/>
      <c r="Y742" s="66"/>
    </row>
    <row r="743" ht="14.25" customHeight="1">
      <c r="A743" s="66"/>
      <c r="B743" s="66"/>
      <c r="C743" s="66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  <c r="X743" s="66"/>
      <c r="Y743" s="66"/>
    </row>
    <row r="744" ht="14.25" customHeight="1">
      <c r="A744" s="66"/>
      <c r="B744" s="66"/>
      <c r="C744" s="66"/>
      <c r="D744" s="66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66"/>
      <c r="X744" s="66"/>
      <c r="Y744" s="66"/>
    </row>
    <row r="745" ht="14.25" customHeight="1">
      <c r="A745" s="66"/>
      <c r="B745" s="66"/>
      <c r="C745" s="66"/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66"/>
    </row>
    <row r="746" ht="14.25" customHeight="1">
      <c r="A746" s="66"/>
      <c r="B746" s="66"/>
      <c r="C746" s="66"/>
      <c r="D746" s="66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66"/>
      <c r="X746" s="66"/>
      <c r="Y746" s="66"/>
    </row>
    <row r="747" ht="14.25" customHeight="1">
      <c r="A747" s="66"/>
      <c r="B747" s="66"/>
      <c r="C747" s="66"/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66"/>
      <c r="X747" s="66"/>
      <c r="Y747" s="66"/>
    </row>
    <row r="748" ht="14.25" customHeight="1">
      <c r="A748" s="66"/>
      <c r="B748" s="66"/>
      <c r="C748" s="66"/>
      <c r="D748" s="66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6"/>
      <c r="T748" s="66"/>
      <c r="U748" s="66"/>
      <c r="V748" s="66"/>
      <c r="W748" s="66"/>
      <c r="X748" s="66"/>
      <c r="Y748" s="66"/>
    </row>
    <row r="749" ht="14.25" customHeight="1">
      <c r="A749" s="66"/>
      <c r="B749" s="66"/>
      <c r="C749" s="66"/>
      <c r="D749" s="66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66"/>
      <c r="X749" s="66"/>
      <c r="Y749" s="66"/>
    </row>
    <row r="750" ht="14.25" customHeight="1">
      <c r="A750" s="66"/>
      <c r="B750" s="66"/>
      <c r="C750" s="66"/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66"/>
      <c r="X750" s="66"/>
      <c r="Y750" s="66"/>
    </row>
    <row r="751" ht="14.25" customHeight="1">
      <c r="A751" s="66"/>
      <c r="B751" s="66"/>
      <c r="C751" s="66"/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66"/>
      <c r="X751" s="66"/>
      <c r="Y751" s="66"/>
    </row>
    <row r="752" ht="14.25" customHeight="1">
      <c r="A752" s="66"/>
      <c r="B752" s="66"/>
      <c r="C752" s="66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66"/>
      <c r="T752" s="66"/>
      <c r="U752" s="66"/>
      <c r="V752" s="66"/>
      <c r="W752" s="66"/>
      <c r="X752" s="66"/>
      <c r="Y752" s="66"/>
    </row>
    <row r="753" ht="14.25" customHeight="1">
      <c r="A753" s="66"/>
      <c r="B753" s="66"/>
      <c r="C753" s="66"/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66"/>
      <c r="X753" s="66"/>
      <c r="Y753" s="66"/>
    </row>
    <row r="754" ht="14.25" customHeight="1">
      <c r="A754" s="66"/>
      <c r="B754" s="66"/>
      <c r="C754" s="66"/>
      <c r="D754" s="66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S754" s="66"/>
      <c r="T754" s="66"/>
      <c r="U754" s="66"/>
      <c r="V754" s="66"/>
      <c r="W754" s="66"/>
      <c r="X754" s="66"/>
      <c r="Y754" s="66"/>
    </row>
    <row r="755" ht="14.25" customHeight="1">
      <c r="A755" s="66"/>
      <c r="B755" s="66"/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66"/>
    </row>
    <row r="756" ht="14.25" customHeight="1">
      <c r="A756" s="66"/>
      <c r="B756" s="66"/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S756" s="66"/>
      <c r="T756" s="66"/>
      <c r="U756" s="66"/>
      <c r="V756" s="66"/>
      <c r="W756" s="66"/>
      <c r="X756" s="66"/>
      <c r="Y756" s="66"/>
    </row>
    <row r="757" ht="14.25" customHeight="1">
      <c r="A757" s="66"/>
      <c r="B757" s="66"/>
      <c r="C757" s="66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</row>
    <row r="758" ht="14.25" customHeight="1">
      <c r="A758" s="66"/>
      <c r="B758" s="66"/>
      <c r="C758" s="66"/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6"/>
      <c r="S758" s="66"/>
      <c r="T758" s="66"/>
      <c r="U758" s="66"/>
      <c r="V758" s="66"/>
      <c r="W758" s="66"/>
      <c r="X758" s="66"/>
      <c r="Y758" s="66"/>
    </row>
    <row r="759" ht="14.25" customHeight="1">
      <c r="A759" s="66"/>
      <c r="B759" s="66"/>
      <c r="C759" s="66"/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</row>
    <row r="760" ht="14.25" customHeight="1">
      <c r="A760" s="66"/>
      <c r="B760" s="66"/>
      <c r="C760" s="66"/>
      <c r="D760" s="66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6"/>
      <c r="S760" s="66"/>
      <c r="T760" s="66"/>
      <c r="U760" s="66"/>
      <c r="V760" s="66"/>
      <c r="W760" s="66"/>
      <c r="X760" s="66"/>
      <c r="Y760" s="66"/>
    </row>
    <row r="761" ht="14.25" customHeight="1">
      <c r="A761" s="66"/>
      <c r="B761" s="66"/>
      <c r="C761" s="66"/>
      <c r="D761" s="66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</row>
    <row r="762" ht="14.25" customHeight="1">
      <c r="A762" s="66"/>
      <c r="B762" s="66"/>
      <c r="C762" s="66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6"/>
      <c r="S762" s="66"/>
      <c r="T762" s="66"/>
      <c r="U762" s="66"/>
      <c r="V762" s="66"/>
      <c r="W762" s="66"/>
      <c r="X762" s="66"/>
      <c r="Y762" s="66"/>
    </row>
    <row r="763" ht="14.25" customHeight="1">
      <c r="A763" s="66"/>
      <c r="B763" s="66"/>
      <c r="C763" s="66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</row>
    <row r="764" ht="14.25" customHeight="1">
      <c r="A764" s="66"/>
      <c r="B764" s="66"/>
      <c r="C764" s="66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6"/>
      <c r="S764" s="66"/>
      <c r="T764" s="66"/>
      <c r="U764" s="66"/>
      <c r="V764" s="66"/>
      <c r="W764" s="66"/>
      <c r="X764" s="66"/>
      <c r="Y764" s="66"/>
    </row>
    <row r="765" ht="14.25" customHeight="1">
      <c r="A765" s="66"/>
      <c r="B765" s="66"/>
      <c r="C765" s="66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</row>
    <row r="766" ht="14.25" customHeight="1">
      <c r="A766" s="66"/>
      <c r="B766" s="66"/>
      <c r="C766" s="66"/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6"/>
      <c r="S766" s="66"/>
      <c r="T766" s="66"/>
      <c r="U766" s="66"/>
      <c r="V766" s="66"/>
      <c r="W766" s="66"/>
      <c r="X766" s="66"/>
      <c r="Y766" s="66"/>
    </row>
    <row r="767" ht="14.25" customHeight="1">
      <c r="A767" s="66"/>
      <c r="B767" s="66"/>
      <c r="C767" s="66"/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</row>
    <row r="768" ht="14.25" customHeight="1">
      <c r="A768" s="66"/>
      <c r="B768" s="66"/>
      <c r="C768" s="66"/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6"/>
      <c r="S768" s="66"/>
      <c r="T768" s="66"/>
      <c r="U768" s="66"/>
      <c r="V768" s="66"/>
      <c r="W768" s="66"/>
      <c r="X768" s="66"/>
      <c r="Y768" s="66"/>
    </row>
    <row r="769" ht="14.25" customHeight="1">
      <c r="A769" s="66"/>
      <c r="B769" s="66"/>
      <c r="C769" s="66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</row>
    <row r="770" ht="14.25" customHeight="1">
      <c r="A770" s="66"/>
      <c r="B770" s="66"/>
      <c r="C770" s="66"/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6"/>
      <c r="S770" s="66"/>
      <c r="T770" s="66"/>
      <c r="U770" s="66"/>
      <c r="V770" s="66"/>
      <c r="W770" s="66"/>
      <c r="X770" s="66"/>
      <c r="Y770" s="66"/>
    </row>
    <row r="771" ht="14.25" customHeight="1">
      <c r="A771" s="66"/>
      <c r="B771" s="66"/>
      <c r="C771" s="66"/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</row>
    <row r="772" ht="14.25" customHeight="1">
      <c r="A772" s="66"/>
      <c r="B772" s="66"/>
      <c r="C772" s="66"/>
      <c r="D772" s="66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6"/>
      <c r="S772" s="66"/>
      <c r="T772" s="66"/>
      <c r="U772" s="66"/>
      <c r="V772" s="66"/>
      <c r="W772" s="66"/>
      <c r="X772" s="66"/>
      <c r="Y772" s="66"/>
    </row>
    <row r="773" ht="14.25" customHeight="1">
      <c r="A773" s="66"/>
      <c r="B773" s="66"/>
      <c r="C773" s="66"/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</row>
    <row r="774" ht="14.25" customHeight="1">
      <c r="A774" s="66"/>
      <c r="B774" s="66"/>
      <c r="C774" s="66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6"/>
      <c r="S774" s="66"/>
      <c r="T774" s="66"/>
      <c r="U774" s="66"/>
      <c r="V774" s="66"/>
      <c r="W774" s="66"/>
      <c r="X774" s="66"/>
      <c r="Y774" s="66"/>
    </row>
    <row r="775" ht="14.25" customHeight="1">
      <c r="A775" s="66"/>
      <c r="B775" s="66"/>
      <c r="C775" s="66"/>
      <c r="D775" s="66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</row>
    <row r="776" ht="14.25" customHeight="1">
      <c r="A776" s="66"/>
      <c r="B776" s="66"/>
      <c r="C776" s="66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</row>
    <row r="777" ht="14.25" customHeight="1">
      <c r="A777" s="66"/>
      <c r="B777" s="66"/>
      <c r="C777" s="66"/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</row>
    <row r="778" ht="14.25" customHeight="1">
      <c r="A778" s="66"/>
      <c r="B778" s="66"/>
      <c r="C778" s="66"/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</row>
    <row r="779" ht="14.25" customHeight="1">
      <c r="A779" s="66"/>
      <c r="B779" s="66"/>
      <c r="C779" s="66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</row>
    <row r="780" ht="14.25" customHeight="1">
      <c r="A780" s="66"/>
      <c r="B780" s="66"/>
      <c r="C780" s="66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</row>
    <row r="781" ht="14.25" customHeight="1">
      <c r="A781" s="66"/>
      <c r="B781" s="66"/>
      <c r="C781" s="66"/>
      <c r="D781" s="66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</row>
    <row r="782" ht="14.25" customHeight="1">
      <c r="A782" s="66"/>
      <c r="B782" s="66"/>
      <c r="C782" s="66"/>
      <c r="D782" s="66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6"/>
      <c r="S782" s="66"/>
      <c r="T782" s="66"/>
      <c r="U782" s="66"/>
      <c r="V782" s="66"/>
      <c r="W782" s="66"/>
      <c r="X782" s="66"/>
      <c r="Y782" s="66"/>
    </row>
    <row r="783" ht="14.25" customHeight="1">
      <c r="A783" s="66"/>
      <c r="B783" s="66"/>
      <c r="C783" s="66"/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</row>
    <row r="784" ht="14.25" customHeight="1">
      <c r="A784" s="66"/>
      <c r="B784" s="66"/>
      <c r="C784" s="66"/>
      <c r="D784" s="66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6"/>
      <c r="S784" s="66"/>
      <c r="T784" s="66"/>
      <c r="U784" s="66"/>
      <c r="V784" s="66"/>
      <c r="W784" s="66"/>
      <c r="X784" s="66"/>
      <c r="Y784" s="66"/>
    </row>
    <row r="785" ht="14.25" customHeight="1">
      <c r="A785" s="66"/>
      <c r="B785" s="66"/>
      <c r="C785" s="66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</row>
    <row r="786" ht="14.25" customHeight="1">
      <c r="A786" s="66"/>
      <c r="B786" s="66"/>
      <c r="C786" s="66"/>
      <c r="D786" s="66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6"/>
      <c r="S786" s="66"/>
      <c r="T786" s="66"/>
      <c r="U786" s="66"/>
      <c r="V786" s="66"/>
      <c r="W786" s="66"/>
      <c r="X786" s="66"/>
      <c r="Y786" s="66"/>
    </row>
    <row r="787" ht="14.25" customHeight="1">
      <c r="A787" s="66"/>
      <c r="B787" s="66"/>
      <c r="C787" s="66"/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</row>
    <row r="788" ht="14.25" customHeight="1">
      <c r="A788" s="66"/>
      <c r="B788" s="66"/>
      <c r="C788" s="66"/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6"/>
      <c r="S788" s="66"/>
      <c r="T788" s="66"/>
      <c r="U788" s="66"/>
      <c r="V788" s="66"/>
      <c r="W788" s="66"/>
      <c r="X788" s="66"/>
      <c r="Y788" s="66"/>
    </row>
    <row r="789" ht="14.25" customHeight="1">
      <c r="A789" s="66"/>
      <c r="B789" s="66"/>
      <c r="C789" s="66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</row>
    <row r="790" ht="14.25" customHeight="1">
      <c r="A790" s="66"/>
      <c r="B790" s="66"/>
      <c r="C790" s="66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6"/>
      <c r="S790" s="66"/>
      <c r="T790" s="66"/>
      <c r="U790" s="66"/>
      <c r="V790" s="66"/>
      <c r="W790" s="66"/>
      <c r="X790" s="66"/>
      <c r="Y790" s="66"/>
    </row>
    <row r="791" ht="14.25" customHeight="1">
      <c r="A791" s="66"/>
      <c r="B791" s="66"/>
      <c r="C791" s="66"/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</row>
    <row r="792" ht="14.25" customHeight="1">
      <c r="A792" s="66"/>
      <c r="B792" s="66"/>
      <c r="C792" s="66"/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6"/>
      <c r="S792" s="66"/>
      <c r="T792" s="66"/>
      <c r="U792" s="66"/>
      <c r="V792" s="66"/>
      <c r="W792" s="66"/>
      <c r="X792" s="66"/>
      <c r="Y792" s="66"/>
    </row>
    <row r="793" ht="14.25" customHeight="1">
      <c r="A793" s="66"/>
      <c r="B793" s="66"/>
      <c r="C793" s="66"/>
      <c r="D793" s="66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</row>
    <row r="794" ht="14.25" customHeight="1">
      <c r="A794" s="66"/>
      <c r="B794" s="66"/>
      <c r="C794" s="66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6"/>
      <c r="S794" s="66"/>
      <c r="T794" s="66"/>
      <c r="U794" s="66"/>
      <c r="V794" s="66"/>
      <c r="W794" s="66"/>
      <c r="X794" s="66"/>
      <c r="Y794" s="66"/>
    </row>
    <row r="795" ht="14.25" customHeight="1">
      <c r="A795" s="66"/>
      <c r="B795" s="66"/>
      <c r="C795" s="66"/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</row>
    <row r="796" ht="14.25" customHeight="1">
      <c r="A796" s="66"/>
      <c r="B796" s="66"/>
      <c r="C796" s="66"/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</row>
    <row r="797" ht="14.25" customHeight="1">
      <c r="A797" s="66"/>
      <c r="B797" s="66"/>
      <c r="C797" s="66"/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</row>
    <row r="798" ht="14.25" customHeight="1">
      <c r="A798" s="66"/>
      <c r="B798" s="66"/>
      <c r="C798" s="66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66"/>
      <c r="W798" s="66"/>
      <c r="X798" s="66"/>
      <c r="Y798" s="66"/>
    </row>
    <row r="799" ht="14.25" customHeight="1">
      <c r="A799" s="66"/>
      <c r="B799" s="66"/>
      <c r="C799" s="66"/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</row>
    <row r="800" ht="14.25" customHeight="1">
      <c r="A800" s="66"/>
      <c r="B800" s="66"/>
      <c r="C800" s="66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6"/>
      <c r="S800" s="66"/>
      <c r="T800" s="66"/>
      <c r="U800" s="66"/>
      <c r="V800" s="66"/>
      <c r="W800" s="66"/>
      <c r="X800" s="66"/>
      <c r="Y800" s="66"/>
    </row>
    <row r="801" ht="14.25" customHeight="1">
      <c r="A801" s="66"/>
      <c r="B801" s="66"/>
      <c r="C801" s="66"/>
      <c r="D801" s="66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</row>
    <row r="802" ht="14.25" customHeight="1">
      <c r="A802" s="66"/>
      <c r="B802" s="66"/>
      <c r="C802" s="66"/>
      <c r="D802" s="66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6"/>
      <c r="S802" s="66"/>
      <c r="T802" s="66"/>
      <c r="U802" s="66"/>
      <c r="V802" s="66"/>
      <c r="W802" s="66"/>
      <c r="X802" s="66"/>
      <c r="Y802" s="66"/>
    </row>
    <row r="803" ht="14.25" customHeight="1">
      <c r="A803" s="66"/>
      <c r="B803" s="66"/>
      <c r="C803" s="66"/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</row>
    <row r="804" ht="14.25" customHeight="1">
      <c r="A804" s="66"/>
      <c r="B804" s="66"/>
      <c r="C804" s="66"/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6"/>
      <c r="S804" s="66"/>
      <c r="T804" s="66"/>
      <c r="U804" s="66"/>
      <c r="V804" s="66"/>
      <c r="W804" s="66"/>
      <c r="X804" s="66"/>
      <c r="Y804" s="66"/>
    </row>
    <row r="805" ht="14.25" customHeight="1">
      <c r="A805" s="66"/>
      <c r="B805" s="66"/>
      <c r="C805" s="66"/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</row>
    <row r="806" ht="14.25" customHeight="1">
      <c r="A806" s="66"/>
      <c r="B806" s="66"/>
      <c r="C806" s="66"/>
      <c r="D806" s="66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66"/>
      <c r="W806" s="66"/>
      <c r="X806" s="66"/>
      <c r="Y806" s="66"/>
    </row>
    <row r="807" ht="14.25" customHeight="1">
      <c r="A807" s="66"/>
      <c r="B807" s="66"/>
      <c r="C807" s="66"/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</row>
    <row r="808" ht="14.25" customHeight="1">
      <c r="A808" s="66"/>
      <c r="B808" s="66"/>
      <c r="C808" s="66"/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6"/>
      <c r="S808" s="66"/>
      <c r="T808" s="66"/>
      <c r="U808" s="66"/>
      <c r="V808" s="66"/>
      <c r="W808" s="66"/>
      <c r="X808" s="66"/>
      <c r="Y808" s="66"/>
    </row>
    <row r="809" ht="14.25" customHeight="1">
      <c r="A809" s="66"/>
      <c r="B809" s="66"/>
      <c r="C809" s="66"/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</row>
    <row r="810" ht="14.25" customHeight="1">
      <c r="A810" s="66"/>
      <c r="B810" s="66"/>
      <c r="C810" s="66"/>
      <c r="D810" s="66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6"/>
      <c r="S810" s="66"/>
      <c r="T810" s="66"/>
      <c r="U810" s="66"/>
      <c r="V810" s="66"/>
      <c r="W810" s="66"/>
      <c r="X810" s="66"/>
      <c r="Y810" s="66"/>
    </row>
    <row r="811" ht="14.25" customHeight="1">
      <c r="A811" s="66"/>
      <c r="B811" s="66"/>
      <c r="C811" s="66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</row>
    <row r="812" ht="14.25" customHeight="1">
      <c r="A812" s="66"/>
      <c r="B812" s="66"/>
      <c r="C812" s="66"/>
      <c r="D812" s="66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</row>
    <row r="813" ht="14.25" customHeight="1">
      <c r="A813" s="66"/>
      <c r="B813" s="66"/>
      <c r="C813" s="66"/>
      <c r="D813" s="66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</row>
    <row r="814" ht="14.25" customHeight="1">
      <c r="A814" s="66"/>
      <c r="B814" s="66"/>
      <c r="C814" s="66"/>
      <c r="D814" s="66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6"/>
      <c r="S814" s="66"/>
      <c r="T814" s="66"/>
      <c r="U814" s="66"/>
      <c r="V814" s="66"/>
      <c r="W814" s="66"/>
      <c r="X814" s="66"/>
      <c r="Y814" s="66"/>
    </row>
    <row r="815" ht="14.25" customHeight="1">
      <c r="A815" s="66"/>
      <c r="B815" s="66"/>
      <c r="C815" s="66"/>
      <c r="D815" s="66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</row>
    <row r="816" ht="14.25" customHeight="1">
      <c r="A816" s="66"/>
      <c r="B816" s="66"/>
      <c r="C816" s="66"/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6"/>
      <c r="S816" s="66"/>
      <c r="T816" s="66"/>
      <c r="U816" s="66"/>
      <c r="V816" s="66"/>
      <c r="W816" s="66"/>
      <c r="X816" s="66"/>
      <c r="Y816" s="66"/>
    </row>
    <row r="817" ht="14.25" customHeight="1">
      <c r="A817" s="66"/>
      <c r="B817" s="66"/>
      <c r="C817" s="66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</row>
    <row r="818" ht="14.25" customHeight="1">
      <c r="A818" s="66"/>
      <c r="B818" s="66"/>
      <c r="C818" s="66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</row>
    <row r="819" ht="14.25" customHeight="1">
      <c r="A819" s="66"/>
      <c r="B819" s="66"/>
      <c r="C819" s="66"/>
      <c r="D819" s="66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</row>
    <row r="820" ht="14.25" customHeight="1">
      <c r="A820" s="66"/>
      <c r="B820" s="66"/>
      <c r="C820" s="66"/>
      <c r="D820" s="66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6"/>
      <c r="S820" s="66"/>
      <c r="T820" s="66"/>
      <c r="U820" s="66"/>
      <c r="V820" s="66"/>
      <c r="W820" s="66"/>
      <c r="X820" s="66"/>
      <c r="Y820" s="66"/>
    </row>
    <row r="821" ht="14.25" customHeight="1">
      <c r="A821" s="66"/>
      <c r="B821" s="66"/>
      <c r="C821" s="66"/>
      <c r="D821" s="66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6"/>
      <c r="S821" s="66"/>
      <c r="T821" s="66"/>
      <c r="U821" s="66"/>
      <c r="V821" s="66"/>
      <c r="W821" s="66"/>
      <c r="X821" s="66"/>
      <c r="Y821" s="66"/>
    </row>
    <row r="822" ht="14.25" customHeight="1">
      <c r="A822" s="66"/>
      <c r="B822" s="66"/>
      <c r="C822" s="66"/>
      <c r="D822" s="66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6"/>
      <c r="S822" s="66"/>
      <c r="T822" s="66"/>
      <c r="U822" s="66"/>
      <c r="V822" s="66"/>
      <c r="W822" s="66"/>
      <c r="X822" s="66"/>
      <c r="Y822" s="66"/>
    </row>
    <row r="823" ht="14.25" customHeight="1">
      <c r="A823" s="66"/>
      <c r="B823" s="66"/>
      <c r="C823" s="66"/>
      <c r="D823" s="66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</row>
    <row r="824" ht="14.25" customHeight="1">
      <c r="A824" s="66"/>
      <c r="B824" s="66"/>
      <c r="C824" s="66"/>
      <c r="D824" s="66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6"/>
      <c r="S824" s="66"/>
      <c r="T824" s="66"/>
      <c r="U824" s="66"/>
      <c r="V824" s="66"/>
      <c r="W824" s="66"/>
      <c r="X824" s="66"/>
      <c r="Y824" s="66"/>
    </row>
    <row r="825" ht="14.25" customHeight="1">
      <c r="A825" s="66"/>
      <c r="B825" s="66"/>
      <c r="C825" s="66"/>
      <c r="D825" s="66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6"/>
      <c r="S825" s="66"/>
      <c r="T825" s="66"/>
      <c r="U825" s="66"/>
      <c r="V825" s="66"/>
      <c r="W825" s="66"/>
      <c r="X825" s="66"/>
      <c r="Y825" s="66"/>
    </row>
    <row r="826" ht="14.25" customHeight="1">
      <c r="A826" s="66"/>
      <c r="B826" s="66"/>
      <c r="C826" s="66"/>
      <c r="D826" s="66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6"/>
      <c r="S826" s="66"/>
      <c r="T826" s="66"/>
      <c r="U826" s="66"/>
      <c r="V826" s="66"/>
      <c r="W826" s="66"/>
      <c r="X826" s="66"/>
      <c r="Y826" s="66"/>
    </row>
    <row r="827" ht="14.25" customHeight="1">
      <c r="A827" s="66"/>
      <c r="B827" s="66"/>
      <c r="C827" s="66"/>
      <c r="D827" s="66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6"/>
      <c r="S827" s="66"/>
      <c r="T827" s="66"/>
      <c r="U827" s="66"/>
      <c r="V827" s="66"/>
      <c r="W827" s="66"/>
      <c r="X827" s="66"/>
      <c r="Y827" s="66"/>
    </row>
    <row r="828" ht="14.25" customHeight="1">
      <c r="A828" s="66"/>
      <c r="B828" s="66"/>
      <c r="C828" s="66"/>
      <c r="D828" s="66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6"/>
      <c r="S828" s="66"/>
      <c r="T828" s="66"/>
      <c r="U828" s="66"/>
      <c r="V828" s="66"/>
      <c r="W828" s="66"/>
      <c r="X828" s="66"/>
      <c r="Y828" s="66"/>
    </row>
    <row r="829" ht="14.25" customHeight="1">
      <c r="A829" s="66"/>
      <c r="B829" s="66"/>
      <c r="C829" s="66"/>
      <c r="D829" s="66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6"/>
      <c r="S829" s="66"/>
      <c r="T829" s="66"/>
      <c r="U829" s="66"/>
      <c r="V829" s="66"/>
      <c r="W829" s="66"/>
      <c r="X829" s="66"/>
      <c r="Y829" s="66"/>
    </row>
    <row r="830" ht="14.25" customHeight="1">
      <c r="A830" s="66"/>
      <c r="B830" s="66"/>
      <c r="C830" s="66"/>
      <c r="D830" s="66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6"/>
      <c r="S830" s="66"/>
      <c r="T830" s="66"/>
      <c r="U830" s="66"/>
      <c r="V830" s="66"/>
      <c r="W830" s="66"/>
      <c r="X830" s="66"/>
      <c r="Y830" s="66"/>
    </row>
    <row r="831" ht="14.25" customHeight="1">
      <c r="A831" s="66"/>
      <c r="B831" s="66"/>
      <c r="C831" s="66"/>
      <c r="D831" s="66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6"/>
      <c r="S831" s="66"/>
      <c r="T831" s="66"/>
      <c r="U831" s="66"/>
      <c r="V831" s="66"/>
      <c r="W831" s="66"/>
      <c r="X831" s="66"/>
      <c r="Y831" s="66"/>
    </row>
    <row r="832" ht="14.25" customHeight="1">
      <c r="A832" s="66"/>
      <c r="B832" s="66"/>
      <c r="C832" s="66"/>
      <c r="D832" s="66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6"/>
      <c r="S832" s="66"/>
      <c r="T832" s="66"/>
      <c r="U832" s="66"/>
      <c r="V832" s="66"/>
      <c r="W832" s="66"/>
      <c r="X832" s="66"/>
      <c r="Y832" s="66"/>
    </row>
    <row r="833" ht="14.25" customHeight="1">
      <c r="A833" s="66"/>
      <c r="B833" s="66"/>
      <c r="C833" s="66"/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6"/>
      <c r="S833" s="66"/>
      <c r="T833" s="66"/>
      <c r="U833" s="66"/>
      <c r="V833" s="66"/>
      <c r="W833" s="66"/>
      <c r="X833" s="66"/>
      <c r="Y833" s="66"/>
    </row>
    <row r="834" ht="14.25" customHeight="1">
      <c r="A834" s="66"/>
      <c r="B834" s="66"/>
      <c r="C834" s="66"/>
      <c r="D834" s="66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6"/>
      <c r="S834" s="66"/>
      <c r="T834" s="66"/>
      <c r="U834" s="66"/>
      <c r="V834" s="66"/>
      <c r="W834" s="66"/>
      <c r="X834" s="66"/>
      <c r="Y834" s="66"/>
    </row>
    <row r="835" ht="14.25" customHeight="1">
      <c r="A835" s="66"/>
      <c r="B835" s="66"/>
      <c r="C835" s="66"/>
      <c r="D835" s="66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66"/>
    </row>
    <row r="836" ht="14.25" customHeight="1">
      <c r="A836" s="66"/>
      <c r="B836" s="66"/>
      <c r="C836" s="66"/>
      <c r="D836" s="66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6"/>
      <c r="S836" s="66"/>
      <c r="T836" s="66"/>
      <c r="U836" s="66"/>
      <c r="V836" s="66"/>
      <c r="W836" s="66"/>
      <c r="X836" s="66"/>
      <c r="Y836" s="66"/>
    </row>
    <row r="837" ht="14.25" customHeight="1">
      <c r="A837" s="66"/>
      <c r="B837" s="66"/>
      <c r="C837" s="66"/>
      <c r="D837" s="66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</row>
    <row r="838" ht="14.25" customHeight="1">
      <c r="A838" s="66"/>
      <c r="B838" s="66"/>
      <c r="C838" s="66"/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</row>
    <row r="839" ht="14.25" customHeight="1">
      <c r="A839" s="66"/>
      <c r="B839" s="66"/>
      <c r="C839" s="66"/>
      <c r="D839" s="66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</row>
    <row r="840" ht="14.25" customHeight="1">
      <c r="A840" s="66"/>
      <c r="B840" s="66"/>
      <c r="C840" s="66"/>
      <c r="D840" s="66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6"/>
      <c r="S840" s="66"/>
      <c r="T840" s="66"/>
      <c r="U840" s="66"/>
      <c r="V840" s="66"/>
      <c r="W840" s="66"/>
      <c r="X840" s="66"/>
      <c r="Y840" s="66"/>
    </row>
    <row r="841" ht="14.25" customHeight="1">
      <c r="A841" s="66"/>
      <c r="B841" s="66"/>
      <c r="C841" s="66"/>
      <c r="D841" s="66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</row>
    <row r="842" ht="14.25" customHeight="1">
      <c r="A842" s="66"/>
      <c r="B842" s="66"/>
      <c r="C842" s="66"/>
      <c r="D842" s="66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6"/>
      <c r="S842" s="66"/>
      <c r="T842" s="66"/>
      <c r="U842" s="66"/>
      <c r="V842" s="66"/>
      <c r="W842" s="66"/>
      <c r="X842" s="66"/>
      <c r="Y842" s="66"/>
    </row>
    <row r="843" ht="14.25" customHeight="1">
      <c r="A843" s="66"/>
      <c r="B843" s="66"/>
      <c r="C843" s="66"/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</row>
    <row r="844" ht="14.25" customHeight="1">
      <c r="A844" s="66"/>
      <c r="B844" s="66"/>
      <c r="C844" s="66"/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6"/>
      <c r="S844" s="66"/>
      <c r="T844" s="66"/>
      <c r="U844" s="66"/>
      <c r="V844" s="66"/>
      <c r="W844" s="66"/>
      <c r="X844" s="66"/>
      <c r="Y844" s="66"/>
    </row>
    <row r="845" ht="14.25" customHeight="1">
      <c r="A845" s="66"/>
      <c r="B845" s="66"/>
      <c r="C845" s="66"/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</row>
    <row r="846" ht="14.25" customHeight="1">
      <c r="A846" s="66"/>
      <c r="B846" s="66"/>
      <c r="C846" s="66"/>
      <c r="D846" s="66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6"/>
      <c r="S846" s="66"/>
      <c r="T846" s="66"/>
      <c r="U846" s="66"/>
      <c r="V846" s="66"/>
      <c r="W846" s="66"/>
      <c r="X846" s="66"/>
      <c r="Y846" s="66"/>
    </row>
    <row r="847" ht="14.25" customHeight="1">
      <c r="A847" s="66"/>
      <c r="B847" s="66"/>
      <c r="C847" s="66"/>
      <c r="D847" s="66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</row>
    <row r="848" ht="14.25" customHeight="1">
      <c r="A848" s="66"/>
      <c r="B848" s="66"/>
      <c r="C848" s="66"/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6"/>
      <c r="S848" s="66"/>
      <c r="T848" s="66"/>
      <c r="U848" s="66"/>
      <c r="V848" s="66"/>
      <c r="W848" s="66"/>
      <c r="X848" s="66"/>
      <c r="Y848" s="66"/>
    </row>
    <row r="849" ht="14.25" customHeight="1">
      <c r="A849" s="66"/>
      <c r="B849" s="66"/>
      <c r="C849" s="66"/>
      <c r="D849" s="66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</row>
    <row r="850" ht="14.25" customHeight="1">
      <c r="A850" s="66"/>
      <c r="B850" s="66"/>
      <c r="C850" s="66"/>
      <c r="D850" s="66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6"/>
      <c r="S850" s="66"/>
      <c r="T850" s="66"/>
      <c r="U850" s="66"/>
      <c r="V850" s="66"/>
      <c r="W850" s="66"/>
      <c r="X850" s="66"/>
      <c r="Y850" s="66"/>
    </row>
    <row r="851" ht="14.25" customHeight="1">
      <c r="A851" s="66"/>
      <c r="B851" s="66"/>
      <c r="C851" s="66"/>
      <c r="D851" s="66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</row>
    <row r="852" ht="14.25" customHeight="1">
      <c r="A852" s="66"/>
      <c r="B852" s="66"/>
      <c r="C852" s="66"/>
      <c r="D852" s="66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6"/>
      <c r="S852" s="66"/>
      <c r="T852" s="66"/>
      <c r="U852" s="66"/>
      <c r="V852" s="66"/>
      <c r="W852" s="66"/>
      <c r="X852" s="66"/>
      <c r="Y852" s="66"/>
    </row>
    <row r="853" ht="14.25" customHeight="1">
      <c r="A853" s="66"/>
      <c r="B853" s="66"/>
      <c r="C853" s="66"/>
      <c r="D853" s="66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</row>
    <row r="854" ht="14.25" customHeight="1">
      <c r="A854" s="66"/>
      <c r="B854" s="66"/>
      <c r="C854" s="66"/>
      <c r="D854" s="66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6"/>
      <c r="S854" s="66"/>
      <c r="T854" s="66"/>
      <c r="U854" s="66"/>
      <c r="V854" s="66"/>
      <c r="W854" s="66"/>
      <c r="X854" s="66"/>
      <c r="Y854" s="66"/>
    </row>
    <row r="855" ht="14.25" customHeight="1">
      <c r="A855" s="66"/>
      <c r="B855" s="66"/>
      <c r="C855" s="66"/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</row>
    <row r="856" ht="14.25" customHeight="1">
      <c r="A856" s="66"/>
      <c r="B856" s="66"/>
      <c r="C856" s="66"/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6"/>
      <c r="S856" s="66"/>
      <c r="T856" s="66"/>
      <c r="U856" s="66"/>
      <c r="V856" s="66"/>
      <c r="W856" s="66"/>
      <c r="X856" s="66"/>
      <c r="Y856" s="66"/>
    </row>
    <row r="857" ht="14.25" customHeight="1">
      <c r="A857" s="66"/>
      <c r="B857" s="66"/>
      <c r="C857" s="66"/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</row>
    <row r="858" ht="14.25" customHeight="1">
      <c r="A858" s="66"/>
      <c r="B858" s="66"/>
      <c r="C858" s="66"/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6"/>
      <c r="S858" s="66"/>
      <c r="T858" s="66"/>
      <c r="U858" s="66"/>
      <c r="V858" s="66"/>
      <c r="W858" s="66"/>
      <c r="X858" s="66"/>
      <c r="Y858" s="66"/>
    </row>
    <row r="859" ht="14.25" customHeight="1">
      <c r="A859" s="66"/>
      <c r="B859" s="66"/>
      <c r="C859" s="66"/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</row>
    <row r="860" ht="14.25" customHeight="1">
      <c r="A860" s="66"/>
      <c r="B860" s="66"/>
      <c r="C860" s="66"/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6"/>
      <c r="S860" s="66"/>
      <c r="T860" s="66"/>
      <c r="U860" s="66"/>
      <c r="V860" s="66"/>
      <c r="W860" s="66"/>
      <c r="X860" s="66"/>
      <c r="Y860" s="66"/>
    </row>
    <row r="861" ht="14.25" customHeight="1">
      <c r="A861" s="66"/>
      <c r="B861" s="66"/>
      <c r="C861" s="66"/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</row>
    <row r="862" ht="14.25" customHeight="1">
      <c r="A862" s="66"/>
      <c r="B862" s="66"/>
      <c r="C862" s="66"/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6"/>
      <c r="S862" s="66"/>
      <c r="T862" s="66"/>
      <c r="U862" s="66"/>
      <c r="V862" s="66"/>
      <c r="W862" s="66"/>
      <c r="X862" s="66"/>
      <c r="Y862" s="66"/>
    </row>
    <row r="863" ht="14.25" customHeight="1">
      <c r="A863" s="66"/>
      <c r="B863" s="66"/>
      <c r="C863" s="66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</row>
    <row r="864" ht="14.25" customHeight="1">
      <c r="A864" s="66"/>
      <c r="B864" s="66"/>
      <c r="C864" s="66"/>
      <c r="D864" s="66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6"/>
      <c r="S864" s="66"/>
      <c r="T864" s="66"/>
      <c r="U864" s="66"/>
      <c r="V864" s="66"/>
      <c r="W864" s="66"/>
      <c r="X864" s="66"/>
      <c r="Y864" s="66"/>
    </row>
    <row r="865" ht="14.25" customHeight="1">
      <c r="A865" s="66"/>
      <c r="B865" s="66"/>
      <c r="C865" s="66"/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</row>
    <row r="866" ht="14.25" customHeight="1">
      <c r="A866" s="66"/>
      <c r="B866" s="66"/>
      <c r="C866" s="66"/>
      <c r="D866" s="66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6"/>
      <c r="S866" s="66"/>
      <c r="T866" s="66"/>
      <c r="U866" s="66"/>
      <c r="V866" s="66"/>
      <c r="W866" s="66"/>
      <c r="X866" s="66"/>
      <c r="Y866" s="66"/>
    </row>
    <row r="867" ht="14.25" customHeight="1">
      <c r="A867" s="66"/>
      <c r="B867" s="66"/>
      <c r="C867" s="66"/>
      <c r="D867" s="66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</row>
    <row r="868" ht="14.25" customHeight="1">
      <c r="A868" s="66"/>
      <c r="B868" s="66"/>
      <c r="C868" s="66"/>
      <c r="D868" s="66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6"/>
      <c r="S868" s="66"/>
      <c r="T868" s="66"/>
      <c r="U868" s="66"/>
      <c r="V868" s="66"/>
      <c r="W868" s="66"/>
      <c r="X868" s="66"/>
      <c r="Y868" s="66"/>
    </row>
    <row r="869" ht="14.25" customHeight="1">
      <c r="A869" s="66"/>
      <c r="B869" s="66"/>
      <c r="C869" s="66"/>
      <c r="D869" s="66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</row>
    <row r="870" ht="14.25" customHeight="1">
      <c r="A870" s="66"/>
      <c r="B870" s="66"/>
      <c r="C870" s="66"/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6"/>
      <c r="S870" s="66"/>
      <c r="T870" s="66"/>
      <c r="U870" s="66"/>
      <c r="V870" s="66"/>
      <c r="W870" s="66"/>
      <c r="X870" s="66"/>
      <c r="Y870" s="66"/>
    </row>
    <row r="871" ht="14.25" customHeight="1">
      <c r="A871" s="66"/>
      <c r="B871" s="66"/>
      <c r="C871" s="66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</row>
    <row r="872" ht="14.25" customHeight="1">
      <c r="A872" s="66"/>
      <c r="B872" s="66"/>
      <c r="C872" s="66"/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6"/>
      <c r="S872" s="66"/>
      <c r="T872" s="66"/>
      <c r="U872" s="66"/>
      <c r="V872" s="66"/>
      <c r="W872" s="66"/>
      <c r="X872" s="66"/>
      <c r="Y872" s="66"/>
    </row>
    <row r="873" ht="14.25" customHeight="1">
      <c r="A873" s="66"/>
      <c r="B873" s="66"/>
      <c r="C873" s="66"/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</row>
    <row r="874" ht="14.25" customHeight="1">
      <c r="A874" s="66"/>
      <c r="B874" s="66"/>
      <c r="C874" s="66"/>
      <c r="D874" s="66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6"/>
      <c r="S874" s="66"/>
      <c r="T874" s="66"/>
      <c r="U874" s="66"/>
      <c r="V874" s="66"/>
      <c r="W874" s="66"/>
      <c r="X874" s="66"/>
      <c r="Y874" s="66"/>
    </row>
    <row r="875" ht="14.25" customHeight="1">
      <c r="A875" s="66"/>
      <c r="B875" s="66"/>
      <c r="C875" s="66"/>
      <c r="D875" s="66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</row>
    <row r="876" ht="14.25" customHeight="1">
      <c r="A876" s="66"/>
      <c r="B876" s="66"/>
      <c r="C876" s="66"/>
      <c r="D876" s="66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6"/>
      <c r="S876" s="66"/>
      <c r="T876" s="66"/>
      <c r="U876" s="66"/>
      <c r="V876" s="66"/>
      <c r="W876" s="66"/>
      <c r="X876" s="66"/>
      <c r="Y876" s="66"/>
    </row>
    <row r="877" ht="14.25" customHeight="1">
      <c r="A877" s="66"/>
      <c r="B877" s="66"/>
      <c r="C877" s="66"/>
      <c r="D877" s="66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</row>
    <row r="878" ht="14.25" customHeight="1">
      <c r="A878" s="66"/>
      <c r="B878" s="66"/>
      <c r="C878" s="66"/>
      <c r="D878" s="66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6"/>
      <c r="S878" s="66"/>
      <c r="T878" s="66"/>
      <c r="U878" s="66"/>
      <c r="V878" s="66"/>
      <c r="W878" s="66"/>
      <c r="X878" s="66"/>
      <c r="Y878" s="66"/>
    </row>
    <row r="879" ht="14.25" customHeight="1">
      <c r="A879" s="66"/>
      <c r="B879" s="66"/>
      <c r="C879" s="66"/>
      <c r="D879" s="66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</row>
    <row r="880" ht="14.25" customHeight="1">
      <c r="A880" s="66"/>
      <c r="B880" s="66"/>
      <c r="C880" s="66"/>
      <c r="D880" s="66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6"/>
      <c r="S880" s="66"/>
      <c r="T880" s="66"/>
      <c r="U880" s="66"/>
      <c r="V880" s="66"/>
      <c r="W880" s="66"/>
      <c r="X880" s="66"/>
      <c r="Y880" s="66"/>
    </row>
    <row r="881" ht="14.25" customHeight="1">
      <c r="A881" s="66"/>
      <c r="B881" s="66"/>
      <c r="C881" s="66"/>
      <c r="D881" s="66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6"/>
      <c r="S881" s="66"/>
      <c r="T881" s="66"/>
      <c r="U881" s="66"/>
      <c r="V881" s="66"/>
      <c r="W881" s="66"/>
      <c r="X881" s="66"/>
      <c r="Y881" s="66"/>
    </row>
    <row r="882" ht="14.25" customHeight="1">
      <c r="A882" s="66"/>
      <c r="B882" s="66"/>
      <c r="C882" s="66"/>
      <c r="D882" s="66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66"/>
      <c r="S882" s="66"/>
      <c r="T882" s="66"/>
      <c r="U882" s="66"/>
      <c r="V882" s="66"/>
      <c r="W882" s="66"/>
      <c r="X882" s="66"/>
      <c r="Y882" s="66"/>
    </row>
    <row r="883" ht="14.25" customHeight="1">
      <c r="A883" s="66"/>
      <c r="B883" s="66"/>
      <c r="C883" s="66"/>
      <c r="D883" s="66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6"/>
      <c r="S883" s="66"/>
      <c r="T883" s="66"/>
      <c r="U883" s="66"/>
      <c r="V883" s="66"/>
      <c r="W883" s="66"/>
      <c r="X883" s="66"/>
      <c r="Y883" s="66"/>
    </row>
    <row r="884" ht="14.25" customHeight="1">
      <c r="A884" s="66"/>
      <c r="B884" s="66"/>
      <c r="C884" s="66"/>
      <c r="D884" s="66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6"/>
      <c r="S884" s="66"/>
      <c r="T884" s="66"/>
      <c r="U884" s="66"/>
      <c r="V884" s="66"/>
      <c r="W884" s="66"/>
      <c r="X884" s="66"/>
      <c r="Y884" s="66"/>
    </row>
    <row r="885" ht="14.25" customHeight="1">
      <c r="A885" s="66"/>
      <c r="B885" s="66"/>
      <c r="C885" s="66"/>
      <c r="D885" s="66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6"/>
      <c r="S885" s="66"/>
      <c r="T885" s="66"/>
      <c r="U885" s="66"/>
      <c r="V885" s="66"/>
      <c r="W885" s="66"/>
      <c r="X885" s="66"/>
      <c r="Y885" s="66"/>
    </row>
    <row r="886" ht="14.25" customHeight="1">
      <c r="A886" s="66"/>
      <c r="B886" s="66"/>
      <c r="C886" s="66"/>
      <c r="D886" s="66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6"/>
      <c r="S886" s="66"/>
      <c r="T886" s="66"/>
      <c r="U886" s="66"/>
      <c r="V886" s="66"/>
      <c r="W886" s="66"/>
      <c r="X886" s="66"/>
      <c r="Y886" s="66"/>
    </row>
    <row r="887" ht="14.25" customHeight="1">
      <c r="A887" s="66"/>
      <c r="B887" s="66"/>
      <c r="C887" s="66"/>
      <c r="D887" s="66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6"/>
      <c r="S887" s="66"/>
      <c r="T887" s="66"/>
      <c r="U887" s="66"/>
      <c r="V887" s="66"/>
      <c r="W887" s="66"/>
      <c r="X887" s="66"/>
      <c r="Y887" s="66"/>
    </row>
    <row r="888" ht="14.25" customHeight="1">
      <c r="A888" s="66"/>
      <c r="B888" s="66"/>
      <c r="C888" s="66"/>
      <c r="D888" s="66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6"/>
      <c r="S888" s="66"/>
      <c r="T888" s="66"/>
      <c r="U888" s="66"/>
      <c r="V888" s="66"/>
      <c r="W888" s="66"/>
      <c r="X888" s="66"/>
      <c r="Y888" s="66"/>
    </row>
    <row r="889" ht="14.25" customHeight="1">
      <c r="A889" s="66"/>
      <c r="B889" s="66"/>
      <c r="C889" s="66"/>
      <c r="D889" s="66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6"/>
      <c r="S889" s="66"/>
      <c r="T889" s="66"/>
      <c r="U889" s="66"/>
      <c r="V889" s="66"/>
      <c r="W889" s="66"/>
      <c r="X889" s="66"/>
      <c r="Y889" s="66"/>
    </row>
    <row r="890" ht="14.25" customHeight="1">
      <c r="A890" s="66"/>
      <c r="B890" s="66"/>
      <c r="C890" s="66"/>
      <c r="D890" s="66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6"/>
      <c r="S890" s="66"/>
      <c r="T890" s="66"/>
      <c r="U890" s="66"/>
      <c r="V890" s="66"/>
      <c r="W890" s="66"/>
      <c r="X890" s="66"/>
      <c r="Y890" s="66"/>
    </row>
    <row r="891" ht="14.25" customHeight="1">
      <c r="A891" s="66"/>
      <c r="B891" s="66"/>
      <c r="C891" s="66"/>
      <c r="D891" s="66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6"/>
      <c r="S891" s="66"/>
      <c r="T891" s="66"/>
      <c r="U891" s="66"/>
      <c r="V891" s="66"/>
      <c r="W891" s="66"/>
      <c r="X891" s="66"/>
      <c r="Y891" s="66"/>
    </row>
    <row r="892" ht="14.25" customHeight="1">
      <c r="A892" s="66"/>
      <c r="B892" s="66"/>
      <c r="C892" s="66"/>
      <c r="D892" s="66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6"/>
      <c r="S892" s="66"/>
      <c r="T892" s="66"/>
      <c r="U892" s="66"/>
      <c r="V892" s="66"/>
      <c r="W892" s="66"/>
      <c r="X892" s="66"/>
      <c r="Y892" s="66"/>
    </row>
    <row r="893" ht="14.25" customHeight="1">
      <c r="A893" s="66"/>
      <c r="B893" s="66"/>
      <c r="C893" s="66"/>
      <c r="D893" s="66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6"/>
      <c r="S893" s="66"/>
      <c r="T893" s="66"/>
      <c r="U893" s="66"/>
      <c r="V893" s="66"/>
      <c r="W893" s="66"/>
      <c r="X893" s="66"/>
      <c r="Y893" s="66"/>
    </row>
    <row r="894" ht="14.25" customHeight="1">
      <c r="A894" s="66"/>
      <c r="B894" s="66"/>
      <c r="C894" s="66"/>
      <c r="D894" s="66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6"/>
      <c r="S894" s="66"/>
      <c r="T894" s="66"/>
      <c r="U894" s="66"/>
      <c r="V894" s="66"/>
      <c r="W894" s="66"/>
      <c r="X894" s="66"/>
      <c r="Y894" s="66"/>
    </row>
    <row r="895" ht="14.25" customHeight="1">
      <c r="A895" s="66"/>
      <c r="B895" s="66"/>
      <c r="C895" s="66"/>
      <c r="D895" s="66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6"/>
      <c r="S895" s="66"/>
      <c r="T895" s="66"/>
      <c r="U895" s="66"/>
      <c r="V895" s="66"/>
      <c r="W895" s="66"/>
      <c r="X895" s="66"/>
      <c r="Y895" s="66"/>
    </row>
    <row r="896" ht="14.25" customHeight="1">
      <c r="A896" s="66"/>
      <c r="B896" s="66"/>
      <c r="C896" s="66"/>
      <c r="D896" s="66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6"/>
      <c r="S896" s="66"/>
      <c r="T896" s="66"/>
      <c r="U896" s="66"/>
      <c r="V896" s="66"/>
      <c r="W896" s="66"/>
      <c r="X896" s="66"/>
      <c r="Y896" s="66"/>
    </row>
    <row r="897" ht="14.25" customHeight="1">
      <c r="A897" s="66"/>
      <c r="B897" s="66"/>
      <c r="C897" s="66"/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6"/>
      <c r="S897" s="66"/>
      <c r="T897" s="66"/>
      <c r="U897" s="66"/>
      <c r="V897" s="66"/>
      <c r="W897" s="66"/>
      <c r="X897" s="66"/>
      <c r="Y897" s="66"/>
    </row>
    <row r="898" ht="14.25" customHeight="1">
      <c r="A898" s="66"/>
      <c r="B898" s="66"/>
      <c r="C898" s="66"/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66"/>
      <c r="S898" s="66"/>
      <c r="T898" s="66"/>
      <c r="U898" s="66"/>
      <c r="V898" s="66"/>
      <c r="W898" s="66"/>
      <c r="X898" s="66"/>
      <c r="Y898" s="66"/>
    </row>
    <row r="899" ht="14.25" customHeight="1">
      <c r="A899" s="66"/>
      <c r="B899" s="66"/>
      <c r="C899" s="66"/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6"/>
      <c r="S899" s="66"/>
      <c r="T899" s="66"/>
      <c r="U899" s="66"/>
      <c r="V899" s="66"/>
      <c r="W899" s="66"/>
      <c r="X899" s="66"/>
      <c r="Y899" s="66"/>
    </row>
    <row r="900" ht="14.25" customHeight="1">
      <c r="A900" s="66"/>
      <c r="B900" s="66"/>
      <c r="C900" s="66"/>
      <c r="D900" s="66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66"/>
      <c r="S900" s="66"/>
      <c r="T900" s="66"/>
      <c r="U900" s="66"/>
      <c r="V900" s="66"/>
      <c r="W900" s="66"/>
      <c r="X900" s="66"/>
      <c r="Y900" s="66"/>
    </row>
    <row r="901" ht="14.25" customHeight="1">
      <c r="A901" s="66"/>
      <c r="B901" s="66"/>
      <c r="C901" s="66"/>
      <c r="D901" s="66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6"/>
      <c r="S901" s="66"/>
      <c r="T901" s="66"/>
      <c r="U901" s="66"/>
      <c r="V901" s="66"/>
      <c r="W901" s="66"/>
      <c r="X901" s="66"/>
      <c r="Y901" s="66"/>
    </row>
    <row r="902" ht="14.25" customHeight="1">
      <c r="A902" s="66"/>
      <c r="B902" s="66"/>
      <c r="C902" s="66"/>
      <c r="D902" s="66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66"/>
      <c r="S902" s="66"/>
      <c r="T902" s="66"/>
      <c r="U902" s="66"/>
      <c r="V902" s="66"/>
      <c r="W902" s="66"/>
      <c r="X902" s="66"/>
      <c r="Y902" s="66"/>
    </row>
    <row r="903" ht="14.25" customHeight="1">
      <c r="A903" s="66"/>
      <c r="B903" s="66"/>
      <c r="C903" s="66"/>
      <c r="D903" s="66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6"/>
      <c r="S903" s="66"/>
      <c r="T903" s="66"/>
      <c r="U903" s="66"/>
      <c r="V903" s="66"/>
      <c r="W903" s="66"/>
      <c r="X903" s="66"/>
      <c r="Y903" s="66"/>
    </row>
    <row r="904" ht="14.25" customHeight="1">
      <c r="A904" s="66"/>
      <c r="B904" s="66"/>
      <c r="C904" s="66"/>
      <c r="D904" s="66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66"/>
      <c r="S904" s="66"/>
      <c r="T904" s="66"/>
      <c r="U904" s="66"/>
      <c r="V904" s="66"/>
      <c r="W904" s="66"/>
      <c r="X904" s="66"/>
      <c r="Y904" s="66"/>
    </row>
    <row r="905" ht="14.25" customHeight="1">
      <c r="A905" s="66"/>
      <c r="B905" s="66"/>
      <c r="C905" s="66"/>
      <c r="D905" s="66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6"/>
      <c r="S905" s="66"/>
      <c r="T905" s="66"/>
      <c r="U905" s="66"/>
      <c r="V905" s="66"/>
      <c r="W905" s="66"/>
      <c r="X905" s="66"/>
      <c r="Y905" s="66"/>
    </row>
    <row r="906" ht="14.25" customHeight="1">
      <c r="A906" s="66"/>
      <c r="B906" s="66"/>
      <c r="C906" s="66"/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66"/>
      <c r="S906" s="66"/>
      <c r="T906" s="66"/>
      <c r="U906" s="66"/>
      <c r="V906" s="66"/>
      <c r="W906" s="66"/>
      <c r="X906" s="66"/>
      <c r="Y906" s="66"/>
    </row>
    <row r="907" ht="14.25" customHeight="1">
      <c r="A907" s="66"/>
      <c r="B907" s="66"/>
      <c r="C907" s="66"/>
      <c r="D907" s="66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6"/>
      <c r="S907" s="66"/>
      <c r="T907" s="66"/>
      <c r="U907" s="66"/>
      <c r="V907" s="66"/>
      <c r="W907" s="66"/>
      <c r="X907" s="66"/>
      <c r="Y907" s="66"/>
    </row>
    <row r="908" ht="14.25" customHeight="1">
      <c r="A908" s="66"/>
      <c r="B908" s="66"/>
      <c r="C908" s="66"/>
      <c r="D908" s="66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66"/>
      <c r="S908" s="66"/>
      <c r="T908" s="66"/>
      <c r="U908" s="66"/>
      <c r="V908" s="66"/>
      <c r="W908" s="66"/>
      <c r="X908" s="66"/>
      <c r="Y908" s="66"/>
    </row>
    <row r="909" ht="14.25" customHeight="1">
      <c r="A909" s="66"/>
      <c r="B909" s="66"/>
      <c r="C909" s="66"/>
      <c r="D909" s="66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6"/>
      <c r="S909" s="66"/>
      <c r="T909" s="66"/>
      <c r="U909" s="66"/>
      <c r="V909" s="66"/>
      <c r="W909" s="66"/>
      <c r="X909" s="66"/>
      <c r="Y909" s="66"/>
    </row>
    <row r="910" ht="14.25" customHeight="1">
      <c r="A910" s="66"/>
      <c r="B910" s="66"/>
      <c r="C910" s="66"/>
      <c r="D910" s="66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66"/>
      <c r="S910" s="66"/>
      <c r="T910" s="66"/>
      <c r="U910" s="66"/>
      <c r="V910" s="66"/>
      <c r="W910" s="66"/>
      <c r="X910" s="66"/>
      <c r="Y910" s="66"/>
    </row>
    <row r="911" ht="14.25" customHeight="1">
      <c r="A911" s="66"/>
      <c r="B911" s="66"/>
      <c r="C911" s="66"/>
      <c r="D911" s="66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</row>
    <row r="912" ht="14.25" customHeight="1">
      <c r="A912" s="66"/>
      <c r="B912" s="66"/>
      <c r="C912" s="66"/>
      <c r="D912" s="66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66"/>
      <c r="S912" s="66"/>
      <c r="T912" s="66"/>
      <c r="U912" s="66"/>
      <c r="V912" s="66"/>
      <c r="W912" s="66"/>
      <c r="X912" s="66"/>
      <c r="Y912" s="66"/>
    </row>
    <row r="913" ht="14.25" customHeight="1">
      <c r="A913" s="66"/>
      <c r="B913" s="66"/>
      <c r="C913" s="66"/>
      <c r="D913" s="66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</row>
    <row r="914" ht="14.25" customHeight="1">
      <c r="A914" s="66"/>
      <c r="B914" s="66"/>
      <c r="C914" s="66"/>
      <c r="D914" s="66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66"/>
      <c r="S914" s="66"/>
      <c r="T914" s="66"/>
      <c r="U914" s="66"/>
      <c r="V914" s="66"/>
      <c r="W914" s="66"/>
      <c r="X914" s="66"/>
      <c r="Y914" s="66"/>
    </row>
    <row r="915" ht="14.25" customHeight="1">
      <c r="A915" s="66"/>
      <c r="B915" s="66"/>
      <c r="C915" s="66"/>
      <c r="D915" s="66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6"/>
      <c r="S915" s="66"/>
      <c r="T915" s="66"/>
      <c r="U915" s="66"/>
      <c r="V915" s="66"/>
      <c r="W915" s="66"/>
      <c r="X915" s="66"/>
      <c r="Y915" s="66"/>
    </row>
    <row r="916" ht="14.25" customHeight="1">
      <c r="A916" s="66"/>
      <c r="B916" s="66"/>
      <c r="C916" s="66"/>
      <c r="D916" s="66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</row>
    <row r="917" ht="14.25" customHeight="1">
      <c r="A917" s="66"/>
      <c r="B917" s="66"/>
      <c r="C917" s="66"/>
      <c r="D917" s="66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6"/>
      <c r="S917" s="66"/>
      <c r="T917" s="66"/>
      <c r="U917" s="66"/>
      <c r="V917" s="66"/>
      <c r="W917" s="66"/>
      <c r="X917" s="66"/>
      <c r="Y917" s="66"/>
    </row>
    <row r="918" ht="14.25" customHeight="1">
      <c r="A918" s="66"/>
      <c r="B918" s="66"/>
      <c r="C918" s="66"/>
      <c r="D918" s="66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66"/>
      <c r="S918" s="66"/>
      <c r="T918" s="66"/>
      <c r="U918" s="66"/>
      <c r="V918" s="66"/>
      <c r="W918" s="66"/>
      <c r="X918" s="66"/>
      <c r="Y918" s="66"/>
    </row>
    <row r="919" ht="14.25" customHeight="1">
      <c r="A919" s="66"/>
      <c r="B919" s="66"/>
      <c r="C919" s="66"/>
      <c r="D919" s="66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6"/>
      <c r="S919" s="66"/>
      <c r="T919" s="66"/>
      <c r="U919" s="66"/>
      <c r="V919" s="66"/>
      <c r="W919" s="66"/>
      <c r="X919" s="66"/>
      <c r="Y919" s="66"/>
    </row>
    <row r="920" ht="14.25" customHeight="1">
      <c r="A920" s="66"/>
      <c r="B920" s="66"/>
      <c r="C920" s="66"/>
      <c r="D920" s="66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66"/>
      <c r="S920" s="66"/>
      <c r="T920" s="66"/>
      <c r="U920" s="66"/>
      <c r="V920" s="66"/>
      <c r="W920" s="66"/>
      <c r="X920" s="66"/>
      <c r="Y920" s="66"/>
    </row>
    <row r="921" ht="14.25" customHeight="1">
      <c r="A921" s="66"/>
      <c r="B921" s="66"/>
      <c r="C921" s="66"/>
      <c r="D921" s="66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6"/>
      <c r="S921" s="66"/>
      <c r="T921" s="66"/>
      <c r="U921" s="66"/>
      <c r="V921" s="66"/>
      <c r="W921" s="66"/>
      <c r="X921" s="66"/>
      <c r="Y921" s="66"/>
    </row>
    <row r="922" ht="14.25" customHeight="1">
      <c r="A922" s="66"/>
      <c r="B922" s="66"/>
      <c r="C922" s="66"/>
      <c r="D922" s="66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66"/>
      <c r="S922" s="66"/>
      <c r="T922" s="66"/>
      <c r="U922" s="66"/>
      <c r="V922" s="66"/>
      <c r="W922" s="66"/>
      <c r="X922" s="66"/>
      <c r="Y922" s="66"/>
    </row>
    <row r="923" ht="14.25" customHeight="1">
      <c r="A923" s="66"/>
      <c r="B923" s="66"/>
      <c r="C923" s="66"/>
      <c r="D923" s="66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6"/>
      <c r="S923" s="66"/>
      <c r="T923" s="66"/>
      <c r="U923" s="66"/>
      <c r="V923" s="66"/>
      <c r="W923" s="66"/>
      <c r="X923" s="66"/>
      <c r="Y923" s="66"/>
    </row>
    <row r="924" ht="14.25" customHeight="1">
      <c r="A924" s="66"/>
      <c r="B924" s="66"/>
      <c r="C924" s="66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6"/>
      <c r="S924" s="66"/>
      <c r="T924" s="66"/>
      <c r="U924" s="66"/>
      <c r="V924" s="66"/>
      <c r="W924" s="66"/>
      <c r="X924" s="66"/>
      <c r="Y924" s="66"/>
    </row>
    <row r="925" ht="14.25" customHeight="1">
      <c r="A925" s="66"/>
      <c r="B925" s="66"/>
      <c r="C925" s="66"/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6"/>
      <c r="S925" s="66"/>
      <c r="T925" s="66"/>
      <c r="U925" s="66"/>
      <c r="V925" s="66"/>
      <c r="W925" s="66"/>
      <c r="X925" s="66"/>
      <c r="Y925" s="66"/>
    </row>
    <row r="926" ht="14.25" customHeight="1">
      <c r="A926" s="66"/>
      <c r="B926" s="66"/>
      <c r="C926" s="66"/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66"/>
      <c r="S926" s="66"/>
      <c r="T926" s="66"/>
      <c r="U926" s="66"/>
      <c r="V926" s="66"/>
      <c r="W926" s="66"/>
      <c r="X926" s="66"/>
      <c r="Y926" s="66"/>
    </row>
    <row r="927" ht="14.25" customHeight="1">
      <c r="A927" s="66"/>
      <c r="B927" s="66"/>
      <c r="C927" s="66"/>
      <c r="D927" s="66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6"/>
      <c r="S927" s="66"/>
      <c r="T927" s="66"/>
      <c r="U927" s="66"/>
      <c r="V927" s="66"/>
      <c r="W927" s="66"/>
      <c r="X927" s="66"/>
      <c r="Y927" s="66"/>
    </row>
    <row r="928" ht="14.25" customHeight="1">
      <c r="A928" s="66"/>
      <c r="B928" s="66"/>
      <c r="C928" s="66"/>
      <c r="D928" s="66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66"/>
      <c r="S928" s="66"/>
      <c r="T928" s="66"/>
      <c r="U928" s="66"/>
      <c r="V928" s="66"/>
      <c r="W928" s="66"/>
      <c r="X928" s="66"/>
      <c r="Y928" s="66"/>
    </row>
    <row r="929" ht="14.25" customHeight="1">
      <c r="A929" s="66"/>
      <c r="B929" s="66"/>
      <c r="C929" s="66"/>
      <c r="D929" s="66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6"/>
      <c r="S929" s="66"/>
      <c r="T929" s="66"/>
      <c r="U929" s="66"/>
      <c r="V929" s="66"/>
      <c r="W929" s="66"/>
      <c r="X929" s="66"/>
      <c r="Y929" s="66"/>
    </row>
    <row r="930" ht="14.25" customHeight="1">
      <c r="A930" s="66"/>
      <c r="B930" s="66"/>
      <c r="C930" s="66"/>
      <c r="D930" s="66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66"/>
      <c r="S930" s="66"/>
      <c r="T930" s="66"/>
      <c r="U930" s="66"/>
      <c r="V930" s="66"/>
      <c r="W930" s="66"/>
      <c r="X930" s="66"/>
      <c r="Y930" s="66"/>
    </row>
    <row r="931" ht="14.25" customHeight="1">
      <c r="A931" s="66"/>
      <c r="B931" s="66"/>
      <c r="C931" s="66"/>
      <c r="D931" s="66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6"/>
      <c r="S931" s="66"/>
      <c r="T931" s="66"/>
      <c r="U931" s="66"/>
      <c r="V931" s="66"/>
      <c r="W931" s="66"/>
      <c r="X931" s="66"/>
      <c r="Y931" s="66"/>
    </row>
    <row r="932" ht="14.25" customHeight="1">
      <c r="A932" s="66"/>
      <c r="B932" s="66"/>
      <c r="C932" s="66"/>
      <c r="D932" s="66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66"/>
      <c r="S932" s="66"/>
      <c r="T932" s="66"/>
      <c r="U932" s="66"/>
      <c r="V932" s="66"/>
      <c r="W932" s="66"/>
      <c r="X932" s="66"/>
      <c r="Y932" s="66"/>
    </row>
    <row r="933" ht="14.25" customHeight="1">
      <c r="A933" s="66"/>
      <c r="B933" s="66"/>
      <c r="C933" s="66"/>
      <c r="D933" s="66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6"/>
      <c r="S933" s="66"/>
      <c r="T933" s="66"/>
      <c r="U933" s="66"/>
      <c r="V933" s="66"/>
      <c r="W933" s="66"/>
      <c r="X933" s="66"/>
      <c r="Y933" s="66"/>
    </row>
    <row r="934" ht="14.25" customHeight="1">
      <c r="A934" s="66"/>
      <c r="B934" s="66"/>
      <c r="C934" s="66"/>
      <c r="D934" s="66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66"/>
      <c r="S934" s="66"/>
      <c r="T934" s="66"/>
      <c r="U934" s="66"/>
      <c r="V934" s="66"/>
      <c r="W934" s="66"/>
      <c r="X934" s="66"/>
      <c r="Y934" s="66"/>
    </row>
    <row r="935" ht="14.25" customHeight="1">
      <c r="A935" s="66"/>
      <c r="B935" s="66"/>
      <c r="C935" s="66"/>
      <c r="D935" s="66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6"/>
      <c r="S935" s="66"/>
      <c r="T935" s="66"/>
      <c r="U935" s="66"/>
      <c r="V935" s="66"/>
      <c r="W935" s="66"/>
      <c r="X935" s="66"/>
      <c r="Y935" s="66"/>
    </row>
    <row r="936" ht="14.25" customHeight="1">
      <c r="A936" s="66"/>
      <c r="B936" s="66"/>
      <c r="C936" s="66"/>
      <c r="D936" s="66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66"/>
      <c r="S936" s="66"/>
      <c r="T936" s="66"/>
      <c r="U936" s="66"/>
      <c r="V936" s="66"/>
      <c r="W936" s="66"/>
      <c r="X936" s="66"/>
      <c r="Y936" s="66"/>
    </row>
    <row r="937" ht="14.25" customHeight="1">
      <c r="A937" s="66"/>
      <c r="B937" s="66"/>
      <c r="C937" s="66"/>
      <c r="D937" s="66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6"/>
      <c r="S937" s="66"/>
      <c r="T937" s="66"/>
      <c r="U937" s="66"/>
      <c r="V937" s="66"/>
      <c r="W937" s="66"/>
      <c r="X937" s="66"/>
      <c r="Y937" s="66"/>
    </row>
    <row r="938" ht="14.25" customHeight="1">
      <c r="A938" s="66"/>
      <c r="B938" s="66"/>
      <c r="C938" s="66"/>
      <c r="D938" s="66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66"/>
      <c r="S938" s="66"/>
      <c r="T938" s="66"/>
      <c r="U938" s="66"/>
      <c r="V938" s="66"/>
      <c r="W938" s="66"/>
      <c r="X938" s="66"/>
      <c r="Y938" s="66"/>
    </row>
    <row r="939" ht="14.25" customHeight="1">
      <c r="A939" s="66"/>
      <c r="B939" s="66"/>
      <c r="C939" s="66"/>
      <c r="D939" s="66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6"/>
      <c r="S939" s="66"/>
      <c r="T939" s="66"/>
      <c r="U939" s="66"/>
      <c r="V939" s="66"/>
      <c r="W939" s="66"/>
      <c r="X939" s="66"/>
      <c r="Y939" s="66"/>
    </row>
    <row r="940" ht="14.25" customHeight="1">
      <c r="A940" s="66"/>
      <c r="B940" s="66"/>
      <c r="C940" s="66"/>
      <c r="D940" s="66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66"/>
      <c r="S940" s="66"/>
      <c r="T940" s="66"/>
      <c r="U940" s="66"/>
      <c r="V940" s="66"/>
      <c r="W940" s="66"/>
      <c r="X940" s="66"/>
      <c r="Y940" s="66"/>
    </row>
    <row r="941" ht="14.25" customHeight="1">
      <c r="A941" s="66"/>
      <c r="B941" s="66"/>
      <c r="C941" s="66"/>
      <c r="D941" s="66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6"/>
      <c r="S941" s="66"/>
      <c r="T941" s="66"/>
      <c r="U941" s="66"/>
      <c r="V941" s="66"/>
      <c r="W941" s="66"/>
      <c r="X941" s="66"/>
      <c r="Y941" s="66"/>
    </row>
    <row r="942" ht="14.25" customHeight="1">
      <c r="A942" s="66"/>
      <c r="B942" s="66"/>
      <c r="C942" s="66"/>
      <c r="D942" s="66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66"/>
      <c r="S942" s="66"/>
      <c r="T942" s="66"/>
      <c r="U942" s="66"/>
      <c r="V942" s="66"/>
      <c r="W942" s="66"/>
      <c r="X942" s="66"/>
      <c r="Y942" s="66"/>
    </row>
    <row r="943" ht="14.25" customHeight="1">
      <c r="A943" s="66"/>
      <c r="B943" s="66"/>
      <c r="C943" s="66"/>
      <c r="D943" s="66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6"/>
      <c r="S943" s="66"/>
      <c r="T943" s="66"/>
      <c r="U943" s="66"/>
      <c r="V943" s="66"/>
      <c r="W943" s="66"/>
      <c r="X943" s="66"/>
      <c r="Y943" s="66"/>
    </row>
    <row r="944" ht="14.25" customHeight="1">
      <c r="A944" s="66"/>
      <c r="B944" s="66"/>
      <c r="C944" s="66"/>
      <c r="D944" s="66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66"/>
      <c r="S944" s="66"/>
      <c r="T944" s="66"/>
      <c r="U944" s="66"/>
      <c r="V944" s="66"/>
      <c r="W944" s="66"/>
      <c r="X944" s="66"/>
      <c r="Y944" s="66"/>
    </row>
    <row r="945" ht="14.25" customHeight="1">
      <c r="A945" s="66"/>
      <c r="B945" s="66"/>
      <c r="C945" s="66"/>
      <c r="D945" s="66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6"/>
      <c r="S945" s="66"/>
      <c r="T945" s="66"/>
      <c r="U945" s="66"/>
      <c r="V945" s="66"/>
      <c r="W945" s="66"/>
      <c r="X945" s="66"/>
      <c r="Y945" s="66"/>
    </row>
    <row r="946" ht="14.25" customHeight="1">
      <c r="A946" s="66"/>
      <c r="B946" s="66"/>
      <c r="C946" s="66"/>
      <c r="D946" s="66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66"/>
      <c r="S946" s="66"/>
      <c r="T946" s="66"/>
      <c r="U946" s="66"/>
      <c r="V946" s="66"/>
      <c r="W946" s="66"/>
      <c r="X946" s="66"/>
      <c r="Y946" s="66"/>
    </row>
    <row r="947" ht="14.25" customHeight="1">
      <c r="A947" s="66"/>
      <c r="B947" s="66"/>
      <c r="C947" s="66"/>
      <c r="D947" s="66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6"/>
      <c r="S947" s="66"/>
      <c r="T947" s="66"/>
      <c r="U947" s="66"/>
      <c r="V947" s="66"/>
      <c r="W947" s="66"/>
      <c r="X947" s="66"/>
      <c r="Y947" s="66"/>
    </row>
    <row r="948" ht="14.25" customHeight="1">
      <c r="A948" s="66"/>
      <c r="B948" s="66"/>
      <c r="C948" s="66"/>
      <c r="D948" s="66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66"/>
      <c r="S948" s="66"/>
      <c r="T948" s="66"/>
      <c r="U948" s="66"/>
      <c r="V948" s="66"/>
      <c r="W948" s="66"/>
      <c r="X948" s="66"/>
      <c r="Y948" s="66"/>
    </row>
    <row r="949" ht="14.25" customHeight="1">
      <c r="A949" s="66"/>
      <c r="B949" s="66"/>
      <c r="C949" s="66"/>
      <c r="D949" s="66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6"/>
      <c r="S949" s="66"/>
      <c r="T949" s="66"/>
      <c r="U949" s="66"/>
      <c r="V949" s="66"/>
      <c r="W949" s="66"/>
      <c r="X949" s="66"/>
      <c r="Y949" s="66"/>
    </row>
    <row r="950" ht="14.25" customHeight="1">
      <c r="A950" s="66"/>
      <c r="B950" s="66"/>
      <c r="C950" s="66"/>
      <c r="D950" s="66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66"/>
      <c r="S950" s="66"/>
      <c r="T950" s="66"/>
      <c r="U950" s="66"/>
      <c r="V950" s="66"/>
      <c r="W950" s="66"/>
      <c r="X950" s="66"/>
      <c r="Y950" s="66"/>
    </row>
    <row r="951" ht="14.25" customHeight="1">
      <c r="A951" s="66"/>
      <c r="B951" s="66"/>
      <c r="C951" s="66"/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6"/>
      <c r="S951" s="66"/>
      <c r="T951" s="66"/>
      <c r="U951" s="66"/>
      <c r="V951" s="66"/>
      <c r="W951" s="66"/>
      <c r="X951" s="66"/>
      <c r="Y951" s="66"/>
    </row>
    <row r="952" ht="14.25" customHeight="1">
      <c r="A952" s="66"/>
      <c r="B952" s="66"/>
      <c r="C952" s="66"/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66"/>
      <c r="S952" s="66"/>
      <c r="T952" s="66"/>
      <c r="U952" s="66"/>
      <c r="V952" s="66"/>
      <c r="W952" s="66"/>
      <c r="X952" s="66"/>
      <c r="Y952" s="66"/>
    </row>
    <row r="953" ht="14.25" customHeight="1">
      <c r="A953" s="66"/>
      <c r="B953" s="66"/>
      <c r="C953" s="66"/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6"/>
      <c r="S953" s="66"/>
      <c r="T953" s="66"/>
      <c r="U953" s="66"/>
      <c r="V953" s="66"/>
      <c r="W953" s="66"/>
      <c r="X953" s="66"/>
      <c r="Y953" s="66"/>
    </row>
    <row r="954" ht="14.25" customHeight="1">
      <c r="A954" s="66"/>
      <c r="B954" s="66"/>
      <c r="C954" s="66"/>
      <c r="D954" s="66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66"/>
      <c r="S954" s="66"/>
      <c r="T954" s="66"/>
      <c r="U954" s="66"/>
      <c r="V954" s="66"/>
      <c r="W954" s="66"/>
      <c r="X954" s="66"/>
      <c r="Y954" s="66"/>
    </row>
    <row r="955" ht="14.25" customHeight="1">
      <c r="A955" s="66"/>
      <c r="B955" s="66"/>
      <c r="C955" s="66"/>
      <c r="D955" s="66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6"/>
      <c r="S955" s="66"/>
      <c r="T955" s="66"/>
      <c r="U955" s="66"/>
      <c r="V955" s="66"/>
      <c r="W955" s="66"/>
      <c r="X955" s="66"/>
      <c r="Y955" s="66"/>
    </row>
    <row r="956" ht="14.25" customHeight="1">
      <c r="A956" s="66"/>
      <c r="B956" s="66"/>
      <c r="C956" s="66"/>
      <c r="D956" s="66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66"/>
      <c r="S956" s="66"/>
      <c r="T956" s="66"/>
      <c r="U956" s="66"/>
      <c r="V956" s="66"/>
      <c r="W956" s="66"/>
      <c r="X956" s="66"/>
      <c r="Y956" s="66"/>
    </row>
    <row r="957" ht="14.25" customHeight="1">
      <c r="A957" s="66"/>
      <c r="B957" s="66"/>
      <c r="C957" s="66"/>
      <c r="D957" s="66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6"/>
      <c r="S957" s="66"/>
      <c r="T957" s="66"/>
      <c r="U957" s="66"/>
      <c r="V957" s="66"/>
      <c r="W957" s="66"/>
      <c r="X957" s="66"/>
      <c r="Y957" s="66"/>
    </row>
    <row r="958" ht="14.25" customHeight="1">
      <c r="A958" s="66"/>
      <c r="B958" s="66"/>
      <c r="C958" s="66"/>
      <c r="D958" s="66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66"/>
      <c r="S958" s="66"/>
      <c r="T958" s="66"/>
      <c r="U958" s="66"/>
      <c r="V958" s="66"/>
      <c r="W958" s="66"/>
      <c r="X958" s="66"/>
      <c r="Y958" s="66"/>
    </row>
    <row r="959" ht="14.25" customHeight="1">
      <c r="A959" s="66"/>
      <c r="B959" s="66"/>
      <c r="C959" s="66"/>
      <c r="D959" s="66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6"/>
      <c r="S959" s="66"/>
      <c r="T959" s="66"/>
      <c r="U959" s="66"/>
      <c r="V959" s="66"/>
      <c r="W959" s="66"/>
      <c r="X959" s="66"/>
      <c r="Y959" s="66"/>
    </row>
    <row r="960" ht="14.25" customHeight="1">
      <c r="A960" s="66"/>
      <c r="B960" s="66"/>
      <c r="C960" s="66"/>
      <c r="D960" s="66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66"/>
      <c r="S960" s="66"/>
      <c r="T960" s="66"/>
      <c r="U960" s="66"/>
      <c r="V960" s="66"/>
      <c r="W960" s="66"/>
      <c r="X960" s="66"/>
      <c r="Y960" s="66"/>
    </row>
    <row r="961" ht="14.25" customHeight="1">
      <c r="A961" s="66"/>
      <c r="B961" s="66"/>
      <c r="C961" s="66"/>
      <c r="D961" s="66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6"/>
      <c r="S961" s="66"/>
      <c r="T961" s="66"/>
      <c r="U961" s="66"/>
      <c r="V961" s="66"/>
      <c r="W961" s="66"/>
      <c r="X961" s="66"/>
      <c r="Y961" s="66"/>
    </row>
    <row r="962" ht="14.25" customHeight="1">
      <c r="A962" s="66"/>
      <c r="B962" s="66"/>
      <c r="C962" s="66"/>
      <c r="D962" s="66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66"/>
      <c r="S962" s="66"/>
      <c r="T962" s="66"/>
      <c r="U962" s="66"/>
      <c r="V962" s="66"/>
      <c r="W962" s="66"/>
      <c r="X962" s="66"/>
      <c r="Y962" s="66"/>
    </row>
    <row r="963" ht="14.25" customHeight="1">
      <c r="A963" s="66"/>
      <c r="B963" s="66"/>
      <c r="C963" s="66"/>
      <c r="D963" s="66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6"/>
      <c r="S963" s="66"/>
      <c r="T963" s="66"/>
      <c r="U963" s="66"/>
      <c r="V963" s="66"/>
      <c r="W963" s="66"/>
      <c r="X963" s="66"/>
      <c r="Y963" s="66"/>
    </row>
    <row r="964" ht="14.25" customHeight="1">
      <c r="A964" s="66"/>
      <c r="B964" s="66"/>
      <c r="C964" s="66"/>
      <c r="D964" s="66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66"/>
      <c r="S964" s="66"/>
      <c r="T964" s="66"/>
      <c r="U964" s="66"/>
      <c r="V964" s="66"/>
      <c r="W964" s="66"/>
      <c r="X964" s="66"/>
      <c r="Y964" s="66"/>
    </row>
    <row r="965" ht="14.25" customHeight="1">
      <c r="A965" s="66"/>
      <c r="B965" s="66"/>
      <c r="C965" s="66"/>
      <c r="D965" s="66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6"/>
      <c r="S965" s="66"/>
      <c r="T965" s="66"/>
      <c r="U965" s="66"/>
      <c r="V965" s="66"/>
      <c r="W965" s="66"/>
      <c r="X965" s="66"/>
      <c r="Y965" s="66"/>
    </row>
    <row r="966" ht="14.25" customHeight="1">
      <c r="A966" s="66"/>
      <c r="B966" s="66"/>
      <c r="C966" s="66"/>
      <c r="D966" s="66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66"/>
      <c r="S966" s="66"/>
      <c r="T966" s="66"/>
      <c r="U966" s="66"/>
      <c r="V966" s="66"/>
      <c r="W966" s="66"/>
      <c r="X966" s="66"/>
      <c r="Y966" s="66"/>
    </row>
    <row r="967" ht="14.25" customHeight="1">
      <c r="A967" s="66"/>
      <c r="B967" s="66"/>
      <c r="C967" s="66"/>
      <c r="D967" s="66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6"/>
      <c r="S967" s="66"/>
      <c r="T967" s="66"/>
      <c r="U967" s="66"/>
      <c r="V967" s="66"/>
      <c r="W967" s="66"/>
      <c r="X967" s="66"/>
      <c r="Y967" s="66"/>
    </row>
    <row r="968" ht="14.25" customHeight="1">
      <c r="A968" s="66"/>
      <c r="B968" s="66"/>
      <c r="C968" s="66"/>
      <c r="D968" s="66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66"/>
      <c r="S968" s="66"/>
      <c r="T968" s="66"/>
      <c r="U968" s="66"/>
      <c r="V968" s="66"/>
      <c r="W968" s="66"/>
      <c r="X968" s="66"/>
      <c r="Y968" s="66"/>
    </row>
    <row r="969" ht="14.25" customHeight="1">
      <c r="A969" s="66"/>
      <c r="B969" s="66"/>
      <c r="C969" s="66"/>
      <c r="D969" s="66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6"/>
      <c r="S969" s="66"/>
      <c r="T969" s="66"/>
      <c r="U969" s="66"/>
      <c r="V969" s="66"/>
      <c r="W969" s="66"/>
      <c r="X969" s="66"/>
      <c r="Y969" s="66"/>
    </row>
    <row r="970" ht="14.25" customHeight="1">
      <c r="A970" s="66"/>
      <c r="B970" s="66"/>
      <c r="C970" s="66"/>
      <c r="D970" s="66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66"/>
      <c r="S970" s="66"/>
      <c r="T970" s="66"/>
      <c r="U970" s="66"/>
      <c r="V970" s="66"/>
      <c r="W970" s="66"/>
      <c r="X970" s="66"/>
      <c r="Y970" s="66"/>
    </row>
    <row r="971" ht="14.25" customHeight="1">
      <c r="A971" s="66"/>
      <c r="B971" s="66"/>
      <c r="C971" s="66"/>
      <c r="D971" s="66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6"/>
      <c r="S971" s="66"/>
      <c r="T971" s="66"/>
      <c r="U971" s="66"/>
      <c r="V971" s="66"/>
      <c r="W971" s="66"/>
      <c r="X971" s="66"/>
      <c r="Y971" s="66"/>
    </row>
    <row r="972" ht="14.25" customHeight="1">
      <c r="A972" s="66"/>
      <c r="B972" s="66"/>
      <c r="C972" s="66"/>
      <c r="D972" s="66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66"/>
      <c r="S972" s="66"/>
      <c r="T972" s="66"/>
      <c r="U972" s="66"/>
      <c r="V972" s="66"/>
      <c r="W972" s="66"/>
      <c r="X972" s="66"/>
      <c r="Y972" s="66"/>
    </row>
    <row r="973" ht="14.25" customHeight="1">
      <c r="A973" s="66"/>
      <c r="B973" s="66"/>
      <c r="C973" s="66"/>
      <c r="D973" s="66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66"/>
    </row>
    <row r="974" ht="14.25" customHeight="1">
      <c r="A974" s="66"/>
      <c r="B974" s="66"/>
      <c r="C974" s="66"/>
      <c r="D974" s="66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66"/>
      <c r="S974" s="66"/>
      <c r="T974" s="66"/>
      <c r="U974" s="66"/>
      <c r="V974" s="66"/>
      <c r="W974" s="66"/>
      <c r="X974" s="66"/>
      <c r="Y974" s="66"/>
    </row>
    <row r="975" ht="14.25" customHeight="1">
      <c r="A975" s="66"/>
      <c r="B975" s="66"/>
      <c r="C975" s="66"/>
      <c r="D975" s="66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6"/>
      <c r="S975" s="66"/>
      <c r="T975" s="66"/>
      <c r="U975" s="66"/>
      <c r="V975" s="66"/>
      <c r="W975" s="66"/>
      <c r="X975" s="66"/>
      <c r="Y975" s="66"/>
    </row>
    <row r="976" ht="14.25" customHeight="1">
      <c r="A976" s="66"/>
      <c r="B976" s="66"/>
      <c r="C976" s="66"/>
      <c r="D976" s="66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66"/>
      <c r="S976" s="66"/>
      <c r="T976" s="66"/>
      <c r="U976" s="66"/>
      <c r="V976" s="66"/>
      <c r="W976" s="66"/>
      <c r="X976" s="66"/>
      <c r="Y976" s="66"/>
    </row>
    <row r="977" ht="14.25" customHeight="1">
      <c r="A977" s="66"/>
      <c r="B977" s="66"/>
      <c r="C977" s="66"/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6"/>
      <c r="S977" s="66"/>
      <c r="T977" s="66"/>
      <c r="U977" s="66"/>
      <c r="V977" s="66"/>
      <c r="W977" s="66"/>
      <c r="X977" s="66"/>
      <c r="Y977" s="66"/>
    </row>
    <row r="978" ht="14.25" customHeight="1">
      <c r="A978" s="66"/>
      <c r="B978" s="66"/>
      <c r="C978" s="66"/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66"/>
      <c r="S978" s="66"/>
      <c r="T978" s="66"/>
      <c r="U978" s="66"/>
      <c r="V978" s="66"/>
      <c r="W978" s="66"/>
      <c r="X978" s="66"/>
      <c r="Y978" s="66"/>
    </row>
    <row r="979" ht="14.25" customHeight="1">
      <c r="A979" s="66"/>
      <c r="B979" s="66"/>
      <c r="C979" s="66"/>
      <c r="D979" s="66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6"/>
      <c r="S979" s="66"/>
      <c r="T979" s="66"/>
      <c r="U979" s="66"/>
      <c r="V979" s="66"/>
      <c r="W979" s="66"/>
      <c r="X979" s="66"/>
      <c r="Y979" s="66"/>
    </row>
    <row r="980" ht="14.25" customHeight="1">
      <c r="A980" s="66"/>
      <c r="B980" s="66"/>
      <c r="C980" s="66"/>
      <c r="D980" s="66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66"/>
      <c r="S980" s="66"/>
      <c r="T980" s="66"/>
      <c r="U980" s="66"/>
      <c r="V980" s="66"/>
      <c r="W980" s="66"/>
      <c r="X980" s="66"/>
      <c r="Y980" s="66"/>
    </row>
    <row r="981" ht="14.25" customHeight="1">
      <c r="A981" s="66"/>
      <c r="B981" s="66"/>
      <c r="C981" s="66"/>
      <c r="D981" s="66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6"/>
      <c r="S981" s="66"/>
      <c r="T981" s="66"/>
      <c r="U981" s="66"/>
      <c r="V981" s="66"/>
      <c r="W981" s="66"/>
      <c r="X981" s="66"/>
      <c r="Y981" s="66"/>
    </row>
    <row r="982" ht="14.25" customHeight="1">
      <c r="A982" s="66"/>
      <c r="B982" s="66"/>
      <c r="C982" s="66"/>
      <c r="D982" s="66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66"/>
      <c r="S982" s="66"/>
      <c r="T982" s="66"/>
      <c r="U982" s="66"/>
      <c r="V982" s="66"/>
      <c r="W982" s="66"/>
      <c r="X982" s="66"/>
      <c r="Y982" s="66"/>
    </row>
    <row r="983" ht="14.25" customHeight="1">
      <c r="A983" s="66"/>
      <c r="B983" s="66"/>
      <c r="C983" s="66"/>
      <c r="D983" s="66"/>
      <c r="E983" s="66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6"/>
      <c r="S983" s="66"/>
      <c r="T983" s="66"/>
      <c r="U983" s="66"/>
      <c r="V983" s="66"/>
      <c r="W983" s="66"/>
      <c r="X983" s="66"/>
      <c r="Y983" s="66"/>
    </row>
    <row r="984" ht="14.25" customHeight="1">
      <c r="A984" s="66"/>
      <c r="B984" s="66"/>
      <c r="C984" s="66"/>
      <c r="D984" s="66"/>
      <c r="E984" s="66"/>
      <c r="F984" s="66"/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  <c r="R984" s="66"/>
      <c r="S984" s="66"/>
      <c r="T984" s="66"/>
      <c r="U984" s="66"/>
      <c r="V984" s="66"/>
      <c r="W984" s="66"/>
      <c r="X984" s="66"/>
      <c r="Y984" s="66"/>
    </row>
    <row r="985" ht="14.25" customHeight="1">
      <c r="A985" s="66"/>
      <c r="B985" s="66"/>
      <c r="C985" s="66"/>
      <c r="D985" s="66"/>
      <c r="E985" s="66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66"/>
      <c r="S985" s="66"/>
      <c r="T985" s="66"/>
      <c r="U985" s="66"/>
      <c r="V985" s="66"/>
      <c r="W985" s="66"/>
      <c r="X985" s="66"/>
      <c r="Y985" s="66"/>
    </row>
    <row r="986" ht="14.25" customHeight="1">
      <c r="A986" s="66"/>
      <c r="B986" s="66"/>
      <c r="C986" s="66"/>
      <c r="D986" s="66"/>
      <c r="E986" s="66"/>
      <c r="F986" s="66"/>
      <c r="G986" s="66"/>
      <c r="H986" s="66"/>
      <c r="I986" s="66"/>
      <c r="J986" s="66"/>
      <c r="K986" s="66"/>
      <c r="L986" s="66"/>
      <c r="M986" s="66"/>
      <c r="N986" s="66"/>
      <c r="O986" s="66"/>
      <c r="P986" s="66"/>
      <c r="Q986" s="66"/>
      <c r="R986" s="66"/>
      <c r="S986" s="66"/>
      <c r="T986" s="66"/>
      <c r="U986" s="66"/>
      <c r="V986" s="66"/>
      <c r="W986" s="66"/>
      <c r="X986" s="66"/>
      <c r="Y986" s="66"/>
    </row>
    <row r="987" ht="14.25" customHeight="1">
      <c r="A987" s="66"/>
      <c r="B987" s="66"/>
      <c r="C987" s="66"/>
      <c r="D987" s="66"/>
      <c r="E987" s="66"/>
      <c r="F987" s="66"/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  <c r="R987" s="66"/>
      <c r="S987" s="66"/>
      <c r="T987" s="66"/>
      <c r="U987" s="66"/>
      <c r="V987" s="66"/>
      <c r="W987" s="66"/>
      <c r="X987" s="66"/>
      <c r="Y987" s="66"/>
    </row>
    <row r="988" ht="14.25" customHeight="1">
      <c r="A988" s="66"/>
      <c r="B988" s="66"/>
      <c r="C988" s="66"/>
      <c r="D988" s="66"/>
      <c r="E988" s="66"/>
      <c r="F988" s="66"/>
      <c r="G988" s="66"/>
      <c r="H988" s="66"/>
      <c r="I988" s="66"/>
      <c r="J988" s="66"/>
      <c r="K988" s="66"/>
      <c r="L988" s="66"/>
      <c r="M988" s="66"/>
      <c r="N988" s="66"/>
      <c r="O988" s="66"/>
      <c r="P988" s="66"/>
      <c r="Q988" s="66"/>
      <c r="R988" s="66"/>
      <c r="S988" s="66"/>
      <c r="T988" s="66"/>
      <c r="U988" s="66"/>
      <c r="V988" s="66"/>
      <c r="W988" s="66"/>
      <c r="X988" s="66"/>
      <c r="Y988" s="66"/>
    </row>
    <row r="989" ht="14.25" customHeight="1">
      <c r="A989" s="66"/>
      <c r="B989" s="66"/>
      <c r="C989" s="66"/>
      <c r="D989" s="66"/>
      <c r="E989" s="66"/>
      <c r="F989" s="66"/>
      <c r="G989" s="66"/>
      <c r="H989" s="66"/>
      <c r="I989" s="66"/>
      <c r="J989" s="66"/>
      <c r="K989" s="66"/>
      <c r="L989" s="66"/>
      <c r="M989" s="66"/>
      <c r="N989" s="66"/>
      <c r="O989" s="66"/>
      <c r="P989" s="66"/>
      <c r="Q989" s="66"/>
      <c r="R989" s="66"/>
      <c r="S989" s="66"/>
      <c r="T989" s="66"/>
      <c r="U989" s="66"/>
      <c r="V989" s="66"/>
      <c r="W989" s="66"/>
      <c r="X989" s="66"/>
      <c r="Y989" s="66"/>
    </row>
    <row r="990" ht="14.25" customHeight="1">
      <c r="A990" s="66"/>
      <c r="B990" s="66"/>
      <c r="C990" s="66"/>
      <c r="D990" s="66"/>
      <c r="E990" s="66"/>
      <c r="F990" s="66"/>
      <c r="G990" s="66"/>
      <c r="H990" s="66"/>
      <c r="I990" s="66"/>
      <c r="J990" s="66"/>
      <c r="K990" s="66"/>
      <c r="L990" s="66"/>
      <c r="M990" s="66"/>
      <c r="N990" s="66"/>
      <c r="O990" s="66"/>
      <c r="P990" s="66"/>
      <c r="Q990" s="66"/>
      <c r="R990" s="66"/>
      <c r="S990" s="66"/>
      <c r="T990" s="66"/>
      <c r="U990" s="66"/>
      <c r="V990" s="66"/>
      <c r="W990" s="66"/>
      <c r="X990" s="66"/>
      <c r="Y990" s="66"/>
    </row>
    <row r="991" ht="14.25" customHeight="1">
      <c r="A991" s="66"/>
      <c r="B991" s="66"/>
      <c r="C991" s="66"/>
      <c r="D991" s="66"/>
      <c r="E991" s="66"/>
      <c r="F991" s="66"/>
      <c r="G991" s="66"/>
      <c r="H991" s="66"/>
      <c r="I991" s="66"/>
      <c r="J991" s="66"/>
      <c r="K991" s="66"/>
      <c r="L991" s="66"/>
      <c r="M991" s="66"/>
      <c r="N991" s="66"/>
      <c r="O991" s="66"/>
      <c r="P991" s="66"/>
      <c r="Q991" s="66"/>
      <c r="R991" s="66"/>
      <c r="S991" s="66"/>
      <c r="T991" s="66"/>
      <c r="U991" s="66"/>
      <c r="V991" s="66"/>
      <c r="W991" s="66"/>
      <c r="X991" s="66"/>
      <c r="Y991" s="66"/>
    </row>
    <row r="992" ht="14.25" customHeight="1">
      <c r="A992" s="66"/>
      <c r="B992" s="66"/>
      <c r="C992" s="66"/>
      <c r="D992" s="66"/>
      <c r="E992" s="66"/>
      <c r="F992" s="66"/>
      <c r="G992" s="66"/>
      <c r="H992" s="66"/>
      <c r="I992" s="66"/>
      <c r="J992" s="66"/>
      <c r="K992" s="66"/>
      <c r="L992" s="66"/>
      <c r="M992" s="66"/>
      <c r="N992" s="66"/>
      <c r="O992" s="66"/>
      <c r="P992" s="66"/>
      <c r="Q992" s="66"/>
      <c r="R992" s="66"/>
      <c r="S992" s="66"/>
      <c r="T992" s="66"/>
      <c r="U992" s="66"/>
      <c r="V992" s="66"/>
      <c r="W992" s="66"/>
      <c r="X992" s="66"/>
      <c r="Y992" s="66"/>
    </row>
    <row r="993" ht="14.25" customHeight="1">
      <c r="A993" s="66"/>
      <c r="B993" s="66"/>
      <c r="C993" s="66"/>
      <c r="D993" s="66"/>
      <c r="E993" s="66"/>
      <c r="F993" s="66"/>
      <c r="G993" s="66"/>
      <c r="H993" s="66"/>
      <c r="I993" s="66"/>
      <c r="J993" s="66"/>
      <c r="K993" s="66"/>
      <c r="L993" s="66"/>
      <c r="M993" s="66"/>
      <c r="N993" s="66"/>
      <c r="O993" s="66"/>
      <c r="P993" s="66"/>
      <c r="Q993" s="66"/>
      <c r="R993" s="66"/>
      <c r="S993" s="66"/>
      <c r="T993" s="66"/>
      <c r="U993" s="66"/>
      <c r="V993" s="66"/>
      <c r="W993" s="66"/>
      <c r="X993" s="66"/>
      <c r="Y993" s="66"/>
    </row>
    <row r="994" ht="14.25" customHeight="1">
      <c r="A994" s="66"/>
      <c r="B994" s="66"/>
      <c r="C994" s="66"/>
      <c r="D994" s="66"/>
      <c r="E994" s="66"/>
      <c r="F994" s="66"/>
      <c r="G994" s="66"/>
      <c r="H994" s="66"/>
      <c r="I994" s="66"/>
      <c r="J994" s="66"/>
      <c r="K994" s="66"/>
      <c r="L994" s="66"/>
      <c r="M994" s="66"/>
      <c r="N994" s="66"/>
      <c r="O994" s="66"/>
      <c r="P994" s="66"/>
      <c r="Q994" s="66"/>
      <c r="R994" s="66"/>
      <c r="S994" s="66"/>
      <c r="T994" s="66"/>
      <c r="U994" s="66"/>
      <c r="V994" s="66"/>
      <c r="W994" s="66"/>
      <c r="X994" s="66"/>
      <c r="Y994" s="66"/>
    </row>
    <row r="995" ht="14.25" customHeight="1">
      <c r="A995" s="66"/>
      <c r="B995" s="66"/>
      <c r="C995" s="66"/>
      <c r="D995" s="66"/>
      <c r="E995" s="66"/>
      <c r="F995" s="66"/>
      <c r="G995" s="66"/>
      <c r="H995" s="66"/>
      <c r="I995" s="66"/>
      <c r="J995" s="66"/>
      <c r="K995" s="66"/>
      <c r="L995" s="66"/>
      <c r="M995" s="66"/>
      <c r="N995" s="66"/>
      <c r="O995" s="66"/>
      <c r="P995" s="66"/>
      <c r="Q995" s="66"/>
      <c r="R995" s="66"/>
      <c r="S995" s="66"/>
      <c r="T995" s="66"/>
      <c r="U995" s="66"/>
      <c r="V995" s="66"/>
      <c r="W995" s="66"/>
      <c r="X995" s="66"/>
      <c r="Y995" s="66"/>
    </row>
    <row r="996" ht="14.25" customHeight="1">
      <c r="A996" s="66"/>
      <c r="B996" s="66"/>
      <c r="C996" s="66"/>
      <c r="D996" s="66"/>
      <c r="E996" s="66"/>
      <c r="F996" s="66"/>
      <c r="G996" s="66"/>
      <c r="H996" s="66"/>
      <c r="I996" s="66"/>
      <c r="J996" s="66"/>
      <c r="K996" s="66"/>
      <c r="L996" s="66"/>
      <c r="M996" s="66"/>
      <c r="N996" s="66"/>
      <c r="O996" s="66"/>
      <c r="P996" s="66"/>
      <c r="Q996" s="66"/>
      <c r="R996" s="66"/>
      <c r="S996" s="66"/>
      <c r="T996" s="66"/>
      <c r="U996" s="66"/>
      <c r="V996" s="66"/>
      <c r="W996" s="66"/>
      <c r="X996" s="66"/>
      <c r="Y996" s="66"/>
    </row>
    <row r="997" ht="14.25" customHeight="1">
      <c r="A997" s="66"/>
      <c r="B997" s="66"/>
      <c r="C997" s="66"/>
      <c r="D997" s="66"/>
      <c r="E997" s="66"/>
      <c r="F997" s="66"/>
      <c r="G997" s="66"/>
      <c r="H997" s="66"/>
      <c r="I997" s="66"/>
      <c r="J997" s="66"/>
      <c r="K997" s="66"/>
      <c r="L997" s="66"/>
      <c r="M997" s="66"/>
      <c r="N997" s="66"/>
      <c r="O997" s="66"/>
      <c r="P997" s="66"/>
      <c r="Q997" s="66"/>
      <c r="R997" s="66"/>
      <c r="S997" s="66"/>
      <c r="T997" s="66"/>
      <c r="U997" s="66"/>
      <c r="V997" s="66"/>
      <c r="W997" s="66"/>
      <c r="X997" s="66"/>
      <c r="Y997" s="66"/>
    </row>
    <row r="998" ht="14.25" customHeight="1">
      <c r="A998" s="66"/>
      <c r="B998" s="66"/>
      <c r="C998" s="66"/>
      <c r="D998" s="66"/>
      <c r="E998" s="66"/>
      <c r="F998" s="66"/>
      <c r="G998" s="66"/>
      <c r="H998" s="66"/>
      <c r="I998" s="66"/>
      <c r="J998" s="66"/>
      <c r="K998" s="66"/>
      <c r="L998" s="66"/>
      <c r="M998" s="66"/>
      <c r="N998" s="66"/>
      <c r="O998" s="66"/>
      <c r="P998" s="66"/>
      <c r="Q998" s="66"/>
      <c r="R998" s="66"/>
      <c r="S998" s="66"/>
      <c r="T998" s="66"/>
      <c r="U998" s="66"/>
      <c r="V998" s="66"/>
      <c r="W998" s="66"/>
      <c r="X998" s="66"/>
      <c r="Y998" s="66"/>
    </row>
    <row r="999" ht="14.25" customHeight="1">
      <c r="A999" s="66"/>
      <c r="B999" s="66"/>
      <c r="C999" s="66"/>
      <c r="D999" s="66"/>
      <c r="E999" s="66"/>
      <c r="F999" s="66"/>
      <c r="G999" s="66"/>
      <c r="H999" s="66"/>
      <c r="I999" s="66"/>
      <c r="J999" s="66"/>
      <c r="K999" s="66"/>
      <c r="L999" s="66"/>
      <c r="M999" s="66"/>
      <c r="N999" s="66"/>
      <c r="O999" s="66"/>
      <c r="P999" s="66"/>
      <c r="Q999" s="66"/>
      <c r="R999" s="66"/>
      <c r="S999" s="66"/>
      <c r="T999" s="66"/>
      <c r="U999" s="66"/>
      <c r="V999" s="66"/>
      <c r="W999" s="66"/>
      <c r="X999" s="66"/>
      <c r="Y999" s="66"/>
    </row>
    <row r="1000" ht="14.25" customHeight="1">
      <c r="A1000" s="66"/>
      <c r="B1000" s="66"/>
      <c r="C1000" s="66"/>
      <c r="D1000" s="66"/>
      <c r="E1000" s="66"/>
      <c r="F1000" s="66"/>
      <c r="G1000" s="66"/>
      <c r="H1000" s="66"/>
      <c r="I1000" s="66"/>
      <c r="J1000" s="66"/>
      <c r="K1000" s="66"/>
      <c r="L1000" s="66"/>
      <c r="M1000" s="66"/>
      <c r="N1000" s="66"/>
      <c r="O1000" s="66"/>
      <c r="P1000" s="66"/>
      <c r="Q1000" s="66"/>
      <c r="R1000" s="66"/>
      <c r="S1000" s="66"/>
      <c r="T1000" s="66"/>
      <c r="U1000" s="66"/>
      <c r="V1000" s="66"/>
      <c r="W1000" s="66"/>
      <c r="X1000" s="66"/>
      <c r="Y1000" s="66"/>
    </row>
    <row r="1001" ht="14.25" customHeight="1">
      <c r="A1001" s="66"/>
      <c r="B1001" s="66"/>
      <c r="C1001" s="66"/>
      <c r="D1001" s="66"/>
      <c r="E1001" s="66"/>
      <c r="F1001" s="66"/>
      <c r="G1001" s="66"/>
      <c r="H1001" s="66"/>
      <c r="I1001" s="66"/>
      <c r="J1001" s="66"/>
      <c r="K1001" s="66"/>
      <c r="L1001" s="66"/>
      <c r="M1001" s="66"/>
      <c r="N1001" s="66"/>
      <c r="O1001" s="66"/>
      <c r="P1001" s="66"/>
      <c r="Q1001" s="66"/>
      <c r="R1001" s="66"/>
      <c r="S1001" s="66"/>
      <c r="T1001" s="66"/>
      <c r="U1001" s="66"/>
      <c r="V1001" s="66"/>
      <c r="W1001" s="66"/>
      <c r="X1001" s="66"/>
      <c r="Y1001" s="66"/>
    </row>
  </sheetData>
  <mergeCells count="114">
    <mergeCell ref="A1:T1"/>
    <mergeCell ref="A3:T3"/>
    <mergeCell ref="A4:T4"/>
    <mergeCell ref="B5:J5"/>
    <mergeCell ref="K5:T5"/>
    <mergeCell ref="A11:T11"/>
    <mergeCell ref="B12:J12"/>
    <mergeCell ref="K12:T12"/>
    <mergeCell ref="A19:T19"/>
    <mergeCell ref="B20:J20"/>
    <mergeCell ref="K20:T20"/>
    <mergeCell ref="A31:T31"/>
    <mergeCell ref="B32:J32"/>
    <mergeCell ref="K32:T32"/>
    <mergeCell ref="A39:J39"/>
    <mergeCell ref="B40:J40"/>
    <mergeCell ref="A48:T48"/>
    <mergeCell ref="A49:T49"/>
    <mergeCell ref="B50:J50"/>
    <mergeCell ref="K50:T50"/>
    <mergeCell ref="A56:T56"/>
    <mergeCell ref="B57:J57"/>
    <mergeCell ref="K57:T57"/>
    <mergeCell ref="A64:T64"/>
    <mergeCell ref="B65:J65"/>
    <mergeCell ref="K65:T65"/>
    <mergeCell ref="A73:T73"/>
    <mergeCell ref="B74:J74"/>
    <mergeCell ref="K74:T74"/>
    <mergeCell ref="A80:T80"/>
    <mergeCell ref="B81:J81"/>
    <mergeCell ref="K81:T81"/>
    <mergeCell ref="A87:K87"/>
    <mergeCell ref="B88:K88"/>
    <mergeCell ref="A93:K93"/>
    <mergeCell ref="B94:J94"/>
    <mergeCell ref="K94:K95"/>
    <mergeCell ref="A103:K103"/>
    <mergeCell ref="A104:K104"/>
    <mergeCell ref="A109:T113"/>
    <mergeCell ref="A116:K116"/>
    <mergeCell ref="B117:J117"/>
    <mergeCell ref="B118:J118"/>
    <mergeCell ref="B119:J119"/>
    <mergeCell ref="B120:J120"/>
    <mergeCell ref="B121:J121"/>
    <mergeCell ref="B122:J122"/>
    <mergeCell ref="B123:J123"/>
    <mergeCell ref="B124:J124"/>
    <mergeCell ref="B250:J250"/>
    <mergeCell ref="B251:J251"/>
    <mergeCell ref="A254:K254"/>
    <mergeCell ref="A255:J255"/>
    <mergeCell ref="B256:J256"/>
    <mergeCell ref="B257:J257"/>
    <mergeCell ref="B259:J259"/>
    <mergeCell ref="A282:A283"/>
    <mergeCell ref="A286:A287"/>
    <mergeCell ref="B265:J265"/>
    <mergeCell ref="A266:K266"/>
    <mergeCell ref="A274:S274"/>
    <mergeCell ref="B275:I275"/>
    <mergeCell ref="J275:R275"/>
    <mergeCell ref="A281:K281"/>
    <mergeCell ref="A285:K285"/>
    <mergeCell ref="B125:J125"/>
    <mergeCell ref="B126:J126"/>
    <mergeCell ref="B127:J127"/>
    <mergeCell ref="B128:J128"/>
    <mergeCell ref="A131:K131"/>
    <mergeCell ref="A132:K132"/>
    <mergeCell ref="A141:K141"/>
    <mergeCell ref="B142:J142"/>
    <mergeCell ref="B143:J143"/>
    <mergeCell ref="B144:J144"/>
    <mergeCell ref="B145:J145"/>
    <mergeCell ref="A149:T153"/>
    <mergeCell ref="A155:J155"/>
    <mergeCell ref="A156:T156"/>
    <mergeCell ref="B157:J157"/>
    <mergeCell ref="K157:S157"/>
    <mergeCell ref="T157:T158"/>
    <mergeCell ref="A166:T166"/>
    <mergeCell ref="B167:J167"/>
    <mergeCell ref="K167:S167"/>
    <mergeCell ref="A173:T173"/>
    <mergeCell ref="B174:J174"/>
    <mergeCell ref="K174:S174"/>
    <mergeCell ref="A183:T183"/>
    <mergeCell ref="B184:J184"/>
    <mergeCell ref="K184:S184"/>
    <mergeCell ref="A191:T192"/>
    <mergeCell ref="B193:J193"/>
    <mergeCell ref="K193:S193"/>
    <mergeCell ref="A201:T201"/>
    <mergeCell ref="B202:J202"/>
    <mergeCell ref="K202:S202"/>
    <mergeCell ref="A220:T220"/>
    <mergeCell ref="B221:J221"/>
    <mergeCell ref="K221:S221"/>
    <mergeCell ref="A227:S227"/>
    <mergeCell ref="B228:I228"/>
    <mergeCell ref="J228:R228"/>
    <mergeCell ref="A229:A230"/>
    <mergeCell ref="A233:K233"/>
    <mergeCell ref="A234:A236"/>
    <mergeCell ref="B234:J234"/>
    <mergeCell ref="A239:S239"/>
    <mergeCell ref="B240:J240"/>
    <mergeCell ref="K240:R240"/>
    <mergeCell ref="A245:S245"/>
    <mergeCell ref="A247:K247"/>
    <mergeCell ref="A248:J248"/>
    <mergeCell ref="B249:J249"/>
  </mergeCells>
  <conditionalFormatting sqref="B7:S8">
    <cfRule type="cellIs" dxfId="1" priority="1" operator="lessThan">
      <formula>3</formula>
    </cfRule>
  </conditionalFormatting>
  <conditionalFormatting sqref="B14:S16">
    <cfRule type="cellIs" dxfId="1" priority="2" operator="lessThan">
      <formula>3</formula>
    </cfRule>
  </conditionalFormatting>
  <conditionalFormatting sqref="B22:S28">
    <cfRule type="cellIs" dxfId="1" priority="3" operator="lessThan">
      <formula>3</formula>
    </cfRule>
  </conditionalFormatting>
  <conditionalFormatting sqref="B34:S35">
    <cfRule type="cellIs" dxfId="1" priority="4" operator="lessThan">
      <formula>3</formula>
    </cfRule>
  </conditionalFormatting>
  <conditionalFormatting sqref="B42:J43">
    <cfRule type="cellIs" dxfId="1" priority="5" operator="lessThan">
      <formula>3</formula>
    </cfRule>
  </conditionalFormatting>
  <conditionalFormatting sqref="B52:S53">
    <cfRule type="cellIs" dxfId="1" priority="6" operator="lessThan">
      <formula>3</formula>
    </cfRule>
  </conditionalFormatting>
  <conditionalFormatting sqref="B59:S61">
    <cfRule type="cellIs" dxfId="1" priority="7" operator="lessThan">
      <formula>3</formula>
    </cfRule>
  </conditionalFormatting>
  <conditionalFormatting sqref="B67:S70">
    <cfRule type="cellIs" dxfId="1" priority="8" operator="lessThan">
      <formula>3</formula>
    </cfRule>
  </conditionalFormatting>
  <conditionalFormatting sqref="B76:S77">
    <cfRule type="cellIs" dxfId="1" priority="9" operator="lessThan">
      <formula>3</formula>
    </cfRule>
  </conditionalFormatting>
  <conditionalFormatting sqref="B83:S84">
    <cfRule type="cellIs" dxfId="1" priority="10" operator="lessThan">
      <formula>3</formula>
    </cfRule>
  </conditionalFormatting>
  <conditionalFormatting sqref="B90:K91">
    <cfRule type="cellIs" dxfId="1" priority="11" operator="lessThan">
      <formula>3</formula>
    </cfRule>
  </conditionalFormatting>
  <conditionalFormatting sqref="B96:J100">
    <cfRule type="cellIs" dxfId="1" priority="12" operator="lessThan">
      <formula>3</formula>
    </cfRule>
  </conditionalFormatting>
  <conditionalFormatting sqref="B106:K106">
    <cfRule type="cellIs" dxfId="1" priority="13" operator="lessThan">
      <formula>3</formula>
    </cfRule>
  </conditionalFormatting>
  <conditionalFormatting sqref="B118:J128">
    <cfRule type="cellIs" dxfId="1" priority="14" operator="lessThan">
      <formula>3</formula>
    </cfRule>
  </conditionalFormatting>
  <conditionalFormatting sqref="B134:K136">
    <cfRule type="cellIs" dxfId="1" priority="15" operator="lessThan">
      <formula>3</formula>
    </cfRule>
  </conditionalFormatting>
  <conditionalFormatting sqref="B144:J145">
    <cfRule type="cellIs" dxfId="1" priority="16" operator="lessThan">
      <formula>3</formula>
    </cfRule>
  </conditionalFormatting>
  <conditionalFormatting sqref="B159:S163">
    <cfRule type="cellIs" dxfId="1" priority="17" operator="lessThan">
      <formula>3</formula>
    </cfRule>
  </conditionalFormatting>
  <conditionalFormatting sqref="B169:S170">
    <cfRule type="cellIs" dxfId="1" priority="18" operator="lessThan">
      <formula>3</formula>
    </cfRule>
  </conditionalFormatting>
  <conditionalFormatting sqref="B176:S180">
    <cfRule type="cellIs" dxfId="1" priority="19" operator="lessThan">
      <formula>3</formula>
    </cfRule>
  </conditionalFormatting>
  <conditionalFormatting sqref="B186:S188">
    <cfRule type="cellIs" dxfId="1" priority="20" operator="lessThan">
      <formula>3</formula>
    </cfRule>
  </conditionalFormatting>
  <conditionalFormatting sqref="B195:S198">
    <cfRule type="cellIs" dxfId="1" priority="21" operator="lessThan">
      <formula>3</formula>
    </cfRule>
  </conditionalFormatting>
  <conditionalFormatting sqref="B204:S217">
    <cfRule type="cellIs" dxfId="1" priority="22" operator="lessThan">
      <formula>3</formula>
    </cfRule>
  </conditionalFormatting>
  <conditionalFormatting sqref="B223:S223">
    <cfRule type="cellIs" dxfId="1" priority="23" operator="lessThan">
      <formula>3</formula>
    </cfRule>
  </conditionalFormatting>
  <conditionalFormatting sqref="B230:R230">
    <cfRule type="cellIs" dxfId="1" priority="24" operator="lessThan">
      <formula>3</formula>
    </cfRule>
  </conditionalFormatting>
  <conditionalFormatting sqref="B236:J236">
    <cfRule type="cellIs" dxfId="1" priority="25" operator="lessThan">
      <formula>3</formula>
    </cfRule>
  </conditionalFormatting>
  <conditionalFormatting sqref="B242:S242">
    <cfRule type="cellIs" dxfId="1" priority="26" operator="lessThan">
      <formula>3</formula>
    </cfRule>
  </conditionalFormatting>
  <conditionalFormatting sqref="B249:J251">
    <cfRule type="cellIs" dxfId="1" priority="27" operator="lessThan">
      <formula>3</formula>
    </cfRule>
  </conditionalFormatting>
  <conditionalFormatting sqref="B256:J257">
    <cfRule type="cellIs" dxfId="1" priority="28" operator="lessThan">
      <formula>3</formula>
    </cfRule>
  </conditionalFormatting>
  <conditionalFormatting sqref="B262:K263">
    <cfRule type="cellIs" dxfId="1" priority="29" operator="lessThan">
      <formula>3</formula>
    </cfRule>
  </conditionalFormatting>
  <conditionalFormatting sqref="B268:J271">
    <cfRule type="cellIs" dxfId="1" priority="30" operator="lessThan">
      <formula>3</formula>
    </cfRule>
  </conditionalFormatting>
  <conditionalFormatting sqref="B277:S277">
    <cfRule type="cellIs" dxfId="1" priority="31" operator="lessThan">
      <formula>3</formula>
    </cfRule>
  </conditionalFormatting>
  <conditionalFormatting sqref="B283:J283">
    <cfRule type="cellIs" dxfId="1" priority="32" operator="lessThan">
      <formula>3</formula>
    </cfRule>
  </conditionalFormatting>
  <conditionalFormatting sqref="B287:J287">
    <cfRule type="cellIs" dxfId="1" priority="33" operator="lessThan">
      <formula>3</formula>
    </cfRule>
  </conditionalFormatting>
  <printOptions/>
  <pageMargins bottom="0.75" footer="0.0" header="0.0" left="0.7" right="0.7" top="0.75"/>
  <pageSetup orientation="portrait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43"/>
    <col customWidth="1" min="2" max="19" width="10.71"/>
    <col customWidth="1" min="20" max="20" width="25.43"/>
    <col customWidth="1" min="21" max="21" width="4.57"/>
    <col customWidth="1" min="22" max="22" width="17.57"/>
    <col customWidth="1" min="23" max="23" width="16.86"/>
    <col customWidth="1" min="24" max="24" width="15.14"/>
    <col customWidth="1" min="25" max="25" width="15.57"/>
    <col customWidth="1" min="26" max="26" width="17.71"/>
    <col customWidth="1" min="27" max="27" width="15.43"/>
    <col customWidth="1" min="28" max="29" width="10.71"/>
  </cols>
  <sheetData>
    <row r="1" ht="19.5" customHeight="1">
      <c r="A1" s="254" t="s">
        <v>13</v>
      </c>
      <c r="B1" s="43"/>
      <c r="C1" s="43"/>
      <c r="D1" s="43"/>
      <c r="E1" s="43"/>
      <c r="F1" s="43"/>
      <c r="G1" s="43"/>
      <c r="H1" s="43"/>
      <c r="I1" s="43"/>
      <c r="J1" s="43"/>
      <c r="K1" s="255"/>
      <c r="L1" s="43"/>
      <c r="M1" s="43"/>
      <c r="N1" s="43"/>
      <c r="O1" s="43"/>
      <c r="P1" s="43"/>
      <c r="Q1" s="43"/>
      <c r="R1" s="43"/>
      <c r="S1" s="43"/>
      <c r="T1" s="43"/>
      <c r="U1" s="12"/>
      <c r="V1" s="256"/>
      <c r="AC1" s="12"/>
    </row>
    <row r="2" ht="19.5" customHeight="1">
      <c r="A2" s="257" t="s">
        <v>77</v>
      </c>
      <c r="B2" s="52"/>
      <c r="C2" s="52"/>
      <c r="D2" s="52"/>
      <c r="E2" s="52"/>
      <c r="F2" s="52"/>
      <c r="G2" s="52"/>
      <c r="H2" s="52"/>
      <c r="I2" s="52"/>
      <c r="J2" s="52"/>
      <c r="K2" s="53"/>
      <c r="L2" s="43"/>
      <c r="M2" s="43"/>
      <c r="N2" s="43"/>
      <c r="O2" s="43"/>
      <c r="P2" s="43"/>
      <c r="Q2" s="43"/>
      <c r="R2" s="43"/>
      <c r="S2" s="43"/>
      <c r="T2" s="43"/>
      <c r="U2" s="12"/>
      <c r="AC2" s="12"/>
    </row>
    <row r="3" ht="19.5" customHeight="1">
      <c r="A3" s="258"/>
      <c r="B3" s="259" t="s">
        <v>131</v>
      </c>
      <c r="C3" s="52"/>
      <c r="D3" s="52"/>
      <c r="E3" s="52"/>
      <c r="F3" s="52"/>
      <c r="G3" s="52"/>
      <c r="H3" s="52"/>
      <c r="I3" s="52"/>
      <c r="J3" s="53"/>
      <c r="K3" s="260"/>
      <c r="L3" s="43"/>
      <c r="M3" s="43"/>
      <c r="N3" s="43"/>
      <c r="O3" s="43"/>
      <c r="P3" s="43"/>
      <c r="Q3" s="43"/>
      <c r="R3" s="43"/>
      <c r="S3" s="43"/>
      <c r="T3" s="43"/>
      <c r="U3" s="12"/>
      <c r="V3" s="12"/>
      <c r="W3" s="12"/>
      <c r="X3" s="12"/>
      <c r="Y3" s="12"/>
      <c r="Z3" s="12"/>
      <c r="AA3" s="12"/>
      <c r="AB3" s="12"/>
      <c r="AC3" s="43"/>
    </row>
    <row r="4" ht="19.5" customHeight="1">
      <c r="A4" s="258" t="s">
        <v>93</v>
      </c>
      <c r="B4" s="261">
        <v>28.0</v>
      </c>
      <c r="C4" s="261">
        <v>30.0</v>
      </c>
      <c r="D4" s="261">
        <v>32.0</v>
      </c>
      <c r="E4" s="261">
        <v>34.0</v>
      </c>
      <c r="F4" s="261">
        <v>36.0</v>
      </c>
      <c r="G4" s="261">
        <v>38.0</v>
      </c>
      <c r="H4" s="261">
        <v>40.0</v>
      </c>
      <c r="I4" s="261"/>
      <c r="J4" s="262"/>
      <c r="K4" s="260"/>
      <c r="L4" s="43"/>
      <c r="M4" s="43"/>
      <c r="N4" s="43"/>
      <c r="O4" s="43"/>
      <c r="P4" s="43"/>
      <c r="Q4" s="43"/>
      <c r="R4" s="43"/>
      <c r="S4" s="43"/>
      <c r="T4" s="43"/>
      <c r="U4" s="12"/>
      <c r="V4" s="12"/>
      <c r="W4" s="12"/>
      <c r="X4" s="12"/>
      <c r="Y4" s="12"/>
      <c r="Z4" s="12"/>
      <c r="AA4" s="12"/>
      <c r="AB4" s="12"/>
      <c r="AC4" s="43"/>
    </row>
    <row r="5" ht="19.5" customHeight="1">
      <c r="A5" s="258"/>
      <c r="B5" s="263" t="s">
        <v>4</v>
      </c>
      <c r="C5" s="263" t="s">
        <v>49</v>
      </c>
      <c r="D5" s="263" t="s">
        <v>50</v>
      </c>
      <c r="E5" s="263" t="s">
        <v>51</v>
      </c>
      <c r="F5" s="263" t="s">
        <v>52</v>
      </c>
      <c r="G5" s="263" t="s">
        <v>9</v>
      </c>
      <c r="H5" s="263" t="s">
        <v>10</v>
      </c>
      <c r="I5" s="263" t="s">
        <v>11</v>
      </c>
      <c r="J5" s="264" t="s">
        <v>12</v>
      </c>
      <c r="K5" s="265" t="s">
        <v>53</v>
      </c>
      <c r="L5" s="43"/>
      <c r="M5" s="43"/>
      <c r="N5" s="43"/>
      <c r="O5" s="43"/>
      <c r="P5" s="43"/>
      <c r="Q5" s="43"/>
      <c r="R5" s="43"/>
      <c r="S5" s="43"/>
      <c r="T5" s="43"/>
      <c r="U5" s="12"/>
      <c r="V5" s="12"/>
      <c r="W5" s="12"/>
      <c r="X5" s="12"/>
      <c r="Y5" s="12"/>
      <c r="Z5" s="12"/>
      <c r="AA5" s="12"/>
      <c r="AB5" s="12"/>
      <c r="AC5" s="43"/>
    </row>
    <row r="6" ht="19.5" customHeight="1">
      <c r="A6" s="148" t="s">
        <v>23</v>
      </c>
      <c r="B6" s="261">
        <f>0+2+2</f>
        <v>4</v>
      </c>
      <c r="C6" s="261">
        <f>0+3+2</f>
        <v>5</v>
      </c>
      <c r="D6" s="261">
        <f>0+3+2+1</f>
        <v>6</v>
      </c>
      <c r="E6" s="261">
        <f>0+2+2-1-1+1</f>
        <v>3</v>
      </c>
      <c r="F6" s="261">
        <f>0+3+2-1+1</f>
        <v>5</v>
      </c>
      <c r="G6" s="261">
        <f>0+2</f>
        <v>2</v>
      </c>
      <c r="H6" s="261">
        <f>0</f>
        <v>0</v>
      </c>
      <c r="I6" s="261">
        <f>0+2</f>
        <v>2</v>
      </c>
      <c r="J6" s="261">
        <f t="shared" ref="J6:J7" si="2">0</f>
        <v>0</v>
      </c>
      <c r="K6" s="266">
        <f t="shared" ref="K6:K7" si="3">SUM(B6:J6)</f>
        <v>27</v>
      </c>
      <c r="L6" s="43"/>
      <c r="M6" s="43"/>
      <c r="N6" s="43"/>
      <c r="O6" s="43"/>
      <c r="P6" s="43"/>
      <c r="Q6" s="43"/>
      <c r="R6" s="43"/>
      <c r="S6" s="43"/>
      <c r="T6" s="43"/>
      <c r="U6" s="12"/>
      <c r="V6" s="12"/>
      <c r="W6" s="12"/>
      <c r="X6" s="12"/>
      <c r="Y6" s="12"/>
      <c r="Z6" s="12"/>
      <c r="AA6" s="12"/>
      <c r="AB6" s="12"/>
      <c r="AC6" s="43"/>
    </row>
    <row r="7" ht="19.5" customHeight="1">
      <c r="A7" s="71" t="s">
        <v>28</v>
      </c>
      <c r="B7" s="261">
        <f>0+3+2</f>
        <v>5</v>
      </c>
      <c r="C7" s="261">
        <f>0+2+2+1+1</f>
        <v>6</v>
      </c>
      <c r="D7" s="261">
        <f>0+2+2+3+6</f>
        <v>13</v>
      </c>
      <c r="E7" s="261">
        <f>0+2+3+6-1</f>
        <v>10</v>
      </c>
      <c r="F7" s="261">
        <f>0+2-3+6+1</f>
        <v>6</v>
      </c>
      <c r="G7" s="261">
        <f>0+1+1+2+2</f>
        <v>6</v>
      </c>
      <c r="H7" s="261">
        <f t="shared" ref="H7:I7" si="1">0+2</f>
        <v>2</v>
      </c>
      <c r="I7" s="261">
        <f t="shared" si="1"/>
        <v>2</v>
      </c>
      <c r="J7" s="261">
        <f t="shared" si="2"/>
        <v>0</v>
      </c>
      <c r="K7" s="266">
        <f t="shared" si="3"/>
        <v>50</v>
      </c>
      <c r="L7" s="43"/>
      <c r="M7" s="43"/>
      <c r="N7" s="43"/>
      <c r="O7" s="43"/>
      <c r="P7" s="43"/>
      <c r="Q7" s="43"/>
      <c r="R7" s="43"/>
      <c r="S7" s="43"/>
      <c r="T7" s="43"/>
      <c r="U7" s="12"/>
      <c r="V7" s="12"/>
      <c r="W7" s="12"/>
      <c r="X7" s="12"/>
      <c r="Y7" s="12"/>
      <c r="Z7" s="12"/>
      <c r="AA7" s="12"/>
      <c r="AB7" s="12"/>
      <c r="AC7" s="43"/>
    </row>
    <row r="8" ht="19.5" customHeight="1">
      <c r="A8" s="7"/>
      <c r="B8" s="267"/>
      <c r="C8" s="267"/>
      <c r="D8" s="267"/>
      <c r="E8" s="267"/>
      <c r="F8" s="267"/>
      <c r="G8" s="267"/>
      <c r="H8" s="267"/>
      <c r="I8" s="267"/>
      <c r="J8" s="267"/>
      <c r="K8" s="268">
        <f>SUM(K6:K7)</f>
        <v>77</v>
      </c>
      <c r="L8" s="43"/>
      <c r="M8" s="43"/>
      <c r="N8" s="43"/>
      <c r="O8" s="43"/>
      <c r="P8" s="43"/>
      <c r="Q8" s="43"/>
      <c r="R8" s="43"/>
      <c r="S8" s="43"/>
      <c r="T8" s="43"/>
      <c r="U8" s="12"/>
      <c r="V8" s="12"/>
      <c r="W8" s="12"/>
      <c r="X8" s="12"/>
      <c r="Y8" s="12"/>
      <c r="Z8" s="12"/>
      <c r="AA8" s="12"/>
      <c r="AB8" s="12"/>
      <c r="AC8" s="43"/>
    </row>
    <row r="9" ht="19.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255"/>
      <c r="L9" s="43"/>
      <c r="M9" s="43"/>
      <c r="N9" s="43"/>
      <c r="O9" s="43"/>
      <c r="P9" s="43"/>
      <c r="Q9" s="43"/>
      <c r="R9" s="43"/>
      <c r="S9" s="43"/>
      <c r="T9" s="43"/>
      <c r="U9" s="12"/>
      <c r="V9" s="12"/>
      <c r="W9" s="12"/>
      <c r="X9" s="12"/>
      <c r="Y9" s="12"/>
      <c r="Z9" s="12"/>
      <c r="AA9" s="12"/>
      <c r="AB9" s="12"/>
      <c r="AC9" s="43"/>
    </row>
    <row r="10" ht="19.5" customHeight="1">
      <c r="A10" s="257" t="s">
        <v>77</v>
      </c>
      <c r="B10" s="52"/>
      <c r="C10" s="52"/>
      <c r="D10" s="52"/>
      <c r="E10" s="52"/>
      <c r="F10" s="52"/>
      <c r="G10" s="52"/>
      <c r="H10" s="52"/>
      <c r="I10" s="52"/>
      <c r="J10" s="52"/>
      <c r="K10" s="53"/>
      <c r="L10" s="43"/>
      <c r="M10" s="43"/>
      <c r="N10" s="43"/>
      <c r="O10" s="43"/>
      <c r="P10" s="43"/>
      <c r="Q10" s="43"/>
      <c r="R10" s="43"/>
      <c r="S10" s="43"/>
      <c r="T10" s="43"/>
      <c r="U10" s="12"/>
      <c r="V10" s="12"/>
      <c r="W10" s="12"/>
      <c r="X10" s="12"/>
      <c r="Y10" s="12"/>
      <c r="Z10" s="12"/>
      <c r="AA10" s="12"/>
      <c r="AB10" s="12"/>
      <c r="AC10" s="43"/>
    </row>
    <row r="11" ht="19.5" customHeight="1">
      <c r="A11" s="258"/>
      <c r="B11" s="259" t="s">
        <v>132</v>
      </c>
      <c r="C11" s="52"/>
      <c r="D11" s="52"/>
      <c r="E11" s="52"/>
      <c r="F11" s="52"/>
      <c r="G11" s="52"/>
      <c r="H11" s="52"/>
      <c r="I11" s="52"/>
      <c r="J11" s="53"/>
      <c r="K11" s="260"/>
      <c r="L11" s="43"/>
      <c r="M11" s="43"/>
      <c r="N11" s="43"/>
      <c r="O11" s="43"/>
      <c r="P11" s="43"/>
      <c r="Q11" s="43"/>
      <c r="R11" s="43"/>
      <c r="S11" s="43"/>
      <c r="T11" s="43"/>
      <c r="U11" s="12"/>
      <c r="V11" s="12"/>
      <c r="W11" s="12"/>
      <c r="X11" s="12"/>
      <c r="Y11" s="12"/>
      <c r="Z11" s="12"/>
      <c r="AA11" s="12"/>
      <c r="AB11" s="12"/>
      <c r="AC11" s="43"/>
    </row>
    <row r="12" ht="19.5" customHeight="1">
      <c r="A12" s="258" t="s">
        <v>93</v>
      </c>
      <c r="B12" s="261">
        <v>28.0</v>
      </c>
      <c r="C12" s="261">
        <v>30.0</v>
      </c>
      <c r="D12" s="261">
        <v>32.0</v>
      </c>
      <c r="E12" s="261">
        <v>34.0</v>
      </c>
      <c r="F12" s="261">
        <v>36.0</v>
      </c>
      <c r="G12" s="261">
        <v>38.0</v>
      </c>
      <c r="H12" s="261">
        <v>40.0</v>
      </c>
      <c r="I12" s="261"/>
      <c r="J12" s="262"/>
      <c r="K12" s="260"/>
      <c r="L12" s="43"/>
      <c r="M12" s="43"/>
      <c r="N12" s="43"/>
      <c r="O12" s="43"/>
      <c r="P12" s="43"/>
      <c r="Q12" s="43"/>
      <c r="R12" s="43"/>
      <c r="S12" s="43"/>
      <c r="T12" s="43"/>
      <c r="U12" s="12"/>
      <c r="V12" s="12"/>
      <c r="W12" s="12"/>
      <c r="X12" s="12"/>
      <c r="Y12" s="12"/>
      <c r="Z12" s="12"/>
      <c r="AA12" s="12"/>
      <c r="AB12" s="12"/>
      <c r="AC12" s="43"/>
    </row>
    <row r="13" ht="19.5" customHeight="1">
      <c r="A13" s="258"/>
      <c r="B13" s="263" t="s">
        <v>4</v>
      </c>
      <c r="C13" s="263" t="s">
        <v>49</v>
      </c>
      <c r="D13" s="263" t="s">
        <v>50</v>
      </c>
      <c r="E13" s="263" t="s">
        <v>51</v>
      </c>
      <c r="F13" s="263" t="s">
        <v>52</v>
      </c>
      <c r="G13" s="263" t="s">
        <v>9</v>
      </c>
      <c r="H13" s="263" t="s">
        <v>10</v>
      </c>
      <c r="I13" s="263" t="s">
        <v>11</v>
      </c>
      <c r="J13" s="264" t="s">
        <v>12</v>
      </c>
      <c r="K13" s="265" t="s">
        <v>53</v>
      </c>
      <c r="L13" s="43"/>
      <c r="M13" s="43"/>
      <c r="N13" s="43"/>
      <c r="O13" s="43"/>
      <c r="P13" s="43"/>
      <c r="Q13" s="43"/>
      <c r="R13" s="43"/>
      <c r="S13" s="43"/>
      <c r="T13" s="43"/>
      <c r="U13" s="12"/>
      <c r="V13" s="12"/>
      <c r="W13" s="12"/>
      <c r="X13" s="12"/>
      <c r="Y13" s="12"/>
      <c r="Z13" s="12"/>
      <c r="AA13" s="12"/>
      <c r="AB13" s="12"/>
      <c r="AC13" s="43"/>
    </row>
    <row r="14" ht="19.5" customHeight="1">
      <c r="A14" s="148" t="s">
        <v>133</v>
      </c>
      <c r="B14" s="261">
        <f>0+2+2</f>
        <v>4</v>
      </c>
      <c r="C14" s="261">
        <f>0+1+2-1+1-1+1-1+1</f>
        <v>3</v>
      </c>
      <c r="D14" s="261">
        <f>0+1+1-1+2+1-2+2-4+4-1+1-1-2+1+2-1+1</f>
        <v>4</v>
      </c>
      <c r="E14" s="261">
        <f>0+2+1-3+2+3-2+2-5+1+5+1-1+2-2+2+1</f>
        <v>9</v>
      </c>
      <c r="F14" s="261">
        <f>0+1-1+2-1-1+1+1-1-1+1-1</f>
        <v>0</v>
      </c>
      <c r="G14" s="261">
        <f>0+1+2-1+1+2-1-1+1+1-1+1</f>
        <v>5</v>
      </c>
      <c r="H14" s="261">
        <f>0+3-2+2</f>
        <v>3</v>
      </c>
      <c r="I14" s="261">
        <f>0+1</f>
        <v>1</v>
      </c>
      <c r="J14" s="261">
        <f>0</f>
        <v>0</v>
      </c>
      <c r="K14" s="266">
        <f t="shared" ref="K14:K15" si="5">SUM(B14:J14)</f>
        <v>29</v>
      </c>
      <c r="L14" s="43"/>
      <c r="M14" s="43"/>
      <c r="N14" s="43"/>
      <c r="O14" s="43"/>
      <c r="P14" s="43"/>
      <c r="Q14" s="43"/>
      <c r="R14" s="43"/>
      <c r="S14" s="43"/>
      <c r="T14" s="43"/>
      <c r="U14" s="12"/>
      <c r="V14" s="12"/>
      <c r="W14" s="12"/>
      <c r="X14" s="12"/>
      <c r="Y14" s="12"/>
      <c r="Z14" s="12"/>
      <c r="AA14" s="12"/>
      <c r="AB14" s="12"/>
      <c r="AC14" s="43"/>
    </row>
    <row r="15" ht="19.5" customHeight="1">
      <c r="A15" s="71" t="s">
        <v>134</v>
      </c>
      <c r="B15" s="261">
        <f>0+1+2</f>
        <v>3</v>
      </c>
      <c r="C15" s="269">
        <f>0+3+2+1-1+1-1</f>
        <v>5</v>
      </c>
      <c r="D15" s="261">
        <f>0+4-1+1+1+2-1+1-1+1-6+6+1-1+1-1+1+1-1+1</f>
        <v>9</v>
      </c>
      <c r="E15" s="261">
        <f>0+1+2+4-1+1-3-4+3-1+1-1+1-1+1+1+1</f>
        <v>5</v>
      </c>
      <c r="F15" s="261">
        <f>0+2-2+2+2-1-1-1</f>
        <v>1</v>
      </c>
      <c r="G15" s="261">
        <f>0+2-2+2</f>
        <v>2</v>
      </c>
      <c r="H15" s="261">
        <f>0+1</f>
        <v>1</v>
      </c>
      <c r="I15" s="261">
        <f t="shared" ref="I15:J15" si="4">0</f>
        <v>0</v>
      </c>
      <c r="J15" s="261">
        <f t="shared" si="4"/>
        <v>0</v>
      </c>
      <c r="K15" s="266">
        <f t="shared" si="5"/>
        <v>26</v>
      </c>
      <c r="L15" s="43"/>
      <c r="M15" s="43"/>
      <c r="N15" s="43"/>
      <c r="O15" s="43"/>
      <c r="P15" s="43"/>
      <c r="Q15" s="43"/>
      <c r="R15" s="43"/>
      <c r="S15" s="43"/>
      <c r="T15" s="43"/>
      <c r="U15" s="12"/>
      <c r="V15" s="12"/>
      <c r="W15" s="12"/>
      <c r="X15" s="12"/>
      <c r="Y15" s="12"/>
      <c r="Z15" s="12"/>
      <c r="AA15" s="12"/>
      <c r="AB15" s="12"/>
      <c r="AC15" s="43"/>
    </row>
    <row r="16" ht="19.5" customHeight="1">
      <c r="A16" s="7"/>
      <c r="B16" s="267"/>
      <c r="C16" s="267"/>
      <c r="D16" s="267"/>
      <c r="E16" s="267"/>
      <c r="F16" s="267"/>
      <c r="G16" s="267"/>
      <c r="H16" s="267"/>
      <c r="I16" s="267"/>
      <c r="J16" s="267"/>
      <c r="K16" s="268">
        <f>SUM(K14:K15)</f>
        <v>55</v>
      </c>
      <c r="L16" s="43"/>
      <c r="M16" s="43"/>
      <c r="N16" s="43"/>
      <c r="O16" s="43"/>
      <c r="P16" s="43"/>
      <c r="Q16" s="43"/>
      <c r="R16" s="43"/>
      <c r="S16" s="43"/>
      <c r="T16" s="43"/>
      <c r="U16" s="12"/>
      <c r="V16" s="12"/>
      <c r="W16" s="12"/>
      <c r="X16" s="12"/>
      <c r="Y16" s="12"/>
      <c r="Z16" s="12"/>
      <c r="AA16" s="12"/>
      <c r="AB16" s="12"/>
      <c r="AC16" s="43"/>
    </row>
    <row r="17" ht="19.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255"/>
      <c r="L17" s="43"/>
      <c r="M17" s="43"/>
      <c r="N17" s="43"/>
      <c r="O17" s="43"/>
      <c r="P17" s="43"/>
      <c r="Q17" s="43"/>
      <c r="R17" s="43"/>
      <c r="S17" s="43"/>
      <c r="T17" s="43"/>
      <c r="U17" s="12"/>
      <c r="V17" s="12"/>
      <c r="W17" s="12"/>
      <c r="X17" s="12"/>
      <c r="Y17" s="12"/>
      <c r="Z17" s="12"/>
      <c r="AA17" s="12"/>
      <c r="AB17" s="12"/>
      <c r="AC17" s="43"/>
    </row>
    <row r="18" ht="19.5" customHeight="1">
      <c r="A18" s="257" t="s">
        <v>77</v>
      </c>
      <c r="B18" s="52"/>
      <c r="C18" s="52"/>
      <c r="D18" s="52"/>
      <c r="E18" s="52"/>
      <c r="F18" s="52"/>
      <c r="G18" s="52"/>
      <c r="H18" s="52"/>
      <c r="I18" s="52"/>
      <c r="J18" s="52"/>
      <c r="K18" s="53"/>
      <c r="L18" s="43"/>
      <c r="M18" s="43"/>
      <c r="N18" s="43"/>
      <c r="O18" s="43"/>
      <c r="P18" s="43"/>
      <c r="Q18" s="43"/>
      <c r="R18" s="43"/>
      <c r="S18" s="43"/>
      <c r="T18" s="43"/>
      <c r="U18" s="12"/>
      <c r="V18" s="12"/>
      <c r="W18" s="12"/>
      <c r="X18" s="12"/>
      <c r="Y18" s="12"/>
      <c r="Z18" s="12"/>
      <c r="AA18" s="12"/>
      <c r="AB18" s="12"/>
      <c r="AC18" s="43"/>
    </row>
    <row r="19" ht="19.5" customHeight="1">
      <c r="A19" s="258"/>
      <c r="B19" s="259" t="s">
        <v>135</v>
      </c>
      <c r="C19" s="52"/>
      <c r="D19" s="52"/>
      <c r="E19" s="52"/>
      <c r="F19" s="52"/>
      <c r="G19" s="52"/>
      <c r="H19" s="52"/>
      <c r="I19" s="52"/>
      <c r="J19" s="53"/>
      <c r="K19" s="260"/>
      <c r="L19" s="43"/>
      <c r="M19" s="43"/>
      <c r="N19" s="43"/>
      <c r="O19" s="43"/>
      <c r="P19" s="43"/>
      <c r="Q19" s="43"/>
      <c r="R19" s="43"/>
      <c r="S19" s="43"/>
      <c r="T19" s="43"/>
      <c r="U19" s="12"/>
      <c r="V19" s="12"/>
      <c r="W19" s="12"/>
      <c r="X19" s="12"/>
      <c r="Y19" s="12"/>
      <c r="Z19" s="12"/>
      <c r="AA19" s="12"/>
      <c r="AB19" s="12"/>
      <c r="AC19" s="43"/>
    </row>
    <row r="20" ht="19.5" customHeight="1">
      <c r="A20" s="258" t="s">
        <v>93</v>
      </c>
      <c r="B20" s="258"/>
      <c r="C20" s="261">
        <v>28.0</v>
      </c>
      <c r="D20" s="261">
        <v>30.0</v>
      </c>
      <c r="E20" s="261">
        <v>32.0</v>
      </c>
      <c r="F20" s="261">
        <v>34.0</v>
      </c>
      <c r="G20" s="261">
        <v>36.0</v>
      </c>
      <c r="H20" s="261">
        <v>38.0</v>
      </c>
      <c r="I20" s="261">
        <v>40.0</v>
      </c>
      <c r="J20" s="261"/>
      <c r="K20" s="262"/>
      <c r="L20" s="260"/>
      <c r="M20" s="43"/>
      <c r="N20" s="43"/>
      <c r="O20" s="43"/>
      <c r="P20" s="43"/>
      <c r="Q20" s="43"/>
      <c r="R20" s="43"/>
      <c r="S20" s="43"/>
      <c r="T20" s="43"/>
      <c r="U20" s="12"/>
      <c r="V20" s="12"/>
      <c r="W20" s="12"/>
      <c r="X20" s="12"/>
      <c r="Y20" s="12"/>
      <c r="Z20" s="12"/>
      <c r="AA20" s="12"/>
      <c r="AB20" s="12"/>
      <c r="AC20" s="43"/>
    </row>
    <row r="21" ht="19.5" customHeight="1">
      <c r="A21" s="258"/>
      <c r="B21" s="263" t="s">
        <v>136</v>
      </c>
      <c r="C21" s="263" t="s">
        <v>4</v>
      </c>
      <c r="D21" s="263" t="s">
        <v>49</v>
      </c>
      <c r="E21" s="263" t="s">
        <v>50</v>
      </c>
      <c r="F21" s="263" t="s">
        <v>51</v>
      </c>
      <c r="G21" s="263" t="s">
        <v>52</v>
      </c>
      <c r="H21" s="263" t="s">
        <v>9</v>
      </c>
      <c r="I21" s="263" t="s">
        <v>10</v>
      </c>
      <c r="J21" s="263" t="s">
        <v>11</v>
      </c>
      <c r="K21" s="264" t="s">
        <v>12</v>
      </c>
      <c r="L21" s="265" t="s">
        <v>53</v>
      </c>
      <c r="M21" s="43"/>
      <c r="N21" s="43"/>
      <c r="O21" s="43"/>
      <c r="P21" s="43"/>
      <c r="Q21" s="43"/>
      <c r="R21" s="43"/>
      <c r="S21" s="43"/>
      <c r="T21" s="43"/>
      <c r="U21" s="12"/>
      <c r="V21" s="12"/>
      <c r="W21" s="12"/>
      <c r="X21" s="12"/>
      <c r="Y21" s="12"/>
      <c r="Z21" s="12"/>
      <c r="AA21" s="12"/>
      <c r="AB21" s="12"/>
      <c r="AC21" s="43"/>
    </row>
    <row r="22" ht="19.5" customHeight="1">
      <c r="A22" s="148" t="s">
        <v>133</v>
      </c>
      <c r="B22" s="270">
        <f t="shared" ref="B22:B23" si="6">0+3</f>
        <v>3</v>
      </c>
      <c r="C22" s="270">
        <f>0+2+3</f>
        <v>5</v>
      </c>
      <c r="D22" s="270">
        <f>0+2+3-2+2-5+5+1</f>
        <v>6</v>
      </c>
      <c r="E22" s="270">
        <f>0+3-1-2+2+1-3+3+1+2+1-1</f>
        <v>6</v>
      </c>
      <c r="F22" s="270">
        <f>0+1-1+3+1-4+4+1-4+4+1-1-5+5-1+1-1+1+1</f>
        <v>6</v>
      </c>
      <c r="G22" s="270">
        <f>0+1+3-1-3+3+1-1</f>
        <v>3</v>
      </c>
      <c r="H22" s="270">
        <f>0+1</f>
        <v>1</v>
      </c>
      <c r="I22" s="261">
        <f>0</f>
        <v>0</v>
      </c>
      <c r="J22" s="261">
        <f>0+1</f>
        <v>1</v>
      </c>
      <c r="K22" s="261">
        <f t="shared" ref="K22:K23" si="7">0</f>
        <v>0</v>
      </c>
      <c r="L22" s="266">
        <f t="shared" ref="L22:L23" si="8">SUM(C22:K22)</f>
        <v>28</v>
      </c>
      <c r="M22" s="43"/>
      <c r="N22" s="43"/>
      <c r="O22" s="43"/>
      <c r="P22" s="43"/>
      <c r="Q22" s="43"/>
      <c r="R22" s="43"/>
      <c r="S22" s="43"/>
      <c r="T22" s="43"/>
      <c r="U22" s="12"/>
      <c r="V22" s="12"/>
      <c r="W22" s="12"/>
      <c r="X22" s="12"/>
      <c r="Y22" s="12"/>
      <c r="Z22" s="12"/>
      <c r="AA22" s="12"/>
      <c r="AB22" s="12"/>
      <c r="AC22" s="43"/>
    </row>
    <row r="23" ht="19.5" customHeight="1">
      <c r="A23" s="71" t="s">
        <v>134</v>
      </c>
      <c r="B23" s="270">
        <f t="shared" si="6"/>
        <v>3</v>
      </c>
      <c r="C23" s="270">
        <f>0+3</f>
        <v>3</v>
      </c>
      <c r="D23" s="270">
        <f>0+1+3-1</f>
        <v>3</v>
      </c>
      <c r="E23" s="270">
        <f>0+1+3-1+1+1-1-1+1+1-3-1</f>
        <v>1</v>
      </c>
      <c r="F23" s="270">
        <f>0+3+2-1+1+1-1+1-3-2+2</f>
        <v>3</v>
      </c>
      <c r="G23" s="271">
        <f>0+1+3-1+1-2</f>
        <v>2</v>
      </c>
      <c r="H23" s="270">
        <f>0+1+1-2</f>
        <v>0</v>
      </c>
      <c r="I23" s="261">
        <f>0+1-1+1+1</f>
        <v>2</v>
      </c>
      <c r="J23" s="261">
        <f>0+1-1+1</f>
        <v>1</v>
      </c>
      <c r="K23" s="261">
        <f t="shared" si="7"/>
        <v>0</v>
      </c>
      <c r="L23" s="266">
        <f t="shared" si="8"/>
        <v>15</v>
      </c>
      <c r="M23" s="43"/>
      <c r="N23" s="43"/>
      <c r="O23" s="43"/>
      <c r="P23" s="43"/>
      <c r="Q23" s="43"/>
      <c r="R23" s="43"/>
      <c r="S23" s="43"/>
      <c r="T23" s="43"/>
      <c r="U23" s="12"/>
      <c r="V23" s="12"/>
      <c r="W23" s="12"/>
      <c r="X23" s="12"/>
      <c r="Y23" s="12"/>
      <c r="Z23" s="12"/>
      <c r="AA23" s="12"/>
      <c r="AB23" s="12"/>
      <c r="AC23" s="43"/>
    </row>
    <row r="24" ht="19.5" customHeight="1">
      <c r="A24" s="7"/>
      <c r="B24" s="267"/>
      <c r="C24" s="267"/>
      <c r="D24" s="267"/>
      <c r="E24" s="267"/>
      <c r="F24" s="272"/>
      <c r="G24" s="267"/>
      <c r="H24" s="267"/>
      <c r="I24" s="267"/>
      <c r="J24" s="267"/>
      <c r="L24" s="268">
        <f>SUM(L22:L23)</f>
        <v>43</v>
      </c>
      <c r="M24" s="43"/>
      <c r="N24" s="43"/>
      <c r="O24" s="43"/>
      <c r="P24" s="43"/>
      <c r="Q24" s="43"/>
      <c r="R24" s="43"/>
      <c r="S24" s="43"/>
      <c r="T24" s="43"/>
      <c r="U24" s="12"/>
      <c r="V24" s="12"/>
      <c r="W24" s="12"/>
      <c r="X24" s="12"/>
      <c r="Y24" s="12"/>
      <c r="Z24" s="12"/>
      <c r="AA24" s="12"/>
      <c r="AB24" s="12"/>
      <c r="AC24" s="43"/>
    </row>
    <row r="25" ht="19.5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255"/>
      <c r="L25" s="43"/>
      <c r="M25" s="43"/>
      <c r="N25" s="43"/>
      <c r="O25" s="43"/>
      <c r="P25" s="43"/>
      <c r="Q25" s="43"/>
      <c r="R25" s="43"/>
      <c r="S25" s="43"/>
      <c r="T25" s="43"/>
      <c r="U25" s="12"/>
      <c r="V25" s="12"/>
      <c r="W25" s="12"/>
      <c r="X25" s="12"/>
      <c r="Y25" s="12"/>
      <c r="Z25" s="12"/>
      <c r="AA25" s="12"/>
      <c r="AB25" s="12"/>
      <c r="AC25" s="43"/>
    </row>
    <row r="26" ht="19.5" customHeight="1">
      <c r="A26" s="257" t="s">
        <v>77</v>
      </c>
      <c r="B26" s="52"/>
      <c r="C26" s="52"/>
      <c r="D26" s="52"/>
      <c r="E26" s="52"/>
      <c r="F26" s="52"/>
      <c r="G26" s="52"/>
      <c r="H26" s="52"/>
      <c r="I26" s="52"/>
      <c r="J26" s="52"/>
      <c r="K26" s="53"/>
      <c r="L26" s="43"/>
      <c r="M26" s="43"/>
      <c r="N26" s="43"/>
      <c r="O26" s="43"/>
      <c r="P26" s="43"/>
      <c r="Q26" s="43"/>
      <c r="R26" s="43"/>
      <c r="S26" s="43"/>
      <c r="T26" s="43"/>
      <c r="U26" s="12"/>
      <c r="V26" s="12"/>
      <c r="W26" s="12"/>
      <c r="X26" s="12"/>
      <c r="Y26" s="12"/>
      <c r="Z26" s="12"/>
      <c r="AA26" s="12"/>
      <c r="AB26" s="12"/>
      <c r="AC26" s="43"/>
    </row>
    <row r="27" ht="19.5" customHeight="1">
      <c r="A27" s="258"/>
      <c r="B27" s="259" t="s">
        <v>137</v>
      </c>
      <c r="C27" s="52"/>
      <c r="D27" s="52"/>
      <c r="E27" s="52"/>
      <c r="F27" s="52"/>
      <c r="G27" s="52"/>
      <c r="H27" s="52"/>
      <c r="I27" s="52"/>
      <c r="J27" s="53"/>
      <c r="K27" s="260"/>
      <c r="L27" s="43"/>
      <c r="M27" s="43"/>
      <c r="N27" s="43"/>
      <c r="O27" s="43"/>
      <c r="P27" s="43"/>
      <c r="Q27" s="43"/>
      <c r="R27" s="43"/>
      <c r="S27" s="43"/>
      <c r="T27" s="43"/>
      <c r="U27" s="12"/>
      <c r="V27" s="12"/>
      <c r="W27" s="12"/>
      <c r="X27" s="12"/>
      <c r="Y27" s="12"/>
      <c r="Z27" s="12"/>
      <c r="AA27" s="12"/>
      <c r="AB27" s="12"/>
      <c r="AC27" s="43"/>
    </row>
    <row r="28" ht="19.5" customHeight="1">
      <c r="A28" s="258" t="s">
        <v>93</v>
      </c>
      <c r="B28" s="258"/>
      <c r="C28" s="261">
        <v>28.0</v>
      </c>
      <c r="D28" s="261">
        <v>30.0</v>
      </c>
      <c r="E28" s="261">
        <v>32.0</v>
      </c>
      <c r="F28" s="261">
        <v>34.0</v>
      </c>
      <c r="G28" s="261">
        <v>36.0</v>
      </c>
      <c r="H28" s="261">
        <v>38.0</v>
      </c>
      <c r="I28" s="261">
        <v>40.0</v>
      </c>
      <c r="J28" s="261"/>
      <c r="K28" s="262"/>
      <c r="L28" s="260"/>
      <c r="M28" s="43"/>
      <c r="N28" s="43"/>
      <c r="O28" s="43"/>
      <c r="P28" s="43"/>
      <c r="Q28" s="43"/>
      <c r="R28" s="43"/>
      <c r="S28" s="43"/>
      <c r="T28" s="43"/>
      <c r="U28" s="12"/>
      <c r="V28" s="12"/>
      <c r="W28" s="12"/>
      <c r="X28" s="12"/>
      <c r="Y28" s="12"/>
      <c r="Z28" s="12"/>
      <c r="AA28" s="12"/>
      <c r="AB28" s="12"/>
      <c r="AC28" s="43"/>
    </row>
    <row r="29" ht="19.5" customHeight="1">
      <c r="A29" s="258"/>
      <c r="B29" s="263" t="s">
        <v>136</v>
      </c>
      <c r="C29" s="263" t="s">
        <v>4</v>
      </c>
      <c r="D29" s="263" t="s">
        <v>49</v>
      </c>
      <c r="E29" s="263" t="s">
        <v>50</v>
      </c>
      <c r="F29" s="263" t="s">
        <v>51</v>
      </c>
      <c r="G29" s="263" t="s">
        <v>52</v>
      </c>
      <c r="H29" s="263" t="s">
        <v>9</v>
      </c>
      <c r="I29" s="263" t="s">
        <v>10</v>
      </c>
      <c r="J29" s="263" t="s">
        <v>11</v>
      </c>
      <c r="K29" s="264" t="s">
        <v>12</v>
      </c>
      <c r="L29" s="265" t="s">
        <v>53</v>
      </c>
      <c r="M29" s="43"/>
      <c r="N29" s="43"/>
      <c r="O29" s="43"/>
      <c r="P29" s="43"/>
      <c r="Q29" s="43"/>
      <c r="R29" s="43"/>
      <c r="S29" s="43"/>
      <c r="T29" s="43"/>
      <c r="U29" s="12"/>
      <c r="V29" s="12"/>
      <c r="W29" s="12"/>
      <c r="X29" s="12"/>
      <c r="Y29" s="12"/>
      <c r="Z29" s="12"/>
      <c r="AA29" s="12"/>
      <c r="AB29" s="12"/>
      <c r="AC29" s="43"/>
    </row>
    <row r="30" ht="19.5" customHeight="1">
      <c r="A30" s="148" t="s">
        <v>23</v>
      </c>
      <c r="B30" s="273">
        <f t="shared" ref="B30:B31" si="10">3</f>
        <v>3</v>
      </c>
      <c r="C30" s="270">
        <f>0+1+3-1</f>
        <v>3</v>
      </c>
      <c r="D30" s="270">
        <f>0+1+3-1-1</f>
        <v>2</v>
      </c>
      <c r="E30" s="270">
        <f>0+1+3-1-1+1-1+1+1</f>
        <v>4</v>
      </c>
      <c r="F30" s="261">
        <f>0+3-1-1</f>
        <v>1</v>
      </c>
      <c r="G30" s="270">
        <f>0+1+3</f>
        <v>4</v>
      </c>
      <c r="H30" s="261">
        <f t="shared" ref="H30:J30" si="9">0+1</f>
        <v>1</v>
      </c>
      <c r="I30" s="261">
        <f t="shared" si="9"/>
        <v>1</v>
      </c>
      <c r="J30" s="261">
        <f t="shared" si="9"/>
        <v>1</v>
      </c>
      <c r="K30" s="261">
        <f t="shared" ref="K30:K31" si="11">0</f>
        <v>0</v>
      </c>
      <c r="L30" s="266">
        <f t="shared" ref="L30:L31" si="12">SUM(C30:K30)</f>
        <v>17</v>
      </c>
      <c r="M30" s="43"/>
      <c r="N30" s="43"/>
      <c r="O30" s="43"/>
      <c r="P30" s="43"/>
      <c r="Q30" s="43"/>
      <c r="R30" s="43"/>
      <c r="S30" s="43"/>
      <c r="T30" s="43"/>
      <c r="U30" s="12"/>
      <c r="V30" s="12"/>
      <c r="W30" s="12"/>
      <c r="X30" s="12"/>
      <c r="Y30" s="12"/>
      <c r="Z30" s="12"/>
      <c r="AA30" s="12"/>
      <c r="AB30" s="12"/>
      <c r="AC30" s="43"/>
    </row>
    <row r="31" ht="19.5" customHeight="1">
      <c r="A31" s="71" t="s">
        <v>28</v>
      </c>
      <c r="B31" s="270">
        <f t="shared" si="10"/>
        <v>3</v>
      </c>
      <c r="C31" s="261">
        <f>0+3-1</f>
        <v>2</v>
      </c>
      <c r="D31" s="270">
        <f>0+2+3-1+1</f>
        <v>5</v>
      </c>
      <c r="E31" s="261">
        <f>0+3-1-1</f>
        <v>1</v>
      </c>
      <c r="F31" s="261">
        <f>0+3-1</f>
        <v>2</v>
      </c>
      <c r="G31" s="270">
        <f>0+1+3-1+1+1-1</f>
        <v>4</v>
      </c>
      <c r="H31" s="261">
        <f>0+1</f>
        <v>1</v>
      </c>
      <c r="I31" s="261">
        <f>0+1+1</f>
        <v>2</v>
      </c>
      <c r="J31" s="261">
        <f>0+1</f>
        <v>1</v>
      </c>
      <c r="K31" s="261">
        <f t="shared" si="11"/>
        <v>0</v>
      </c>
      <c r="L31" s="266">
        <f t="shared" si="12"/>
        <v>18</v>
      </c>
      <c r="M31" s="43"/>
      <c r="N31" s="43"/>
      <c r="O31" s="43"/>
      <c r="P31" s="43"/>
      <c r="Q31" s="43"/>
      <c r="R31" s="43"/>
      <c r="S31" s="43"/>
      <c r="T31" s="43"/>
      <c r="U31" s="12"/>
      <c r="V31" s="12"/>
      <c r="W31" s="12"/>
      <c r="X31" s="12"/>
      <c r="Y31" s="12"/>
      <c r="Z31" s="12"/>
      <c r="AA31" s="12"/>
      <c r="AB31" s="12"/>
      <c r="AC31" s="43"/>
    </row>
    <row r="32" ht="19.5" customHeight="1">
      <c r="A32" s="7"/>
      <c r="B32" s="267"/>
      <c r="C32" s="267"/>
      <c r="D32" s="267"/>
      <c r="E32" s="267"/>
      <c r="F32" s="267"/>
      <c r="G32" s="267"/>
      <c r="H32" s="267"/>
      <c r="I32" s="267"/>
      <c r="J32" s="267"/>
      <c r="L32" s="268">
        <f>SUM(L30:L31)</f>
        <v>35</v>
      </c>
      <c r="M32" s="43"/>
      <c r="N32" s="43"/>
      <c r="O32" s="43"/>
      <c r="P32" s="43"/>
      <c r="Q32" s="43"/>
      <c r="R32" s="43"/>
      <c r="S32" s="43"/>
      <c r="T32" s="43"/>
      <c r="U32" s="12"/>
      <c r="V32" s="12"/>
      <c r="W32" s="12"/>
      <c r="X32" s="12"/>
      <c r="Y32" s="12"/>
      <c r="Z32" s="12"/>
      <c r="AA32" s="12"/>
      <c r="AB32" s="12"/>
      <c r="AC32" s="43"/>
    </row>
    <row r="33" ht="19.5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274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</row>
    <row r="34" ht="19.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255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</row>
    <row r="35" ht="19.5" customHeight="1">
      <c r="A35" s="257" t="s">
        <v>77</v>
      </c>
      <c r="B35" s="52"/>
      <c r="C35" s="52"/>
      <c r="D35" s="52"/>
      <c r="E35" s="52"/>
      <c r="F35" s="52"/>
      <c r="G35" s="52"/>
      <c r="H35" s="52"/>
      <c r="I35" s="52"/>
      <c r="J35" s="52"/>
      <c r="K35" s="5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36" ht="19.5" customHeight="1">
      <c r="A36" s="258"/>
      <c r="B36" s="259" t="s">
        <v>138</v>
      </c>
      <c r="C36" s="52"/>
      <c r="D36" s="52"/>
      <c r="E36" s="52"/>
      <c r="F36" s="52"/>
      <c r="G36" s="52"/>
      <c r="H36" s="52"/>
      <c r="I36" s="52"/>
      <c r="J36" s="53"/>
      <c r="K36" s="260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</row>
    <row r="37" ht="19.5" customHeight="1">
      <c r="A37" s="258" t="s">
        <v>93</v>
      </c>
      <c r="B37" s="261">
        <v>28.0</v>
      </c>
      <c r="C37" s="261">
        <v>30.0</v>
      </c>
      <c r="D37" s="261">
        <v>32.0</v>
      </c>
      <c r="E37" s="261">
        <v>34.0</v>
      </c>
      <c r="F37" s="261">
        <v>36.0</v>
      </c>
      <c r="G37" s="261">
        <v>38.0</v>
      </c>
      <c r="H37" s="261">
        <v>40.0</v>
      </c>
      <c r="I37" s="261"/>
      <c r="J37" s="262"/>
      <c r="K37" s="260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</row>
    <row r="38" ht="19.5" customHeight="1">
      <c r="A38" s="258"/>
      <c r="B38" s="263" t="s">
        <v>4</v>
      </c>
      <c r="C38" s="263" t="s">
        <v>49</v>
      </c>
      <c r="D38" s="263" t="s">
        <v>50</v>
      </c>
      <c r="E38" s="263" t="s">
        <v>51</v>
      </c>
      <c r="F38" s="263" t="s">
        <v>52</v>
      </c>
      <c r="G38" s="263" t="s">
        <v>9</v>
      </c>
      <c r="H38" s="263" t="s">
        <v>10</v>
      </c>
      <c r="I38" s="263" t="s">
        <v>11</v>
      </c>
      <c r="J38" s="264" t="s">
        <v>12</v>
      </c>
      <c r="K38" s="265" t="s">
        <v>53</v>
      </c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</row>
    <row r="39" ht="19.5" customHeight="1">
      <c r="A39" s="148" t="s">
        <v>23</v>
      </c>
      <c r="B39" s="270">
        <f>0+1+3+1</f>
        <v>5</v>
      </c>
      <c r="C39" s="270">
        <f>0+3-3+3</f>
        <v>3</v>
      </c>
      <c r="D39" s="270">
        <f>0+2-2+2</f>
        <v>2</v>
      </c>
      <c r="E39" s="261">
        <f>0+4-2-2+2+1-1+1+1+1</f>
        <v>5</v>
      </c>
      <c r="F39" s="261">
        <f>0+1+3-2-1-1+1</f>
        <v>1</v>
      </c>
      <c r="G39" s="261">
        <f>0+1+1-1+1</f>
        <v>2</v>
      </c>
      <c r="H39" s="261">
        <f>0+1-1+1</f>
        <v>1</v>
      </c>
      <c r="I39" s="261">
        <f>0+1</f>
        <v>1</v>
      </c>
      <c r="J39" s="261">
        <f t="shared" ref="J39:J41" si="13">0</f>
        <v>0</v>
      </c>
      <c r="K39" s="266">
        <f t="shared" ref="K39:K41" si="14">SUM(B39:J39)</f>
        <v>20</v>
      </c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</row>
    <row r="40" ht="19.5" customHeight="1">
      <c r="A40" s="148" t="s">
        <v>14</v>
      </c>
      <c r="B40" s="261">
        <f>0</f>
        <v>0</v>
      </c>
      <c r="C40" s="270">
        <f>0+3-1+1</f>
        <v>3</v>
      </c>
      <c r="D40" s="270">
        <f>0+3-1+3+1-4+2+1-1+1-1+1</f>
        <v>5</v>
      </c>
      <c r="E40" s="270">
        <f>0+2+3+6-1-4-1+1-1+1+1-1-1+1+1+1</f>
        <v>8</v>
      </c>
      <c r="F40" s="270">
        <f>0+1+3-1-1+1</f>
        <v>3</v>
      </c>
      <c r="G40" s="261">
        <f>0+1-1+1</f>
        <v>1</v>
      </c>
      <c r="H40" s="261">
        <f>0+1</f>
        <v>1</v>
      </c>
      <c r="I40" s="261">
        <f>0+1-1+1-1+1</f>
        <v>1</v>
      </c>
      <c r="J40" s="261">
        <f t="shared" si="13"/>
        <v>0</v>
      </c>
      <c r="K40" s="266">
        <f t="shared" si="14"/>
        <v>22</v>
      </c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</row>
    <row r="41" ht="19.5" customHeight="1">
      <c r="A41" s="71" t="s">
        <v>28</v>
      </c>
      <c r="B41" s="270">
        <f>0+3-1+1</f>
        <v>3</v>
      </c>
      <c r="C41" s="270">
        <f>0+1+3</f>
        <v>4</v>
      </c>
      <c r="D41" s="270">
        <f>0+3-1+1+1</f>
        <v>4</v>
      </c>
      <c r="E41" s="270">
        <f>0+1-1+1+3-1-1-1+1+1+1</f>
        <v>4</v>
      </c>
      <c r="F41" s="261">
        <f>0+3-1+1-1-1-1+1</f>
        <v>1</v>
      </c>
      <c r="G41" s="261">
        <f t="shared" ref="G41:I41" si="15">0+1</f>
        <v>1</v>
      </c>
      <c r="H41" s="261">
        <f t="shared" si="15"/>
        <v>1</v>
      </c>
      <c r="I41" s="261">
        <f t="shared" si="15"/>
        <v>1</v>
      </c>
      <c r="J41" s="261">
        <f t="shared" si="13"/>
        <v>0</v>
      </c>
      <c r="K41" s="266">
        <f t="shared" si="14"/>
        <v>19</v>
      </c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</row>
    <row r="42" ht="19.5" customHeight="1">
      <c r="A42" s="7"/>
      <c r="B42" s="267"/>
      <c r="C42" s="267"/>
      <c r="D42" s="267"/>
      <c r="E42" s="267"/>
      <c r="F42" s="267"/>
      <c r="G42" s="267"/>
      <c r="H42" s="267"/>
      <c r="I42" s="267"/>
      <c r="J42" s="267"/>
      <c r="K42" s="268">
        <f>SUM(K39:K41)</f>
        <v>61</v>
      </c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</row>
    <row r="43" ht="19.5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255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</row>
    <row r="44" ht="19.5" customHeight="1">
      <c r="A44" s="257" t="s">
        <v>139</v>
      </c>
      <c r="B44" s="52"/>
      <c r="C44" s="52"/>
      <c r="D44" s="52"/>
      <c r="E44" s="52"/>
      <c r="F44" s="52"/>
      <c r="G44" s="52"/>
      <c r="H44" s="52"/>
      <c r="I44" s="52"/>
      <c r="J44" s="52"/>
      <c r="K44" s="5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</row>
    <row r="45" ht="19.5" customHeight="1">
      <c r="A45" s="258" t="s">
        <v>140</v>
      </c>
      <c r="B45" s="263" t="s">
        <v>4</v>
      </c>
      <c r="C45" s="263" t="s">
        <v>49</v>
      </c>
      <c r="D45" s="263" t="s">
        <v>50</v>
      </c>
      <c r="E45" s="263" t="s">
        <v>51</v>
      </c>
      <c r="F45" s="263" t="s">
        <v>52</v>
      </c>
      <c r="G45" s="263" t="s">
        <v>9</v>
      </c>
      <c r="H45" s="263" t="s">
        <v>10</v>
      </c>
      <c r="I45" s="263" t="s">
        <v>11</v>
      </c>
      <c r="J45" s="264" t="s">
        <v>12</v>
      </c>
      <c r="K45" s="265" t="s">
        <v>53</v>
      </c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</row>
    <row r="46" ht="19.5" customHeight="1">
      <c r="A46" s="258" t="s">
        <v>18</v>
      </c>
      <c r="B46" s="261">
        <f t="shared" ref="B46:C46" si="16">0+1+1-1</f>
        <v>1</v>
      </c>
      <c r="C46" s="261">
        <f t="shared" si="16"/>
        <v>1</v>
      </c>
      <c r="D46" s="261">
        <f t="shared" ref="D46:E46" si="17">0+1</f>
        <v>1</v>
      </c>
      <c r="E46" s="261">
        <f t="shared" si="17"/>
        <v>1</v>
      </c>
      <c r="F46" s="261">
        <f>0+1-1</f>
        <v>0</v>
      </c>
      <c r="G46" s="261">
        <f>0+1-1+1</f>
        <v>1</v>
      </c>
      <c r="H46" s="261">
        <f t="shared" ref="H46:J46" si="18">0+1</f>
        <v>1</v>
      </c>
      <c r="I46" s="261">
        <f t="shared" si="18"/>
        <v>1</v>
      </c>
      <c r="J46" s="261">
        <f t="shared" si="18"/>
        <v>1</v>
      </c>
      <c r="K46" s="261">
        <f t="shared" ref="K46:K51" si="21">SUM(B46:J46)</f>
        <v>8</v>
      </c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</row>
    <row r="47" ht="19.5" customHeight="1">
      <c r="A47" s="258" t="s">
        <v>44</v>
      </c>
      <c r="B47" s="261">
        <f>0+2-1</f>
        <v>1</v>
      </c>
      <c r="C47" s="261">
        <f>0+1+2-1</f>
        <v>2</v>
      </c>
      <c r="D47" s="261">
        <f t="shared" ref="D47:F47" si="19">0+2</f>
        <v>2</v>
      </c>
      <c r="E47" s="261">
        <f t="shared" si="19"/>
        <v>2</v>
      </c>
      <c r="F47" s="261">
        <f t="shared" si="19"/>
        <v>2</v>
      </c>
      <c r="G47" s="261">
        <f>0+2-1+1-1+1</f>
        <v>2</v>
      </c>
      <c r="H47" s="261">
        <f t="shared" ref="H47:J47" si="20">0+2</f>
        <v>2</v>
      </c>
      <c r="I47" s="261">
        <f t="shared" si="20"/>
        <v>2</v>
      </c>
      <c r="J47" s="261">
        <f t="shared" si="20"/>
        <v>2</v>
      </c>
      <c r="K47" s="261">
        <f t="shared" si="21"/>
        <v>17</v>
      </c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</row>
    <row r="48" ht="19.5" customHeight="1">
      <c r="A48" s="148" t="s">
        <v>81</v>
      </c>
      <c r="B48" s="261">
        <f>0+1+1</f>
        <v>2</v>
      </c>
      <c r="C48" s="261">
        <f>0+2+1-1+1</f>
        <v>3</v>
      </c>
      <c r="D48" s="261">
        <f>0+3+1</f>
        <v>4</v>
      </c>
      <c r="E48" s="261">
        <f t="shared" ref="E48:J48" si="22">0+1</f>
        <v>1</v>
      </c>
      <c r="F48" s="261">
        <f t="shared" si="22"/>
        <v>1</v>
      </c>
      <c r="G48" s="261">
        <f t="shared" si="22"/>
        <v>1</v>
      </c>
      <c r="H48" s="261">
        <f t="shared" si="22"/>
        <v>1</v>
      </c>
      <c r="I48" s="261">
        <f t="shared" si="22"/>
        <v>1</v>
      </c>
      <c r="J48" s="261">
        <f t="shared" si="22"/>
        <v>1</v>
      </c>
      <c r="K48" s="261">
        <f t="shared" si="21"/>
        <v>15</v>
      </c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</row>
    <row r="49" ht="19.5" customHeight="1">
      <c r="A49" s="71" t="s">
        <v>14</v>
      </c>
      <c r="B49" s="261">
        <f>0+1+1+2-4+4-4</f>
        <v>0</v>
      </c>
      <c r="C49" s="261">
        <f>0+1+2-1+1-3+3-3</f>
        <v>0</v>
      </c>
      <c r="D49" s="261">
        <f>0+1-1+2+1-1+1-3+3-3</f>
        <v>0</v>
      </c>
      <c r="E49" s="261">
        <f>0+1+2-1+1-1+1-3</f>
        <v>0</v>
      </c>
      <c r="F49" s="261">
        <f>0+2-1+1-2+1-1</f>
        <v>0</v>
      </c>
      <c r="G49" s="261">
        <f t="shared" ref="G49:H49" si="23">0+2-1-1</f>
        <v>0</v>
      </c>
      <c r="H49" s="261">
        <f t="shared" si="23"/>
        <v>0</v>
      </c>
      <c r="I49" s="261">
        <f t="shared" ref="I49:J49" si="24">0+2-2</f>
        <v>0</v>
      </c>
      <c r="J49" s="261">
        <f t="shared" si="24"/>
        <v>0</v>
      </c>
      <c r="K49" s="261">
        <f t="shared" si="21"/>
        <v>0</v>
      </c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</row>
    <row r="50" ht="19.5" customHeight="1">
      <c r="A50" s="71" t="s">
        <v>15</v>
      </c>
      <c r="B50" s="261">
        <f>0+2-1+1+1-1</f>
        <v>2</v>
      </c>
      <c r="C50" s="261">
        <f>0+2-1+1-1+1+1</f>
        <v>3</v>
      </c>
      <c r="D50" s="261">
        <f>0+1+2-1+1-3+1</f>
        <v>1</v>
      </c>
      <c r="E50" s="261">
        <f>0+1+2-1+1-1-1-1+1-1+1+1+1-1+1+1</f>
        <v>4</v>
      </c>
      <c r="F50" s="261">
        <f>0+2-1+1-1+1-1-1+1+2</f>
        <v>3</v>
      </c>
      <c r="G50" s="261">
        <f>0+1-1+1-1+1-1+1-1+1</f>
        <v>1</v>
      </c>
      <c r="H50" s="261">
        <f>0+2-1+1+1</f>
        <v>3</v>
      </c>
      <c r="I50" s="261">
        <f>0+1-1+1+1</f>
        <v>2</v>
      </c>
      <c r="J50" s="261">
        <f>0+3-1+1+1</f>
        <v>4</v>
      </c>
      <c r="K50" s="261">
        <f t="shared" si="21"/>
        <v>23</v>
      </c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</row>
    <row r="51" ht="19.5" customHeight="1">
      <c r="A51" s="71" t="s">
        <v>17</v>
      </c>
      <c r="B51" s="261">
        <f>0+2</f>
        <v>2</v>
      </c>
      <c r="C51" s="261">
        <f>0+2-1+1</f>
        <v>2</v>
      </c>
      <c r="D51" s="261">
        <f>0+1+2-1+1</f>
        <v>3</v>
      </c>
      <c r="E51" s="261">
        <f>0+2+1+1-1-1+1</f>
        <v>3</v>
      </c>
      <c r="F51" s="261">
        <f>0+2-1</f>
        <v>1</v>
      </c>
      <c r="G51" s="261">
        <f>0+2</f>
        <v>2</v>
      </c>
      <c r="H51" s="261">
        <f>0+1</f>
        <v>1</v>
      </c>
      <c r="I51" s="261">
        <f t="shared" ref="I51:J51" si="25">0+2</f>
        <v>2</v>
      </c>
      <c r="J51" s="261">
        <f t="shared" si="25"/>
        <v>2</v>
      </c>
      <c r="K51" s="261">
        <f t="shared" si="21"/>
        <v>18</v>
      </c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</row>
    <row r="52" ht="19.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275">
        <f>SUM(K46:K51)</f>
        <v>81</v>
      </c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</row>
    <row r="53" ht="19.5" customHeight="1">
      <c r="A53" s="257" t="s">
        <v>141</v>
      </c>
      <c r="B53" s="52"/>
      <c r="C53" s="52"/>
      <c r="D53" s="52"/>
      <c r="E53" s="52"/>
      <c r="F53" s="52"/>
      <c r="G53" s="52"/>
      <c r="H53" s="52"/>
      <c r="I53" s="52"/>
      <c r="J53" s="52"/>
      <c r="K53" s="5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</row>
    <row r="54" ht="19.5" customHeight="1">
      <c r="A54" s="258" t="s">
        <v>140</v>
      </c>
      <c r="B54" s="263" t="s">
        <v>4</v>
      </c>
      <c r="C54" s="263" t="s">
        <v>49</v>
      </c>
      <c r="D54" s="263" t="s">
        <v>50</v>
      </c>
      <c r="E54" s="263" t="s">
        <v>51</v>
      </c>
      <c r="F54" s="263" t="s">
        <v>52</v>
      </c>
      <c r="G54" s="263" t="s">
        <v>9</v>
      </c>
      <c r="H54" s="263" t="s">
        <v>10</v>
      </c>
      <c r="I54" s="263" t="s">
        <v>11</v>
      </c>
      <c r="J54" s="264" t="s">
        <v>12</v>
      </c>
      <c r="K54" s="265" t="s">
        <v>53</v>
      </c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</row>
    <row r="55" ht="19.5" customHeight="1">
      <c r="A55" s="258" t="s">
        <v>44</v>
      </c>
      <c r="B55" s="261">
        <f>0+1+2</f>
        <v>3</v>
      </c>
      <c r="C55" s="261">
        <f>0+2-1+1-1+1</f>
        <v>2</v>
      </c>
      <c r="D55" s="261">
        <f>0+1+2</f>
        <v>3</v>
      </c>
      <c r="E55" s="261">
        <f t="shared" ref="E55:F55" si="26">0+2+1-1+1</f>
        <v>3</v>
      </c>
      <c r="F55" s="261">
        <f t="shared" si="26"/>
        <v>3</v>
      </c>
      <c r="G55" s="261">
        <f>0+2-1-1</f>
        <v>0</v>
      </c>
      <c r="H55" s="261">
        <f t="shared" ref="H55:J55" si="27">0+2</f>
        <v>2</v>
      </c>
      <c r="I55" s="261">
        <f t="shared" si="27"/>
        <v>2</v>
      </c>
      <c r="J55" s="261">
        <f t="shared" si="27"/>
        <v>2</v>
      </c>
      <c r="K55" s="261">
        <f t="shared" ref="K55:K57" si="29">SUM(B55:J55)</f>
        <v>20</v>
      </c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</row>
    <row r="56" ht="19.5" customHeight="1">
      <c r="A56" s="71" t="s">
        <v>14</v>
      </c>
      <c r="B56" s="261">
        <f>0+2+2-1-1-2+3+1-1+1-1-1</f>
        <v>2</v>
      </c>
      <c r="C56" s="261">
        <f>0+3+2-1-1+1-1+1-2+1-1+1+2</f>
        <v>5</v>
      </c>
      <c r="D56" s="261">
        <f>0+2+2-1-1+1-1+1-3+1+1-1-1+1+1+6</f>
        <v>8</v>
      </c>
      <c r="E56" s="261">
        <f>0+2-1-1+1+1-1-1+2+1+1</f>
        <v>4</v>
      </c>
      <c r="F56" s="261">
        <f>0+1+2-1+1-2+1+1-1+3</f>
        <v>5</v>
      </c>
      <c r="G56" s="261">
        <f>0+2+2-2-1+2-1+1</f>
        <v>3</v>
      </c>
      <c r="H56" s="261">
        <f t="shared" ref="H56:J56" si="28">0+2</f>
        <v>2</v>
      </c>
      <c r="I56" s="261">
        <f t="shared" si="28"/>
        <v>2</v>
      </c>
      <c r="J56" s="261">
        <f t="shared" si="28"/>
        <v>2</v>
      </c>
      <c r="K56" s="261">
        <f t="shared" si="29"/>
        <v>33</v>
      </c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</row>
    <row r="57" ht="19.5" customHeight="1">
      <c r="A57" s="71" t="s">
        <v>15</v>
      </c>
      <c r="B57" s="261">
        <f>0+1+2-1-1</f>
        <v>1</v>
      </c>
      <c r="C57" s="261">
        <f>0+1+2+1+1-1-1</f>
        <v>3</v>
      </c>
      <c r="D57" s="261">
        <f>0+1+2-1+3+1+1-6+1-1</f>
        <v>1</v>
      </c>
      <c r="E57" s="261">
        <f>0+2+1-1-1</f>
        <v>1</v>
      </c>
      <c r="F57" s="261">
        <f>0+1+2-2+1-1</f>
        <v>1</v>
      </c>
      <c r="G57" s="261">
        <f>0+2-1</f>
        <v>1</v>
      </c>
      <c r="H57" s="261">
        <f>0+2-2+2-1</f>
        <v>1</v>
      </c>
      <c r="I57" s="261">
        <f>0</f>
        <v>0</v>
      </c>
      <c r="J57" s="261">
        <f>0+2-2+2</f>
        <v>2</v>
      </c>
      <c r="K57" s="261">
        <f t="shared" si="29"/>
        <v>11</v>
      </c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</row>
    <row r="58" ht="19.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276">
        <f>SUM(K55:K57)</f>
        <v>64</v>
      </c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</row>
    <row r="59" ht="19.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</row>
    <row r="60" ht="19.5" customHeight="1">
      <c r="A60" s="257" t="s">
        <v>142</v>
      </c>
      <c r="B60" s="52"/>
      <c r="C60" s="52"/>
      <c r="D60" s="52"/>
      <c r="E60" s="52"/>
      <c r="F60" s="52"/>
      <c r="G60" s="52"/>
      <c r="H60" s="52"/>
      <c r="I60" s="52"/>
      <c r="J60" s="52"/>
      <c r="K60" s="5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</row>
    <row r="61" ht="19.5" customHeight="1">
      <c r="A61" s="258" t="s">
        <v>140</v>
      </c>
      <c r="B61" s="263" t="s">
        <v>4</v>
      </c>
      <c r="C61" s="263" t="s">
        <v>49</v>
      </c>
      <c r="D61" s="263" t="s">
        <v>50</v>
      </c>
      <c r="E61" s="263" t="s">
        <v>51</v>
      </c>
      <c r="F61" s="263" t="s">
        <v>52</v>
      </c>
      <c r="G61" s="263" t="s">
        <v>9</v>
      </c>
      <c r="H61" s="263" t="s">
        <v>10</v>
      </c>
      <c r="I61" s="263" t="s">
        <v>11</v>
      </c>
      <c r="J61" s="264" t="s">
        <v>12</v>
      </c>
      <c r="K61" s="265" t="s">
        <v>53</v>
      </c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</row>
    <row r="62" ht="19.5" customHeight="1">
      <c r="A62" s="277" t="s">
        <v>14</v>
      </c>
      <c r="B62" s="261">
        <f>0+2-1+1</f>
        <v>2</v>
      </c>
      <c r="C62" s="261">
        <f>0+1-1+1+2-1+1-2+2-2+2-3+1+1-2+1-1+1-1+1+1-1-1+1+1</f>
        <v>2</v>
      </c>
      <c r="D62" s="261">
        <f>0+2-1+1-2+2-1-1+1-1+1-1+1-1+1-1+1-1+1-1</f>
        <v>0</v>
      </c>
      <c r="E62" s="261">
        <f>0+2-1+1+1-1-1+1-2+2-1-1+1-1+1-1+1-1+1-1+1-1+1-1+1-1+1</f>
        <v>1</v>
      </c>
      <c r="F62" s="261">
        <f>0+2-1-1</f>
        <v>0</v>
      </c>
      <c r="G62" s="261">
        <f>0+2-1-1+1-1+1+1-1-1+1-1+1</f>
        <v>1</v>
      </c>
      <c r="H62" s="261">
        <f>0+2-1+1+1-1</f>
        <v>2</v>
      </c>
      <c r="I62" s="261">
        <f t="shared" ref="I62:J62" si="30">0+2</f>
        <v>2</v>
      </c>
      <c r="J62" s="261">
        <f t="shared" si="30"/>
        <v>2</v>
      </c>
      <c r="K62" s="270">
        <f t="shared" ref="K62:K67" si="33">SUM(B62:J62)</f>
        <v>12</v>
      </c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</row>
    <row r="63" ht="19.5" customHeight="1">
      <c r="A63" s="71" t="s">
        <v>143</v>
      </c>
      <c r="B63" s="261">
        <f>0+1</f>
        <v>1</v>
      </c>
      <c r="C63" s="261">
        <f t="shared" ref="C63:D63" si="31">0+1-1+1</f>
        <v>1</v>
      </c>
      <c r="D63" s="261">
        <f t="shared" si="31"/>
        <v>1</v>
      </c>
      <c r="E63" s="261">
        <f>0+1-1+1-1+1</f>
        <v>1</v>
      </c>
      <c r="F63" s="261">
        <f>0+1-1+1-1+1-1+1</f>
        <v>1</v>
      </c>
      <c r="G63" s="261">
        <f>0+1-1+1</f>
        <v>1</v>
      </c>
      <c r="H63" s="261">
        <f t="shared" ref="H63:J63" si="32">0+1</f>
        <v>1</v>
      </c>
      <c r="I63" s="261">
        <f t="shared" si="32"/>
        <v>1</v>
      </c>
      <c r="J63" s="261">
        <f t="shared" si="32"/>
        <v>1</v>
      </c>
      <c r="K63" s="270">
        <f t="shared" si="33"/>
        <v>9</v>
      </c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</row>
    <row r="64" ht="19.5" customHeight="1">
      <c r="A64" s="71" t="s">
        <v>144</v>
      </c>
      <c r="B64" s="261">
        <f t="shared" ref="B64:B65" si="35">0+2</f>
        <v>2</v>
      </c>
      <c r="C64" s="261">
        <f>0+2+1-1+1</f>
        <v>3</v>
      </c>
      <c r="D64" s="261">
        <f>0+1-1+2+1-1</f>
        <v>2</v>
      </c>
      <c r="E64" s="261">
        <f>0+2-1+1-1+1-1+1</f>
        <v>2</v>
      </c>
      <c r="F64" s="261">
        <f t="shared" ref="F64:G64" si="34">0+2</f>
        <v>2</v>
      </c>
      <c r="G64" s="261">
        <f t="shared" si="34"/>
        <v>2</v>
      </c>
      <c r="H64" s="261">
        <f>0+2-1+1</f>
        <v>2</v>
      </c>
      <c r="I64" s="261">
        <f>0+2-1</f>
        <v>1</v>
      </c>
      <c r="J64" s="261">
        <f t="shared" ref="J64:J65" si="37">0+2</f>
        <v>2</v>
      </c>
      <c r="K64" s="270">
        <f t="shared" si="33"/>
        <v>18</v>
      </c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</row>
    <row r="65" ht="19.5" customHeight="1">
      <c r="A65" s="71" t="s">
        <v>15</v>
      </c>
      <c r="B65" s="261">
        <f t="shared" si="35"/>
        <v>2</v>
      </c>
      <c r="C65" s="270">
        <f>0+2-2+1+2+1</f>
        <v>4</v>
      </c>
      <c r="D65" s="261">
        <f>0+2-1+1-1+1-1+1-2+2-1</f>
        <v>1</v>
      </c>
      <c r="E65" s="261">
        <f t="shared" ref="E65:F65" si="36">0+2-1+1-1+1</f>
        <v>2</v>
      </c>
      <c r="F65" s="261">
        <f t="shared" si="36"/>
        <v>2</v>
      </c>
      <c r="G65" s="261">
        <f>0+2-2+2-1+1</f>
        <v>2</v>
      </c>
      <c r="H65" s="261">
        <f>0+2</f>
        <v>2</v>
      </c>
      <c r="I65" s="261">
        <f>0+2-1+1</f>
        <v>2</v>
      </c>
      <c r="J65" s="261">
        <f t="shared" si="37"/>
        <v>2</v>
      </c>
      <c r="K65" s="270">
        <f t="shared" si="33"/>
        <v>19</v>
      </c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</row>
    <row r="66" ht="19.5" customHeight="1">
      <c r="A66" s="71" t="s">
        <v>74</v>
      </c>
      <c r="B66" s="261">
        <f>0</f>
        <v>0</v>
      </c>
      <c r="C66" s="261">
        <f>0+1</f>
        <v>1</v>
      </c>
      <c r="D66" s="261">
        <f>0+1-1+1-1+1-1+1-1</f>
        <v>0</v>
      </c>
      <c r="E66" s="261">
        <f>0+1-1+1+1-1-1+1+1-1+1-1+1</f>
        <v>2</v>
      </c>
      <c r="F66" s="261">
        <f>0+1+1</f>
        <v>2</v>
      </c>
      <c r="G66" s="261">
        <f t="shared" ref="G66:H66" si="38">0</f>
        <v>0</v>
      </c>
      <c r="H66" s="261">
        <f t="shared" si="38"/>
        <v>0</v>
      </c>
      <c r="I66" s="261">
        <f t="shared" ref="I66:J66" si="39">0+1</f>
        <v>1</v>
      </c>
      <c r="J66" s="261">
        <f t="shared" si="39"/>
        <v>1</v>
      </c>
      <c r="K66" s="270">
        <f t="shared" si="33"/>
        <v>7</v>
      </c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</row>
    <row r="67" ht="19.5" customHeight="1">
      <c r="A67" s="278" t="s">
        <v>18</v>
      </c>
      <c r="B67" s="261">
        <f>2+1</f>
        <v>3</v>
      </c>
      <c r="C67" s="261">
        <f>0+1-1</f>
        <v>0</v>
      </c>
      <c r="D67" s="261">
        <f>0+1-1+1+1-1+1-1</f>
        <v>1</v>
      </c>
      <c r="E67" s="261">
        <f>0+1-1+1-1+1</f>
        <v>1</v>
      </c>
      <c r="F67" s="261">
        <f>0+1-1+2-1</f>
        <v>1</v>
      </c>
      <c r="G67" s="261">
        <f t="shared" ref="G67:I67" si="40">0+1</f>
        <v>1</v>
      </c>
      <c r="H67" s="261">
        <f t="shared" si="40"/>
        <v>1</v>
      </c>
      <c r="I67" s="261">
        <f t="shared" si="40"/>
        <v>1</v>
      </c>
      <c r="J67" s="261">
        <f>0</f>
        <v>0</v>
      </c>
      <c r="K67" s="270">
        <f t="shared" si="33"/>
        <v>9</v>
      </c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</row>
    <row r="68" ht="19.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275">
        <f>SUM(K62:K67)</f>
        <v>74</v>
      </c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</row>
    <row r="69" ht="19.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</row>
    <row r="70" ht="19.5" customHeight="1">
      <c r="A70" s="257" t="s">
        <v>145</v>
      </c>
      <c r="B70" s="52"/>
      <c r="C70" s="52"/>
      <c r="D70" s="52"/>
      <c r="E70" s="52"/>
      <c r="F70" s="52"/>
      <c r="G70" s="52"/>
      <c r="H70" s="52"/>
      <c r="I70" s="52"/>
      <c r="J70" s="52"/>
      <c r="K70" s="5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</row>
    <row r="71" ht="19.5" customHeight="1">
      <c r="A71" s="258" t="s">
        <v>140</v>
      </c>
      <c r="B71" s="263" t="s">
        <v>4</v>
      </c>
      <c r="C71" s="263" t="s">
        <v>49</v>
      </c>
      <c r="D71" s="263" t="s">
        <v>50</v>
      </c>
      <c r="E71" s="263" t="s">
        <v>51</v>
      </c>
      <c r="F71" s="263" t="s">
        <v>52</v>
      </c>
      <c r="G71" s="263" t="s">
        <v>9</v>
      </c>
      <c r="H71" s="263" t="s">
        <v>10</v>
      </c>
      <c r="I71" s="263" t="s">
        <v>11</v>
      </c>
      <c r="J71" s="264" t="s">
        <v>12</v>
      </c>
      <c r="K71" s="265" t="s">
        <v>53</v>
      </c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</row>
    <row r="72" ht="19.5" customHeight="1">
      <c r="A72" s="71" t="s">
        <v>14</v>
      </c>
      <c r="B72" s="261">
        <f t="shared" ref="B72:C72" si="41">0</f>
        <v>0</v>
      </c>
      <c r="C72" s="261">
        <f t="shared" si="41"/>
        <v>0</v>
      </c>
      <c r="D72" s="261">
        <f>0+1+2-3+3-2+2-1+1+1-1+1-1-2+1-1+1</f>
        <v>2</v>
      </c>
      <c r="E72" s="261">
        <f>0</f>
        <v>0</v>
      </c>
      <c r="F72" s="261">
        <f>0+2</f>
        <v>2</v>
      </c>
      <c r="G72" s="261">
        <f t="shared" ref="G72:H72" si="42">0</f>
        <v>0</v>
      </c>
      <c r="H72" s="261">
        <f t="shared" si="42"/>
        <v>0</v>
      </c>
      <c r="I72" s="261">
        <f>0+1</f>
        <v>1</v>
      </c>
      <c r="J72" s="261">
        <f>0</f>
        <v>0</v>
      </c>
      <c r="K72" s="261">
        <f t="shared" ref="K72:K77" si="45">SUM(B72:J72)</f>
        <v>5</v>
      </c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</row>
    <row r="73" ht="19.5" customHeight="1">
      <c r="A73" s="71" t="s">
        <v>143</v>
      </c>
      <c r="B73" s="261">
        <f>0</f>
        <v>0</v>
      </c>
      <c r="C73" s="261">
        <f>0+1-1</f>
        <v>0</v>
      </c>
      <c r="D73" s="261">
        <f t="shared" ref="D73:E73" si="43">0</f>
        <v>0</v>
      </c>
      <c r="E73" s="261">
        <f t="shared" si="43"/>
        <v>0</v>
      </c>
      <c r="F73" s="261">
        <f>0+1</f>
        <v>1</v>
      </c>
      <c r="G73" s="261">
        <f t="shared" ref="G73:J73" si="44">0</f>
        <v>0</v>
      </c>
      <c r="H73" s="261">
        <f t="shared" si="44"/>
        <v>0</v>
      </c>
      <c r="I73" s="261">
        <f t="shared" si="44"/>
        <v>0</v>
      </c>
      <c r="J73" s="261">
        <f t="shared" si="44"/>
        <v>0</v>
      </c>
      <c r="K73" s="261">
        <f t="shared" si="45"/>
        <v>1</v>
      </c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</row>
    <row r="74" ht="19.5" customHeight="1">
      <c r="A74" s="71" t="s">
        <v>144</v>
      </c>
      <c r="B74" s="261">
        <f>0+1</f>
        <v>1</v>
      </c>
      <c r="C74" s="261">
        <f t="shared" ref="C74:D74" si="46">0</f>
        <v>0</v>
      </c>
      <c r="D74" s="261">
        <f t="shared" si="46"/>
        <v>0</v>
      </c>
      <c r="E74" s="261">
        <f>0+2-1</f>
        <v>1</v>
      </c>
      <c r="F74" s="261">
        <f t="shared" ref="F74:J74" si="47">0</f>
        <v>0</v>
      </c>
      <c r="G74" s="261">
        <f t="shared" si="47"/>
        <v>0</v>
      </c>
      <c r="H74" s="261">
        <f t="shared" si="47"/>
        <v>0</v>
      </c>
      <c r="I74" s="261">
        <f t="shared" si="47"/>
        <v>0</v>
      </c>
      <c r="J74" s="261">
        <f t="shared" si="47"/>
        <v>0</v>
      </c>
      <c r="K74" s="261">
        <f t="shared" si="45"/>
        <v>2</v>
      </c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</row>
    <row r="75" ht="19.5" customHeight="1">
      <c r="A75" s="71" t="s">
        <v>15</v>
      </c>
      <c r="B75" s="261">
        <f>0</f>
        <v>0</v>
      </c>
      <c r="C75" s="261">
        <f>0+1-1+1</f>
        <v>1</v>
      </c>
      <c r="D75" s="261">
        <f>0+1-1</f>
        <v>0</v>
      </c>
      <c r="E75" s="261">
        <f>0+1</f>
        <v>1</v>
      </c>
      <c r="F75" s="261">
        <f>0+3</f>
        <v>3</v>
      </c>
      <c r="G75" s="261">
        <f>0+2-1+1</f>
        <v>2</v>
      </c>
      <c r="H75" s="261">
        <f t="shared" ref="H75:J75" si="48">0</f>
        <v>0</v>
      </c>
      <c r="I75" s="261">
        <f t="shared" si="48"/>
        <v>0</v>
      </c>
      <c r="J75" s="261">
        <f t="shared" si="48"/>
        <v>0</v>
      </c>
      <c r="K75" s="261">
        <f t="shared" si="45"/>
        <v>7</v>
      </c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</row>
    <row r="76" ht="19.5" customHeight="1">
      <c r="A76" s="71" t="s">
        <v>74</v>
      </c>
      <c r="B76" s="261">
        <f>0+2-2+2</f>
        <v>2</v>
      </c>
      <c r="C76" s="261">
        <f>0+1+1-1-1+1-1</f>
        <v>0</v>
      </c>
      <c r="D76" s="261">
        <f t="shared" ref="D76:D77" si="50">0</f>
        <v>0</v>
      </c>
      <c r="E76" s="261">
        <f>0+1-1</f>
        <v>0</v>
      </c>
      <c r="F76" s="261">
        <f t="shared" ref="F76:J76" si="49">0</f>
        <v>0</v>
      </c>
      <c r="G76" s="261">
        <f t="shared" si="49"/>
        <v>0</v>
      </c>
      <c r="H76" s="261">
        <f t="shared" si="49"/>
        <v>0</v>
      </c>
      <c r="I76" s="261">
        <f t="shared" si="49"/>
        <v>0</v>
      </c>
      <c r="J76" s="261">
        <f t="shared" si="49"/>
        <v>0</v>
      </c>
      <c r="K76" s="261">
        <f t="shared" si="45"/>
        <v>2</v>
      </c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</row>
    <row r="77" ht="19.5" customHeight="1">
      <c r="A77" s="278" t="s">
        <v>18</v>
      </c>
      <c r="B77" s="261">
        <f>0+1</f>
        <v>1</v>
      </c>
      <c r="C77" s="261">
        <f>0+1-1+1</f>
        <v>1</v>
      </c>
      <c r="D77" s="261">
        <f t="shared" si="50"/>
        <v>0</v>
      </c>
      <c r="E77" s="261">
        <f>0+1-1+1</f>
        <v>1</v>
      </c>
      <c r="F77" s="261">
        <f t="shared" ref="F77:J77" si="51">0</f>
        <v>0</v>
      </c>
      <c r="G77" s="261">
        <f t="shared" si="51"/>
        <v>0</v>
      </c>
      <c r="H77" s="261">
        <f t="shared" si="51"/>
        <v>0</v>
      </c>
      <c r="I77" s="261">
        <f t="shared" si="51"/>
        <v>0</v>
      </c>
      <c r="J77" s="261">
        <f t="shared" si="51"/>
        <v>0</v>
      </c>
      <c r="K77" s="261">
        <f t="shared" si="45"/>
        <v>3</v>
      </c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</row>
    <row r="78" ht="19.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275">
        <f>SUM(K72:K77)</f>
        <v>20</v>
      </c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</row>
    <row r="79" ht="19.5" customHeight="1">
      <c r="A79" s="43"/>
      <c r="B79" s="43"/>
      <c r="C79" s="43"/>
      <c r="D79" s="43"/>
      <c r="E79" s="43"/>
      <c r="F79" s="43"/>
      <c r="G79" s="43"/>
      <c r="H79" s="43"/>
      <c r="I79" s="43"/>
      <c r="J79" s="12" t="s">
        <v>13</v>
      </c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</row>
    <row r="80" ht="19.5" customHeight="1">
      <c r="A80" s="257" t="s">
        <v>146</v>
      </c>
      <c r="B80" s="52"/>
      <c r="C80" s="52"/>
      <c r="D80" s="52"/>
      <c r="E80" s="52"/>
      <c r="F80" s="52"/>
      <c r="G80" s="52"/>
      <c r="H80" s="52"/>
      <c r="I80" s="52"/>
      <c r="J80" s="52"/>
      <c r="K80" s="5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</row>
    <row r="81" ht="19.5" customHeight="1">
      <c r="A81" s="263" t="s">
        <v>140</v>
      </c>
      <c r="B81" s="263" t="s">
        <v>4</v>
      </c>
      <c r="C81" s="263" t="s">
        <v>49</v>
      </c>
      <c r="D81" s="263" t="s">
        <v>50</v>
      </c>
      <c r="E81" s="263" t="s">
        <v>51</v>
      </c>
      <c r="F81" s="263" t="s">
        <v>52</v>
      </c>
      <c r="G81" s="263" t="s">
        <v>9</v>
      </c>
      <c r="H81" s="263" t="s">
        <v>10</v>
      </c>
      <c r="I81" s="263" t="s">
        <v>11</v>
      </c>
      <c r="J81" s="264" t="s">
        <v>12</v>
      </c>
      <c r="K81" s="265" t="s">
        <v>53</v>
      </c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</row>
    <row r="82" ht="19.5" customHeight="1">
      <c r="A82" s="71" t="s">
        <v>14</v>
      </c>
      <c r="B82" s="261">
        <f>0+2-1+1-1+1-1</f>
        <v>1</v>
      </c>
      <c r="C82" s="261">
        <f>0+2-2+1+1-1+1</f>
        <v>2</v>
      </c>
      <c r="D82" s="261">
        <f>0+2-1+1-1+1-1+1-1+1</f>
        <v>2</v>
      </c>
      <c r="E82" s="261">
        <f>0+1+2-1-1+1-1+1+1-1-1</f>
        <v>1</v>
      </c>
      <c r="F82" s="261">
        <f>0+2-1-1+1+1-2+3+1</f>
        <v>4</v>
      </c>
      <c r="G82" s="261">
        <f>0+2-1-1+1+1-2+2</f>
        <v>2</v>
      </c>
      <c r="H82" s="261">
        <f>0+2-1+1-1</f>
        <v>1</v>
      </c>
      <c r="I82" s="261">
        <f>0+2-1</f>
        <v>1</v>
      </c>
      <c r="J82" s="261">
        <f>0+2-1+1</f>
        <v>2</v>
      </c>
      <c r="K82" s="270">
        <f t="shared" ref="K82:K87" si="53">SUM(B82:J82)</f>
        <v>16</v>
      </c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</row>
    <row r="83" ht="19.5" customHeight="1">
      <c r="A83" s="71" t="s">
        <v>143</v>
      </c>
      <c r="B83" s="261">
        <f>0+1+1-1</f>
        <v>1</v>
      </c>
      <c r="C83" s="261">
        <f>0+1+1-1+1+1</f>
        <v>3</v>
      </c>
      <c r="D83" s="261">
        <f>0+1+1</f>
        <v>2</v>
      </c>
      <c r="E83" s="261">
        <f>0+1-1+1+1</f>
        <v>2</v>
      </c>
      <c r="F83" s="261">
        <f>0+1</f>
        <v>1</v>
      </c>
      <c r="G83" s="261">
        <f>0+1-1</f>
        <v>0</v>
      </c>
      <c r="H83" s="261">
        <f>0+1-1+1-1+1</f>
        <v>1</v>
      </c>
      <c r="I83" s="261">
        <f t="shared" ref="I83:J83" si="52">0+1</f>
        <v>1</v>
      </c>
      <c r="J83" s="261">
        <f t="shared" si="52"/>
        <v>1</v>
      </c>
      <c r="K83" s="270">
        <f t="shared" si="53"/>
        <v>12</v>
      </c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</row>
    <row r="84" ht="19.5" customHeight="1">
      <c r="A84" s="71" t="s">
        <v>144</v>
      </c>
      <c r="B84" s="261">
        <f>0+2</f>
        <v>2</v>
      </c>
      <c r="C84" s="261">
        <f>0+1+2</f>
        <v>3</v>
      </c>
      <c r="D84" s="261">
        <f>0+2-1+1+1</f>
        <v>3</v>
      </c>
      <c r="E84" s="261">
        <f>0+1+2</f>
        <v>3</v>
      </c>
      <c r="F84" s="261">
        <f>0+2-1+1-1+1</f>
        <v>2</v>
      </c>
      <c r="G84" s="261">
        <f>0+2+1+1</f>
        <v>4</v>
      </c>
      <c r="H84" s="261">
        <f t="shared" ref="H84:J84" si="54">0+2</f>
        <v>2</v>
      </c>
      <c r="I84" s="261">
        <f t="shared" si="54"/>
        <v>2</v>
      </c>
      <c r="J84" s="261">
        <f t="shared" si="54"/>
        <v>2</v>
      </c>
      <c r="K84" s="270">
        <f t="shared" si="53"/>
        <v>23</v>
      </c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</row>
    <row r="85" ht="19.5" customHeight="1">
      <c r="A85" s="71" t="s">
        <v>15</v>
      </c>
      <c r="B85" s="261">
        <f>0+2-2+2</f>
        <v>2</v>
      </c>
      <c r="C85" s="261">
        <f>0+2</f>
        <v>2</v>
      </c>
      <c r="D85" s="261">
        <f>0+5+1-1+1+2+1-1+1</f>
        <v>9</v>
      </c>
      <c r="E85" s="261">
        <f>0+2-2+3</f>
        <v>3</v>
      </c>
      <c r="F85" s="261">
        <f>0+2+2-1</f>
        <v>3</v>
      </c>
      <c r="G85" s="261">
        <f>0+1-1+2-1</f>
        <v>1</v>
      </c>
      <c r="H85" s="261">
        <f>0+1+2-1-1+1+1</f>
        <v>3</v>
      </c>
      <c r="I85" s="261">
        <f t="shared" ref="I85:I86" si="56">0+1</f>
        <v>1</v>
      </c>
      <c r="J85" s="261">
        <f t="shared" ref="J85:J86" si="57">0</f>
        <v>0</v>
      </c>
      <c r="K85" s="261">
        <f t="shared" si="53"/>
        <v>24</v>
      </c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</row>
    <row r="86" ht="19.5" customHeight="1">
      <c r="A86" s="71" t="s">
        <v>74</v>
      </c>
      <c r="B86" s="261">
        <f>0+2+1-3+3</f>
        <v>3</v>
      </c>
      <c r="C86" s="261">
        <f t="shared" ref="C86:C87" si="58">0+1</f>
        <v>1</v>
      </c>
      <c r="D86" s="261">
        <f>0+1-1+1</f>
        <v>1</v>
      </c>
      <c r="E86" s="261">
        <f>0+1+1-2+2</f>
        <v>2</v>
      </c>
      <c r="F86" s="261">
        <f t="shared" ref="F86:G86" si="55">0+1</f>
        <v>1</v>
      </c>
      <c r="G86" s="261">
        <f t="shared" si="55"/>
        <v>1</v>
      </c>
      <c r="H86" s="261">
        <f>0+1-1+1</f>
        <v>1</v>
      </c>
      <c r="I86" s="261">
        <f t="shared" si="56"/>
        <v>1</v>
      </c>
      <c r="J86" s="261">
        <f t="shared" si="57"/>
        <v>0</v>
      </c>
      <c r="K86" s="270">
        <f t="shared" si="53"/>
        <v>11</v>
      </c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</row>
    <row r="87" ht="19.5" customHeight="1">
      <c r="A87" s="278" t="s">
        <v>18</v>
      </c>
      <c r="B87" s="261">
        <f>0+1+1-1+1</f>
        <v>2</v>
      </c>
      <c r="C87" s="261">
        <f t="shared" si="58"/>
        <v>1</v>
      </c>
      <c r="D87" s="261">
        <f>0+1-1+1-1+1</f>
        <v>1</v>
      </c>
      <c r="E87" s="261">
        <f>0+1-1+1-1+1+1-1-1+2</f>
        <v>2</v>
      </c>
      <c r="F87" s="261">
        <f>0+1-1+1-1</f>
        <v>0</v>
      </c>
      <c r="G87" s="261">
        <f>0+1-1+1+1</f>
        <v>2</v>
      </c>
      <c r="H87" s="261">
        <f>0+1</f>
        <v>1</v>
      </c>
      <c r="I87" s="261">
        <f t="shared" ref="I87:J87" si="59">0</f>
        <v>0</v>
      </c>
      <c r="J87" s="261">
        <f t="shared" si="59"/>
        <v>0</v>
      </c>
      <c r="K87" s="270">
        <f t="shared" si="53"/>
        <v>9</v>
      </c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</row>
    <row r="88" ht="19.5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275">
        <f>SUM(K82:K87)</f>
        <v>95</v>
      </c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</row>
    <row r="89" ht="19.5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</row>
    <row r="90" ht="19.5" customHeight="1">
      <c r="A90" s="279" t="s">
        <v>147</v>
      </c>
      <c r="B90" s="52"/>
      <c r="C90" s="52"/>
      <c r="D90" s="52"/>
      <c r="E90" s="52"/>
      <c r="F90" s="52"/>
      <c r="G90" s="52"/>
      <c r="H90" s="52"/>
      <c r="I90" s="52"/>
      <c r="J90" s="52"/>
      <c r="K90" s="9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</row>
    <row r="91" ht="19.5" customHeight="1">
      <c r="A91" s="280"/>
      <c r="B91" s="259" t="s">
        <v>43</v>
      </c>
      <c r="C91" s="52"/>
      <c r="D91" s="52"/>
      <c r="E91" s="52"/>
      <c r="F91" s="52"/>
      <c r="G91" s="52"/>
      <c r="H91" s="52"/>
      <c r="I91" s="52"/>
      <c r="J91" s="53"/>
      <c r="K91" s="281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</row>
    <row r="92" ht="19.5" customHeight="1">
      <c r="A92" s="71" t="s">
        <v>93</v>
      </c>
      <c r="B92" s="261">
        <v>28.0</v>
      </c>
      <c r="C92" s="261">
        <v>30.0</v>
      </c>
      <c r="D92" s="261">
        <v>32.0</v>
      </c>
      <c r="E92" s="261">
        <v>34.0</v>
      </c>
      <c r="F92" s="261">
        <v>36.0</v>
      </c>
      <c r="G92" s="261">
        <v>38.0</v>
      </c>
      <c r="H92" s="261">
        <v>40.0</v>
      </c>
      <c r="I92" s="261"/>
      <c r="J92" s="261"/>
      <c r="K92" s="281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</row>
    <row r="93" ht="19.5" customHeight="1">
      <c r="A93" s="71"/>
      <c r="B93" s="263" t="s">
        <v>4</v>
      </c>
      <c r="C93" s="263" t="s">
        <v>49</v>
      </c>
      <c r="D93" s="263" t="s">
        <v>50</v>
      </c>
      <c r="E93" s="263" t="s">
        <v>51</v>
      </c>
      <c r="F93" s="263" t="s">
        <v>52</v>
      </c>
      <c r="G93" s="263" t="s">
        <v>9</v>
      </c>
      <c r="H93" s="263" t="s">
        <v>10</v>
      </c>
      <c r="I93" s="263" t="s">
        <v>11</v>
      </c>
      <c r="J93" s="263" t="s">
        <v>12</v>
      </c>
      <c r="K93" s="282" t="s">
        <v>53</v>
      </c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</row>
    <row r="94" ht="19.5" customHeight="1">
      <c r="A94" s="71" t="s">
        <v>148</v>
      </c>
      <c r="B94" s="283">
        <f>0+1+2-1</f>
        <v>2</v>
      </c>
      <c r="C94" s="283">
        <f>0+2-2</f>
        <v>0</v>
      </c>
      <c r="D94" s="283">
        <f>0+1+1-2+1</f>
        <v>1</v>
      </c>
      <c r="E94" s="283">
        <f>0+2-1+1+1+2-4-1</f>
        <v>0</v>
      </c>
      <c r="F94" s="283">
        <f>0+2-1+1-2+6-2-1+1-1+1-2+2</f>
        <v>4</v>
      </c>
      <c r="G94" s="283">
        <f>0+1+2-3</f>
        <v>0</v>
      </c>
      <c r="H94" s="283">
        <f>0+2-1</f>
        <v>1</v>
      </c>
      <c r="I94" s="283">
        <f t="shared" ref="I94:J94" si="60">0</f>
        <v>0</v>
      </c>
      <c r="J94" s="283">
        <f t="shared" si="60"/>
        <v>0</v>
      </c>
      <c r="K94" s="283">
        <f t="shared" ref="K94:K100" si="62">SUM(B94:J94)</f>
        <v>8</v>
      </c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</row>
    <row r="95" ht="19.5" customHeight="1">
      <c r="A95" s="71" t="s">
        <v>149</v>
      </c>
      <c r="B95" s="283">
        <f>0</f>
        <v>0</v>
      </c>
      <c r="C95" s="283">
        <f>0+3-1-1-1+1-1</f>
        <v>0</v>
      </c>
      <c r="D95" s="283">
        <f>0+2-1-1+1+1-1</f>
        <v>1</v>
      </c>
      <c r="E95" s="283">
        <f>0+3+1-1-1+1-1+1-1+2-2+2</f>
        <v>4</v>
      </c>
      <c r="F95" s="283">
        <f>0+2-1+1+1-1+1-1-1-1+1-1+1</f>
        <v>1</v>
      </c>
      <c r="G95" s="283">
        <f>0</f>
        <v>0</v>
      </c>
      <c r="H95" s="283">
        <f>0+1+1</f>
        <v>2</v>
      </c>
      <c r="I95" s="283">
        <f t="shared" ref="I95:J95" si="61">0</f>
        <v>0</v>
      </c>
      <c r="J95" s="283">
        <f t="shared" si="61"/>
        <v>0</v>
      </c>
      <c r="K95" s="283">
        <f t="shared" si="62"/>
        <v>8</v>
      </c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</row>
    <row r="96" ht="19.5" customHeight="1">
      <c r="A96" s="71" t="s">
        <v>150</v>
      </c>
      <c r="B96" s="283">
        <f>0+2+2-1-1+1+1+1+1-1</f>
        <v>5</v>
      </c>
      <c r="C96" s="283">
        <f>0+2+2-1+1+1</f>
        <v>5</v>
      </c>
      <c r="D96" s="283">
        <f>0+3+2-1-1+1+1-1-1-1-1+1+1-1-2+2-1-1</f>
        <v>0</v>
      </c>
      <c r="E96" s="283">
        <f>0+2-1-1+1+1+1-1+1-1-1+1-1+1-1+1-1+1</f>
        <v>2</v>
      </c>
      <c r="F96" s="283">
        <f>0+1-1+1+2-1-1+1+1-1+1+1-2+2-2+2</f>
        <v>4</v>
      </c>
      <c r="G96" s="283">
        <f>0+1+2-1-1+1+1+1-1+1+1-1+1</f>
        <v>5</v>
      </c>
      <c r="H96" s="283">
        <f>0+3</f>
        <v>3</v>
      </c>
      <c r="I96" s="283">
        <f t="shared" ref="I96:J96" si="63">0</f>
        <v>0</v>
      </c>
      <c r="J96" s="283">
        <f t="shared" si="63"/>
        <v>0</v>
      </c>
      <c r="K96" s="283">
        <f t="shared" si="62"/>
        <v>24</v>
      </c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</row>
    <row r="97" ht="19.5" customHeight="1">
      <c r="A97" s="71" t="s">
        <v>151</v>
      </c>
      <c r="B97" s="283">
        <f>0+1</f>
        <v>1</v>
      </c>
      <c r="C97" s="283">
        <f>0+1+1-1+1+1-1-1</f>
        <v>1</v>
      </c>
      <c r="D97" s="283">
        <f t="shared" ref="D97:D98" si="65">0</f>
        <v>0</v>
      </c>
      <c r="E97" s="283">
        <f>0+1</f>
        <v>1</v>
      </c>
      <c r="F97" s="283">
        <f>0+1+1-1+1+1+1-2</f>
        <v>2</v>
      </c>
      <c r="G97" s="283">
        <f t="shared" ref="G97:J97" si="64">0</f>
        <v>0</v>
      </c>
      <c r="H97" s="283">
        <f t="shared" si="64"/>
        <v>0</v>
      </c>
      <c r="I97" s="283">
        <f t="shared" si="64"/>
        <v>0</v>
      </c>
      <c r="J97" s="283">
        <f t="shared" si="64"/>
        <v>0</v>
      </c>
      <c r="K97" s="283">
        <f t="shared" si="62"/>
        <v>5</v>
      </c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</row>
    <row r="98" ht="19.5" customHeight="1">
      <c r="A98" s="71" t="s">
        <v>152</v>
      </c>
      <c r="B98" s="283">
        <f>0</f>
        <v>0</v>
      </c>
      <c r="C98" s="283">
        <f>0+2+1+1-1-1+1</f>
        <v>3</v>
      </c>
      <c r="D98" s="283">
        <f t="shared" si="65"/>
        <v>0</v>
      </c>
      <c r="E98" s="283">
        <f>0+1-1+1+1-1+1-1</f>
        <v>1</v>
      </c>
      <c r="F98" s="283">
        <f t="shared" ref="F98:J98" si="66">0</f>
        <v>0</v>
      </c>
      <c r="G98" s="283">
        <f t="shared" si="66"/>
        <v>0</v>
      </c>
      <c r="H98" s="283">
        <f t="shared" si="66"/>
        <v>0</v>
      </c>
      <c r="I98" s="283">
        <f t="shared" si="66"/>
        <v>0</v>
      </c>
      <c r="J98" s="283">
        <f t="shared" si="66"/>
        <v>0</v>
      </c>
      <c r="K98" s="283">
        <f t="shared" si="62"/>
        <v>4</v>
      </c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</row>
    <row r="99" ht="19.5" customHeight="1">
      <c r="A99" s="71" t="s">
        <v>153</v>
      </c>
      <c r="B99" s="283">
        <f>0+1-1+2-2</f>
        <v>0</v>
      </c>
      <c r="C99" s="283">
        <f>0+2-1+1-1+1</f>
        <v>2</v>
      </c>
      <c r="D99" s="283">
        <f>0+3-1+1-1+1</f>
        <v>3</v>
      </c>
      <c r="E99" s="283">
        <f>0+1-1+1-1+1</f>
        <v>1</v>
      </c>
      <c r="F99" s="283">
        <f>0+1-1+1+1-1-1+1</f>
        <v>1</v>
      </c>
      <c r="G99" s="283">
        <f>0+1-1+1-1+1</f>
        <v>1</v>
      </c>
      <c r="H99" s="283">
        <f t="shared" ref="H99:J99" si="67">0</f>
        <v>0</v>
      </c>
      <c r="I99" s="283">
        <f t="shared" si="67"/>
        <v>0</v>
      </c>
      <c r="J99" s="283">
        <f t="shared" si="67"/>
        <v>0</v>
      </c>
      <c r="K99" s="283">
        <f t="shared" si="62"/>
        <v>8</v>
      </c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</row>
    <row r="100" ht="19.5" customHeight="1">
      <c r="A100" s="278" t="s">
        <v>154</v>
      </c>
      <c r="B100" s="283">
        <f>0+1-1+2</f>
        <v>2</v>
      </c>
      <c r="C100" s="283">
        <f>0+1</f>
        <v>1</v>
      </c>
      <c r="D100" s="283">
        <f>0+2+1-1+1</f>
        <v>3</v>
      </c>
      <c r="E100" s="283">
        <f>0+1-1+1</f>
        <v>1</v>
      </c>
      <c r="F100" s="283">
        <f>0+3</f>
        <v>3</v>
      </c>
      <c r="G100" s="283">
        <f t="shared" ref="G100:J100" si="68">0</f>
        <v>0</v>
      </c>
      <c r="H100" s="283">
        <f t="shared" si="68"/>
        <v>0</v>
      </c>
      <c r="I100" s="283">
        <f t="shared" si="68"/>
        <v>0</v>
      </c>
      <c r="J100" s="283">
        <f t="shared" si="68"/>
        <v>0</v>
      </c>
      <c r="K100" s="283">
        <f t="shared" si="62"/>
        <v>10</v>
      </c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</row>
    <row r="101" ht="19.5" customHeight="1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275">
        <f>SUM(K94:K99)</f>
        <v>57</v>
      </c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</row>
    <row r="102" ht="19.5" customHeight="1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</row>
    <row r="103" ht="19.5" customHeight="1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</row>
    <row r="104" ht="19.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</row>
    <row r="105" ht="19.5" customHeight="1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</row>
    <row r="106" ht="19.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</row>
    <row r="107" ht="19.5" customHeight="1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</row>
    <row r="108" ht="19.5" customHeight="1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</row>
    <row r="109" ht="19.5" customHeight="1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</row>
    <row r="110" ht="19.5" customHeight="1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</row>
    <row r="111" ht="19.5" customHeight="1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</row>
    <row r="112" ht="19.5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</row>
    <row r="113" ht="19.5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</row>
    <row r="114" ht="19.5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</row>
    <row r="115" ht="19.5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</row>
    <row r="116" ht="19.5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</row>
    <row r="117" ht="19.5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</row>
    <row r="118" ht="19.5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</row>
    <row r="119" ht="19.5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</row>
    <row r="120" ht="19.5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</row>
    <row r="121" ht="19.5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</row>
    <row r="122" ht="19.5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</row>
    <row r="123" ht="19.5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</row>
    <row r="124" ht="19.5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</row>
    <row r="125" ht="19.5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</row>
    <row r="126" ht="19.5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</row>
    <row r="127" ht="19.5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</row>
    <row r="128" ht="19.5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</row>
    <row r="129" ht="19.5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</row>
    <row r="130" ht="19.5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</row>
    <row r="131" ht="19.5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</row>
    <row r="132" ht="19.5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</row>
    <row r="133" ht="19.5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</row>
    <row r="134" ht="19.5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</row>
    <row r="135" ht="19.5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</row>
    <row r="136" ht="19.5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</row>
    <row r="137" ht="19.5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</row>
    <row r="138" ht="19.5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</row>
    <row r="139" ht="19.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</row>
    <row r="140" ht="19.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</row>
    <row r="141" ht="19.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</row>
    <row r="142" ht="19.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</row>
    <row r="143" ht="19.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</row>
    <row r="144" ht="19.5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</row>
    <row r="145" ht="19.5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</row>
    <row r="146" ht="19.5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</row>
    <row r="147" ht="19.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</row>
    <row r="148" ht="19.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</row>
    <row r="149" ht="19.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</row>
    <row r="150" ht="19.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</row>
    <row r="151" ht="19.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</row>
    <row r="152" ht="19.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</row>
    <row r="153" ht="19.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</row>
    <row r="154" ht="19.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</row>
    <row r="155" ht="19.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</row>
    <row r="156" ht="19.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</row>
    <row r="157" ht="19.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</row>
    <row r="158" ht="19.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</row>
    <row r="159" ht="19.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</row>
    <row r="160" ht="19.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</row>
    <row r="161" ht="19.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</row>
    <row r="162" ht="19.5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</row>
    <row r="163" ht="19.5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</row>
    <row r="164" ht="19.5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</row>
    <row r="165" ht="19.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</row>
    <row r="166" ht="19.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</row>
    <row r="167" ht="19.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</row>
    <row r="168" ht="19.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</row>
    <row r="169" ht="19.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</row>
    <row r="170" ht="19.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</row>
    <row r="171" ht="19.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</row>
    <row r="172" ht="19.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</row>
    <row r="173" ht="19.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</row>
    <row r="174" ht="19.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</row>
    <row r="175" ht="19.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</row>
    <row r="176" ht="19.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</row>
    <row r="177" ht="19.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</row>
    <row r="178" ht="19.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</row>
    <row r="179" ht="19.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</row>
    <row r="180" ht="19.5" customHeight="1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</row>
    <row r="181" ht="19.5" customHeight="1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</row>
    <row r="182" ht="19.5" customHeight="1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</row>
    <row r="183" ht="19.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</row>
    <row r="184" ht="19.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</row>
    <row r="185" ht="19.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</row>
    <row r="186" ht="19.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</row>
    <row r="187" ht="19.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</row>
    <row r="188" ht="19.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</row>
    <row r="189" ht="19.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</row>
    <row r="190" ht="19.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</row>
    <row r="191" ht="19.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</row>
    <row r="192" ht="19.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</row>
    <row r="193" ht="19.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</row>
    <row r="194" ht="19.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</row>
    <row r="195" ht="19.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</row>
    <row r="196" ht="19.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</row>
    <row r="197" ht="19.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</row>
    <row r="198" ht="19.5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</row>
    <row r="199" ht="19.5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</row>
    <row r="200" ht="19.5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</row>
    <row r="201" ht="19.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</row>
    <row r="202" ht="19.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</row>
    <row r="203" ht="19.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</row>
    <row r="204" ht="19.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</row>
    <row r="205" ht="19.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</row>
    <row r="206" ht="19.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</row>
    <row r="207" ht="19.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</row>
    <row r="208" ht="19.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</row>
    <row r="209" ht="19.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</row>
    <row r="210" ht="19.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</row>
    <row r="211" ht="19.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</row>
    <row r="212" ht="19.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</row>
    <row r="213" ht="19.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</row>
    <row r="214" ht="19.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</row>
    <row r="215" ht="19.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</row>
    <row r="216" ht="19.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</row>
    <row r="217" ht="19.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</row>
    <row r="218" ht="19.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</row>
    <row r="219" ht="19.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</row>
    <row r="220" ht="19.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</row>
    <row r="221" ht="19.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</row>
    <row r="222" ht="19.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</row>
    <row r="223" ht="19.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</row>
    <row r="224" ht="19.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</row>
    <row r="225" ht="19.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</row>
    <row r="226" ht="19.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</row>
    <row r="227" ht="19.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</row>
    <row r="228" ht="19.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</row>
    <row r="229" ht="19.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</row>
    <row r="230" ht="19.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</row>
    <row r="231" ht="19.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</row>
    <row r="232" ht="19.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</row>
    <row r="233" ht="19.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</row>
    <row r="234" ht="19.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</row>
    <row r="235" ht="19.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</row>
    <row r="236" ht="19.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</row>
    <row r="237" ht="19.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</row>
    <row r="238" ht="19.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</row>
    <row r="239" ht="19.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</row>
    <row r="240" ht="19.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</row>
    <row r="241" ht="19.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</row>
    <row r="242" ht="19.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</row>
    <row r="243" ht="19.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</row>
    <row r="244" ht="19.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</row>
    <row r="245" ht="19.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</row>
    <row r="246" ht="19.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</row>
    <row r="247" ht="19.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</row>
    <row r="248" ht="19.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</row>
    <row r="249" ht="19.5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</row>
    <row r="250" ht="19.5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</row>
    <row r="251" ht="19.5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</row>
    <row r="252" ht="19.5" customHeight="1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</row>
    <row r="253" ht="19.5" customHeight="1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</row>
    <row r="254" ht="19.5" customHeight="1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</row>
    <row r="255" ht="19.5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</row>
    <row r="256" ht="19.5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</row>
    <row r="257" ht="19.5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</row>
    <row r="258" ht="19.5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</row>
    <row r="259" ht="19.5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</row>
    <row r="260" ht="19.5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</row>
    <row r="261" ht="19.5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</row>
    <row r="262" ht="19.5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</row>
    <row r="263" ht="19.5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</row>
    <row r="264" ht="19.5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</row>
    <row r="265" ht="19.5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</row>
    <row r="266" ht="19.5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</row>
    <row r="267" ht="19.5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</row>
    <row r="268" ht="19.5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</row>
    <row r="269" ht="19.5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</row>
    <row r="270" ht="19.5" customHeight="1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</row>
    <row r="271" ht="19.5" customHeight="1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</row>
    <row r="272" ht="19.5" customHeight="1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</row>
    <row r="273" ht="19.5" customHeigh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</row>
    <row r="274" ht="19.5" customHeigh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</row>
    <row r="275" ht="19.5" customHeigh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</row>
    <row r="276" ht="19.5" customHeigh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</row>
    <row r="277" ht="19.5" customHeigh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</row>
    <row r="278" ht="19.5" customHeigh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</row>
    <row r="279" ht="19.5" customHeigh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</row>
    <row r="280" ht="19.5" customHeigh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</row>
    <row r="281" ht="19.5" customHeigh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</row>
    <row r="282" ht="19.5" customHeigh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</row>
    <row r="283" ht="19.5" customHeigh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</row>
    <row r="284" ht="19.5" customHeigh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</row>
    <row r="285" ht="19.5" customHeigh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</row>
    <row r="286" ht="19.5" customHeigh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</row>
    <row r="287" ht="19.5" customHeigh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</row>
    <row r="288" ht="19.5" customHeight="1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</row>
    <row r="289" ht="19.5" customHeight="1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</row>
    <row r="290" ht="19.5" customHeight="1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</row>
    <row r="291" ht="19.5" customHeigh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</row>
    <row r="292" ht="19.5" customHeigh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</row>
    <row r="293" ht="19.5" customHeigh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</row>
    <row r="294" ht="19.5" customHeigh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</row>
    <row r="295" ht="19.5" customHeigh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</row>
    <row r="296" ht="19.5" customHeigh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</row>
    <row r="297" ht="19.5" customHeigh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</row>
    <row r="298" ht="19.5" customHeigh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</row>
    <row r="299" ht="19.5" customHeigh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</row>
    <row r="300" ht="19.5" customHeigh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</row>
    <row r="301" ht="19.5" customHeight="1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</row>
    <row r="302" ht="19.5" customHeight="1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</row>
    <row r="303" ht="19.5" customHeight="1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</row>
    <row r="304" ht="19.5" customHeight="1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</row>
    <row r="305" ht="19.5" customHeight="1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</row>
    <row r="306" ht="19.5" customHeight="1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</row>
    <row r="307" ht="19.5" customHeight="1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</row>
    <row r="308" ht="19.5" customHeight="1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</row>
    <row r="309" ht="19.5" customHeight="1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</row>
    <row r="310" ht="19.5" customHeight="1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</row>
    <row r="311" ht="19.5" customHeight="1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</row>
    <row r="312" ht="19.5" customHeight="1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</row>
    <row r="313" ht="19.5" customHeight="1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</row>
    <row r="314" ht="19.5" customHeight="1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</row>
    <row r="315" ht="19.5" customHeight="1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</row>
    <row r="316" ht="19.5" customHeight="1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</row>
    <row r="317" ht="19.5" customHeight="1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</row>
    <row r="318" ht="19.5" customHeight="1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</row>
    <row r="319" ht="19.5" customHeight="1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</row>
    <row r="320" ht="19.5" customHeight="1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</row>
    <row r="321" ht="19.5" customHeight="1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</row>
    <row r="322" ht="19.5" customHeight="1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</row>
    <row r="323" ht="19.5" customHeight="1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</row>
    <row r="324" ht="19.5" customHeight="1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</row>
    <row r="325" ht="19.5" customHeight="1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</row>
    <row r="326" ht="19.5" customHeight="1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</row>
    <row r="327" ht="19.5" customHeight="1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</row>
    <row r="328" ht="19.5" customHeight="1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</row>
    <row r="329" ht="19.5" customHeight="1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</row>
    <row r="330" ht="19.5" customHeight="1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</row>
    <row r="331" ht="19.5" customHeight="1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</row>
    <row r="332" ht="19.5" customHeight="1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</row>
    <row r="333" ht="19.5" customHeight="1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</row>
    <row r="334" ht="19.5" customHeight="1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</row>
    <row r="335" ht="19.5" customHeight="1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</row>
    <row r="336" ht="19.5" customHeight="1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</row>
    <row r="337" ht="19.5" customHeight="1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</row>
    <row r="338" ht="19.5" customHeight="1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</row>
    <row r="339" ht="19.5" customHeight="1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</row>
    <row r="340" ht="19.5" customHeight="1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</row>
    <row r="341" ht="19.5" customHeight="1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</row>
    <row r="342" ht="19.5" customHeight="1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</row>
    <row r="343" ht="19.5" customHeight="1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</row>
    <row r="344" ht="19.5" customHeight="1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</row>
    <row r="345" ht="19.5" customHeight="1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</row>
    <row r="346" ht="19.5" customHeight="1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</row>
    <row r="347" ht="19.5" customHeight="1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</row>
    <row r="348" ht="19.5" customHeight="1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</row>
    <row r="349" ht="19.5" customHeight="1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</row>
    <row r="350" ht="19.5" customHeight="1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</row>
    <row r="351" ht="19.5" customHeight="1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</row>
    <row r="352" ht="19.5" customHeight="1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</row>
    <row r="353" ht="19.5" customHeight="1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</row>
    <row r="354" ht="19.5" customHeight="1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</row>
    <row r="355" ht="19.5" customHeight="1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</row>
    <row r="356" ht="19.5" customHeight="1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</row>
    <row r="357" ht="19.5" customHeight="1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</row>
    <row r="358" ht="19.5" customHeight="1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</row>
    <row r="359" ht="19.5" customHeight="1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</row>
    <row r="360" ht="19.5" customHeight="1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</row>
    <row r="361" ht="19.5" customHeight="1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</row>
    <row r="362" ht="19.5" customHeight="1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</row>
    <row r="363" ht="19.5" customHeight="1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</row>
    <row r="364" ht="19.5" customHeight="1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</row>
    <row r="365" ht="19.5" customHeight="1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</row>
    <row r="366" ht="19.5" customHeight="1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</row>
    <row r="367" ht="19.5" customHeight="1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</row>
    <row r="368" ht="19.5" customHeight="1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</row>
    <row r="369" ht="19.5" customHeight="1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</row>
    <row r="370" ht="19.5" customHeight="1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</row>
    <row r="371" ht="19.5" customHeight="1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</row>
    <row r="372" ht="19.5" customHeight="1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</row>
    <row r="373" ht="19.5" customHeight="1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</row>
    <row r="374" ht="19.5" customHeight="1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</row>
    <row r="375" ht="19.5" customHeight="1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</row>
    <row r="376" ht="19.5" customHeight="1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</row>
    <row r="377" ht="19.5" customHeight="1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</row>
    <row r="378" ht="19.5" customHeight="1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</row>
    <row r="379" ht="19.5" customHeight="1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</row>
    <row r="380" ht="19.5" customHeight="1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</row>
    <row r="381" ht="19.5" customHeight="1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</row>
    <row r="382" ht="19.5" customHeight="1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</row>
    <row r="383" ht="19.5" customHeight="1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</row>
    <row r="384" ht="19.5" customHeight="1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</row>
    <row r="385" ht="19.5" customHeight="1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</row>
    <row r="386" ht="19.5" customHeight="1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</row>
    <row r="387" ht="19.5" customHeight="1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</row>
    <row r="388" ht="19.5" customHeight="1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</row>
    <row r="389" ht="19.5" customHeight="1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</row>
    <row r="390" ht="19.5" customHeight="1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</row>
    <row r="391" ht="19.5" customHeight="1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</row>
    <row r="392" ht="19.5" customHeight="1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</row>
    <row r="393" ht="19.5" customHeight="1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</row>
    <row r="394" ht="19.5" customHeight="1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</row>
    <row r="395" ht="19.5" customHeight="1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</row>
    <row r="396" ht="19.5" customHeight="1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</row>
    <row r="397" ht="19.5" customHeight="1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</row>
    <row r="398" ht="19.5" customHeight="1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</row>
    <row r="399" ht="19.5" customHeight="1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</row>
    <row r="400" ht="19.5" customHeight="1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</row>
    <row r="401" ht="19.5" customHeight="1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</row>
    <row r="402" ht="19.5" customHeight="1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</row>
    <row r="403" ht="19.5" customHeight="1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</row>
    <row r="404" ht="19.5" customHeight="1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</row>
    <row r="405" ht="19.5" customHeight="1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</row>
    <row r="406" ht="19.5" customHeight="1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</row>
    <row r="407" ht="19.5" customHeight="1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</row>
    <row r="408" ht="19.5" customHeight="1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</row>
    <row r="409" ht="19.5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</row>
    <row r="410" ht="19.5" customHeight="1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</row>
    <row r="411" ht="19.5" customHeight="1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</row>
    <row r="412" ht="19.5" customHeight="1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</row>
    <row r="413" ht="19.5" customHeight="1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</row>
    <row r="414" ht="19.5" customHeight="1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</row>
    <row r="415" ht="19.5" customHeight="1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</row>
    <row r="416" ht="19.5" customHeight="1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</row>
    <row r="417" ht="19.5" customHeight="1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</row>
    <row r="418" ht="19.5" customHeight="1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</row>
    <row r="419" ht="19.5" customHeight="1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</row>
    <row r="420" ht="19.5" customHeight="1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</row>
    <row r="421" ht="19.5" customHeight="1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</row>
    <row r="422" ht="19.5" customHeigh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</row>
    <row r="423" ht="19.5" customHeight="1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</row>
    <row r="424" ht="19.5" customHeight="1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</row>
    <row r="425" ht="19.5" customHeight="1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</row>
    <row r="426" ht="19.5" customHeight="1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</row>
    <row r="427" ht="19.5" customHeight="1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</row>
    <row r="428" ht="19.5" customHeight="1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</row>
    <row r="429" ht="19.5" customHeight="1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</row>
    <row r="430" ht="19.5" customHeight="1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</row>
    <row r="431" ht="19.5" customHeight="1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</row>
    <row r="432" ht="19.5" customHeight="1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</row>
    <row r="433" ht="19.5" customHeight="1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</row>
    <row r="434" ht="19.5" customHeight="1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</row>
    <row r="435" ht="19.5" customHeight="1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</row>
    <row r="436" ht="19.5" customHeight="1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</row>
    <row r="437" ht="19.5" customHeight="1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</row>
    <row r="438" ht="19.5" customHeight="1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</row>
    <row r="439" ht="19.5" customHeight="1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</row>
    <row r="440" ht="19.5" customHeight="1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</row>
    <row r="441" ht="19.5" customHeight="1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</row>
    <row r="442" ht="19.5" customHeight="1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</row>
    <row r="443" ht="19.5" customHeight="1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</row>
    <row r="444" ht="19.5" customHeight="1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</row>
    <row r="445" ht="19.5" customHeight="1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</row>
    <row r="446" ht="19.5" customHeight="1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</row>
    <row r="447" ht="19.5" customHeight="1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</row>
    <row r="448" ht="19.5" customHeight="1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</row>
    <row r="449" ht="19.5" customHeight="1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</row>
    <row r="450" ht="19.5" customHeight="1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</row>
    <row r="451" ht="19.5" customHeight="1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</row>
    <row r="452" ht="19.5" customHeight="1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</row>
    <row r="453" ht="19.5" customHeight="1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</row>
    <row r="454" ht="19.5" customHeight="1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</row>
    <row r="455" ht="19.5" customHeight="1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</row>
    <row r="456" ht="19.5" customHeight="1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</row>
    <row r="457" ht="19.5" customHeight="1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</row>
    <row r="458" ht="19.5" customHeight="1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</row>
    <row r="459" ht="19.5" customHeight="1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</row>
    <row r="460" ht="19.5" customHeight="1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</row>
    <row r="461" ht="19.5" customHeight="1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</row>
    <row r="462" ht="19.5" customHeight="1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</row>
    <row r="463" ht="19.5" customHeight="1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</row>
    <row r="464" ht="19.5" customHeight="1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</row>
    <row r="465" ht="19.5" customHeight="1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</row>
    <row r="466" ht="19.5" customHeight="1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</row>
    <row r="467" ht="19.5" customHeight="1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</row>
    <row r="468" ht="19.5" customHeight="1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</row>
    <row r="469" ht="19.5" customHeight="1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</row>
    <row r="470" ht="19.5" customHeight="1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</row>
    <row r="471" ht="19.5" customHeight="1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</row>
    <row r="472" ht="19.5" customHeight="1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</row>
    <row r="473" ht="19.5" customHeight="1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</row>
    <row r="474" ht="19.5" customHeight="1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</row>
    <row r="475" ht="19.5" customHeight="1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</row>
    <row r="476" ht="19.5" customHeight="1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</row>
    <row r="477" ht="19.5" customHeight="1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</row>
    <row r="478" ht="19.5" customHeight="1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</row>
    <row r="479" ht="19.5" customHeight="1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</row>
    <row r="480" ht="19.5" customHeight="1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</row>
    <row r="481" ht="19.5" customHeight="1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</row>
    <row r="482" ht="19.5" customHeight="1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</row>
    <row r="483" ht="19.5" customHeight="1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3"/>
    </row>
    <row r="484" ht="19.5" customHeight="1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</row>
    <row r="485" ht="19.5" customHeight="1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</row>
    <row r="486" ht="19.5" customHeight="1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</row>
    <row r="487" ht="19.5" customHeight="1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</row>
    <row r="488" ht="19.5" customHeight="1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</row>
    <row r="489" ht="19.5" customHeight="1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</row>
    <row r="490" ht="19.5" customHeight="1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</row>
    <row r="491" ht="19.5" customHeight="1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</row>
    <row r="492" ht="19.5" customHeight="1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</row>
    <row r="493" ht="19.5" customHeight="1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</row>
    <row r="494" ht="19.5" customHeight="1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</row>
    <row r="495" ht="19.5" customHeight="1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</row>
    <row r="496" ht="19.5" customHeight="1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</row>
    <row r="497" ht="19.5" customHeight="1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</row>
    <row r="498" ht="19.5" customHeight="1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</row>
    <row r="499" ht="19.5" customHeight="1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</row>
    <row r="500" ht="19.5" customHeight="1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</row>
    <row r="501" ht="19.5" customHeight="1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</row>
    <row r="502" ht="19.5" customHeight="1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</row>
    <row r="503" ht="19.5" customHeight="1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</row>
    <row r="504" ht="19.5" customHeight="1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</row>
    <row r="505" ht="19.5" customHeight="1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</row>
    <row r="506" ht="19.5" customHeight="1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</row>
    <row r="507" ht="19.5" customHeight="1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3"/>
    </row>
    <row r="508" ht="19.5" customHeight="1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  <c r="AC508" s="43"/>
    </row>
    <row r="509" ht="19.5" customHeight="1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  <c r="AC509" s="43"/>
    </row>
    <row r="510" ht="19.5" customHeight="1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</row>
    <row r="511" ht="19.5" customHeight="1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</row>
    <row r="512" ht="19.5" customHeight="1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</row>
    <row r="513" ht="19.5" customHeight="1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</row>
    <row r="514" ht="19.5" customHeight="1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</row>
    <row r="515" ht="19.5" customHeight="1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3"/>
    </row>
    <row r="516" ht="19.5" customHeight="1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</row>
    <row r="517" ht="19.5" customHeight="1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</row>
    <row r="518" ht="19.5" customHeight="1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</row>
    <row r="519" ht="19.5" customHeight="1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</row>
    <row r="520" ht="19.5" customHeight="1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3"/>
    </row>
    <row r="521" ht="19.5" customHeight="1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3"/>
    </row>
    <row r="522" ht="19.5" customHeight="1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</row>
    <row r="523" ht="19.5" customHeight="1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</row>
    <row r="524" ht="19.5" customHeight="1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</row>
    <row r="525" ht="19.5" customHeight="1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  <c r="AC525" s="43"/>
    </row>
    <row r="526" ht="19.5" customHeight="1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</row>
    <row r="527" ht="19.5" customHeight="1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3"/>
    </row>
    <row r="528" ht="19.5" customHeight="1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</row>
    <row r="529" ht="19.5" customHeight="1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3"/>
    </row>
    <row r="530" ht="19.5" customHeight="1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  <c r="AC530" s="43"/>
    </row>
    <row r="531" ht="19.5" customHeight="1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  <c r="AC531" s="43"/>
    </row>
    <row r="532" ht="19.5" customHeight="1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</row>
    <row r="533" ht="19.5" customHeight="1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</row>
    <row r="534" ht="19.5" customHeight="1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  <c r="AC534" s="43"/>
    </row>
    <row r="535" ht="19.5" customHeight="1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</row>
    <row r="536" ht="19.5" customHeight="1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</row>
    <row r="537" ht="19.5" customHeight="1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</row>
    <row r="538" ht="19.5" customHeight="1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</row>
    <row r="539" ht="19.5" customHeight="1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</row>
    <row r="540" ht="19.5" customHeight="1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3"/>
    </row>
    <row r="541" ht="19.5" customHeight="1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</row>
    <row r="542" ht="19.5" customHeight="1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</row>
    <row r="543" ht="19.5" customHeight="1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</row>
    <row r="544" ht="19.5" customHeight="1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</row>
    <row r="545" ht="19.5" customHeight="1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</row>
    <row r="546" ht="19.5" customHeight="1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</row>
    <row r="547" ht="19.5" customHeight="1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</row>
    <row r="548" ht="19.5" customHeight="1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</row>
    <row r="549" ht="19.5" customHeight="1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</row>
    <row r="550" ht="19.5" customHeight="1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</row>
    <row r="551" ht="19.5" customHeight="1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</row>
    <row r="552" ht="19.5" customHeight="1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</row>
    <row r="553" ht="19.5" customHeight="1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</row>
    <row r="554" ht="19.5" customHeight="1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</row>
    <row r="555" ht="19.5" customHeight="1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</row>
    <row r="556" ht="19.5" customHeight="1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</row>
    <row r="557" ht="19.5" customHeight="1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</row>
    <row r="558" ht="19.5" customHeight="1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  <c r="AC558" s="43"/>
    </row>
    <row r="559" ht="19.5" customHeight="1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</row>
    <row r="560" ht="19.5" customHeight="1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</row>
    <row r="561" ht="19.5" customHeight="1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3"/>
    </row>
    <row r="562" ht="19.5" customHeight="1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</row>
    <row r="563" ht="19.5" customHeight="1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</row>
    <row r="564" ht="19.5" customHeight="1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</row>
    <row r="565" ht="19.5" customHeight="1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</row>
    <row r="566" ht="19.5" customHeight="1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</row>
    <row r="567" ht="19.5" customHeight="1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3"/>
    </row>
    <row r="568" ht="19.5" customHeight="1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</row>
    <row r="569" ht="19.5" customHeight="1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</row>
    <row r="570" ht="19.5" customHeight="1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</row>
    <row r="571" ht="19.5" customHeight="1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  <c r="AC571" s="43"/>
    </row>
    <row r="572" ht="19.5" customHeight="1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</row>
    <row r="573" ht="19.5" customHeight="1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</row>
    <row r="574" ht="19.5" customHeight="1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</row>
    <row r="575" ht="19.5" customHeight="1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</row>
    <row r="576" ht="19.5" customHeight="1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</row>
    <row r="577" ht="19.5" customHeight="1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</row>
    <row r="578" ht="19.5" customHeight="1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</row>
    <row r="579" ht="19.5" customHeight="1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</row>
    <row r="580" ht="19.5" customHeight="1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</row>
    <row r="581" ht="19.5" customHeight="1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3"/>
    </row>
    <row r="582" ht="19.5" customHeight="1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</row>
    <row r="583" ht="19.5" customHeight="1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  <c r="AC583" s="43"/>
    </row>
    <row r="584" ht="19.5" customHeight="1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  <c r="AC584" s="43"/>
    </row>
    <row r="585" ht="19.5" customHeight="1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</row>
    <row r="586" ht="19.5" customHeight="1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</row>
    <row r="587" ht="19.5" customHeight="1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</row>
    <row r="588" ht="19.5" customHeight="1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</row>
    <row r="589" ht="19.5" customHeight="1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</row>
    <row r="590" ht="19.5" customHeight="1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3"/>
    </row>
    <row r="591" ht="19.5" customHeight="1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</row>
    <row r="592" ht="19.5" customHeight="1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</row>
    <row r="593" ht="19.5" customHeight="1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</row>
    <row r="594" ht="19.5" customHeight="1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</row>
    <row r="595" ht="19.5" customHeight="1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</row>
    <row r="596" ht="19.5" customHeight="1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</row>
    <row r="597" ht="19.5" customHeight="1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</row>
    <row r="598" ht="19.5" customHeight="1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  <c r="AC598" s="43"/>
    </row>
    <row r="599" ht="19.5" customHeight="1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</row>
    <row r="600" ht="19.5" customHeight="1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</row>
    <row r="601" ht="19.5" customHeight="1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</row>
    <row r="602" ht="19.5" customHeight="1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  <c r="AC602" s="43"/>
    </row>
    <row r="603" ht="19.5" customHeight="1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</row>
    <row r="604" ht="19.5" customHeight="1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</row>
    <row r="605" ht="19.5" customHeight="1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</row>
    <row r="606" ht="19.5" customHeight="1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</row>
    <row r="607" ht="19.5" customHeight="1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</row>
    <row r="608" ht="19.5" customHeight="1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</row>
    <row r="609" ht="19.5" customHeight="1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3"/>
    </row>
    <row r="610" ht="19.5" customHeight="1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</row>
    <row r="611" ht="19.5" customHeight="1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3"/>
    </row>
    <row r="612" ht="19.5" customHeight="1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</row>
    <row r="613" ht="19.5" customHeight="1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</row>
    <row r="614" ht="19.5" customHeight="1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</row>
    <row r="615" ht="19.5" customHeight="1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</row>
    <row r="616" ht="19.5" customHeight="1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</row>
    <row r="617" ht="19.5" customHeight="1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</row>
    <row r="618" ht="19.5" customHeight="1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</row>
    <row r="619" ht="19.5" customHeight="1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3"/>
    </row>
    <row r="620" ht="19.5" customHeight="1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</row>
    <row r="621" ht="19.5" customHeight="1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</row>
    <row r="622" ht="19.5" customHeight="1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</row>
    <row r="623" ht="19.5" customHeight="1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</row>
    <row r="624" ht="19.5" customHeight="1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</row>
    <row r="625" ht="19.5" customHeight="1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</row>
    <row r="626" ht="19.5" customHeight="1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3"/>
    </row>
    <row r="627" ht="19.5" customHeight="1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</row>
    <row r="628" ht="19.5" customHeight="1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3"/>
    </row>
    <row r="629" ht="19.5" customHeight="1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3"/>
    </row>
    <row r="630" ht="19.5" customHeight="1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  <c r="AC630" s="43"/>
    </row>
    <row r="631" ht="19.5" customHeight="1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  <c r="AC631" s="43"/>
    </row>
    <row r="632" ht="19.5" customHeight="1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  <c r="AC632" s="43"/>
    </row>
    <row r="633" ht="19.5" customHeight="1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</row>
    <row r="634" ht="19.5" customHeight="1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  <c r="AC634" s="43"/>
    </row>
    <row r="635" ht="19.5" customHeight="1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  <c r="AC635" s="43"/>
    </row>
    <row r="636" ht="19.5" customHeight="1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  <c r="AC636" s="43"/>
    </row>
    <row r="637" ht="19.5" customHeight="1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3"/>
    </row>
    <row r="638" ht="19.5" customHeight="1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  <c r="AC638" s="43"/>
    </row>
    <row r="639" ht="19.5" customHeight="1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  <c r="AC639" s="43"/>
    </row>
    <row r="640" ht="19.5" customHeight="1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  <c r="AC640" s="43"/>
    </row>
    <row r="641" ht="19.5" customHeight="1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</row>
    <row r="642" ht="19.5" customHeight="1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  <c r="AC642" s="43"/>
    </row>
    <row r="643" ht="19.5" customHeight="1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  <c r="AC643" s="43"/>
    </row>
    <row r="644" ht="19.5" customHeight="1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  <c r="AC644" s="43"/>
    </row>
    <row r="645" ht="19.5" customHeight="1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  <c r="AC645" s="43"/>
    </row>
    <row r="646" ht="19.5" customHeight="1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  <c r="AC646" s="43"/>
    </row>
    <row r="647" ht="19.5" customHeight="1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  <c r="AC647" s="43"/>
    </row>
    <row r="648" ht="19.5" customHeight="1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  <c r="AC648" s="43"/>
    </row>
    <row r="649" ht="19.5" customHeight="1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  <c r="AC649" s="43"/>
    </row>
    <row r="650" ht="19.5" customHeight="1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  <c r="AC650" s="43"/>
    </row>
    <row r="651" ht="19.5" customHeight="1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  <c r="AC651" s="43"/>
    </row>
    <row r="652" ht="19.5" customHeight="1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  <c r="AC652" s="43"/>
    </row>
    <row r="653" ht="19.5" customHeight="1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  <c r="AC653" s="43"/>
    </row>
    <row r="654" ht="19.5" customHeight="1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  <c r="AC654" s="43"/>
    </row>
    <row r="655" ht="19.5" customHeight="1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  <c r="AC655" s="43"/>
    </row>
    <row r="656" ht="19.5" customHeight="1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  <c r="AC656" s="43"/>
    </row>
    <row r="657" ht="19.5" customHeight="1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  <c r="AC657" s="43"/>
    </row>
    <row r="658" ht="19.5" customHeight="1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  <c r="AC658" s="43"/>
    </row>
    <row r="659" ht="19.5" customHeight="1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  <c r="AC659" s="43"/>
    </row>
    <row r="660" ht="19.5" customHeight="1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  <c r="AC660" s="43"/>
    </row>
    <row r="661" ht="19.5" customHeight="1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  <c r="AC661" s="43"/>
    </row>
    <row r="662" ht="19.5" customHeight="1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  <c r="AC662" s="43"/>
    </row>
    <row r="663" ht="19.5" customHeight="1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  <c r="AC663" s="43"/>
    </row>
    <row r="664" ht="19.5" customHeight="1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  <c r="AC664" s="43"/>
    </row>
    <row r="665" ht="19.5" customHeight="1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  <c r="AC665" s="43"/>
    </row>
    <row r="666" ht="19.5" customHeight="1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  <c r="AC666" s="43"/>
    </row>
    <row r="667" ht="19.5" customHeight="1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  <c r="AC667" s="43"/>
    </row>
    <row r="668" ht="19.5" customHeight="1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  <c r="AC668" s="43"/>
    </row>
    <row r="669" ht="19.5" customHeight="1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  <c r="AC669" s="43"/>
    </row>
    <row r="670" ht="19.5" customHeight="1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  <c r="AC670" s="43"/>
    </row>
    <row r="671" ht="19.5" customHeight="1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  <c r="AC671" s="43"/>
    </row>
    <row r="672" ht="19.5" customHeight="1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  <c r="AC672" s="43"/>
    </row>
    <row r="673" ht="19.5" customHeight="1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  <c r="AC673" s="43"/>
    </row>
    <row r="674" ht="19.5" customHeight="1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  <c r="AC674" s="43"/>
    </row>
    <row r="675" ht="19.5" customHeight="1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  <c r="AC675" s="43"/>
    </row>
    <row r="676" ht="19.5" customHeight="1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  <c r="AC676" s="43"/>
    </row>
    <row r="677" ht="19.5" customHeight="1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  <c r="AC677" s="43"/>
    </row>
    <row r="678" ht="19.5" customHeight="1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  <c r="AC678" s="43"/>
    </row>
    <row r="679" ht="19.5" customHeight="1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  <c r="AC679" s="43"/>
    </row>
    <row r="680" ht="19.5" customHeight="1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  <c r="AC680" s="43"/>
    </row>
    <row r="681" ht="19.5" customHeight="1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  <c r="AC681" s="43"/>
    </row>
    <row r="682" ht="19.5" customHeight="1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  <c r="AC682" s="43"/>
    </row>
    <row r="683" ht="19.5" customHeight="1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  <c r="AC683" s="43"/>
    </row>
    <row r="684" ht="19.5" customHeight="1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  <c r="AC684" s="43"/>
    </row>
    <row r="685" ht="19.5" customHeight="1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  <c r="AC685" s="43"/>
    </row>
    <row r="686" ht="19.5" customHeight="1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  <c r="AC686" s="43"/>
    </row>
    <row r="687" ht="19.5" customHeight="1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  <c r="AC687" s="43"/>
    </row>
    <row r="688" ht="19.5" customHeight="1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  <c r="AC688" s="43"/>
    </row>
    <row r="689" ht="19.5" customHeight="1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  <c r="AC689" s="43"/>
    </row>
    <row r="690" ht="19.5" customHeight="1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  <c r="AC690" s="43"/>
    </row>
    <row r="691" ht="19.5" customHeight="1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  <c r="AC691" s="43"/>
    </row>
    <row r="692" ht="19.5" customHeight="1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  <c r="AC692" s="43"/>
    </row>
    <row r="693" ht="19.5" customHeight="1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  <c r="AC693" s="43"/>
    </row>
    <row r="694" ht="19.5" customHeight="1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  <c r="AC694" s="43"/>
    </row>
    <row r="695" ht="19.5" customHeight="1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  <c r="AC695" s="43"/>
    </row>
    <row r="696" ht="19.5" customHeight="1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  <c r="AC696" s="43"/>
    </row>
    <row r="697" ht="19.5" customHeight="1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  <c r="AC697" s="43"/>
    </row>
    <row r="698" ht="19.5" customHeight="1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  <c r="AC698" s="43"/>
    </row>
    <row r="699" ht="19.5" customHeight="1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  <c r="AC699" s="43"/>
    </row>
    <row r="700" ht="19.5" customHeight="1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  <c r="AC700" s="43"/>
    </row>
    <row r="701" ht="19.5" customHeight="1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  <c r="AC701" s="43"/>
    </row>
    <row r="702" ht="19.5" customHeight="1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  <c r="AC702" s="43"/>
    </row>
    <row r="703" ht="19.5" customHeight="1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  <c r="AC703" s="43"/>
    </row>
    <row r="704" ht="19.5" customHeight="1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  <c r="AC704" s="43"/>
    </row>
    <row r="705" ht="19.5" customHeight="1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  <c r="AC705" s="43"/>
    </row>
    <row r="706" ht="19.5" customHeight="1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  <c r="AC706" s="43"/>
    </row>
    <row r="707" ht="19.5" customHeight="1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  <c r="AC707" s="43"/>
    </row>
    <row r="708" ht="19.5" customHeight="1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  <c r="AC708" s="43"/>
    </row>
    <row r="709" ht="19.5" customHeight="1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  <c r="AC709" s="43"/>
    </row>
    <row r="710" ht="19.5" customHeight="1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  <c r="AC710" s="43"/>
    </row>
    <row r="711" ht="19.5" customHeight="1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  <c r="AC711" s="43"/>
    </row>
    <row r="712" ht="19.5" customHeight="1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  <c r="AC712" s="43"/>
    </row>
    <row r="713" ht="19.5" customHeight="1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  <c r="AC713" s="43"/>
    </row>
    <row r="714" ht="19.5" customHeight="1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  <c r="AC714" s="43"/>
    </row>
    <row r="715" ht="19.5" customHeight="1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  <c r="AC715" s="43"/>
    </row>
    <row r="716" ht="19.5" customHeight="1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  <c r="AC716" s="43"/>
    </row>
    <row r="717" ht="19.5" customHeight="1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  <c r="AC717" s="43"/>
    </row>
    <row r="718" ht="19.5" customHeight="1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  <c r="AC718" s="43"/>
    </row>
    <row r="719" ht="19.5" customHeight="1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  <c r="AC719" s="43"/>
    </row>
    <row r="720" ht="19.5" customHeight="1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  <c r="AC720" s="43"/>
    </row>
    <row r="721" ht="19.5" customHeight="1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  <c r="AC721" s="43"/>
    </row>
    <row r="722" ht="19.5" customHeight="1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</row>
    <row r="723" ht="19.5" customHeight="1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  <c r="AC723" s="43"/>
    </row>
    <row r="724" ht="19.5" customHeight="1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  <c r="AC724" s="43"/>
    </row>
    <row r="725" ht="19.5" customHeight="1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  <c r="AC725" s="43"/>
    </row>
    <row r="726" ht="19.5" customHeight="1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  <c r="AC726" s="43"/>
    </row>
    <row r="727" ht="19.5" customHeight="1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</row>
    <row r="728" ht="19.5" customHeight="1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  <c r="AC728" s="43"/>
    </row>
    <row r="729" ht="19.5" customHeight="1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  <c r="AC729" s="43"/>
    </row>
    <row r="730" ht="19.5" customHeight="1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3"/>
    </row>
    <row r="731" ht="19.5" customHeight="1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  <c r="AC731" s="43"/>
    </row>
    <row r="732" ht="19.5" customHeight="1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  <c r="AC732" s="43"/>
    </row>
    <row r="733" ht="19.5" customHeight="1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3"/>
    </row>
    <row r="734" ht="19.5" customHeight="1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  <c r="AC734" s="43"/>
    </row>
    <row r="735" ht="19.5" customHeight="1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  <c r="AC735" s="43"/>
    </row>
    <row r="736" ht="19.5" customHeight="1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  <c r="AC736" s="43"/>
    </row>
    <row r="737" ht="19.5" customHeight="1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  <c r="AC737" s="43"/>
    </row>
    <row r="738" ht="19.5" customHeight="1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  <c r="AC738" s="43"/>
    </row>
    <row r="739" ht="19.5" customHeight="1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  <c r="AC739" s="43"/>
    </row>
    <row r="740" ht="19.5" customHeight="1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  <c r="AC740" s="43"/>
    </row>
    <row r="741" ht="19.5" customHeight="1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3"/>
    </row>
    <row r="742" ht="19.5" customHeight="1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  <c r="AC742" s="43"/>
    </row>
    <row r="743" ht="19.5" customHeight="1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  <c r="AC743" s="43"/>
    </row>
    <row r="744" ht="19.5" customHeight="1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  <c r="AC744" s="43"/>
    </row>
    <row r="745" ht="19.5" customHeight="1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  <c r="AC745" s="43"/>
    </row>
    <row r="746" ht="19.5" customHeight="1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  <c r="AC746" s="43"/>
    </row>
    <row r="747" ht="19.5" customHeight="1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3"/>
    </row>
    <row r="748" ht="19.5" customHeight="1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  <c r="AC748" s="43"/>
    </row>
    <row r="749" ht="19.5" customHeight="1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  <c r="AC749" s="43"/>
    </row>
    <row r="750" ht="19.5" customHeight="1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  <c r="AC750" s="43"/>
    </row>
    <row r="751" ht="19.5" customHeight="1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  <c r="AC751" s="43"/>
    </row>
    <row r="752" ht="19.5" customHeight="1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  <c r="AC752" s="43"/>
    </row>
    <row r="753" ht="19.5" customHeight="1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  <c r="AC753" s="43"/>
    </row>
    <row r="754" ht="19.5" customHeight="1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  <c r="AC754" s="43"/>
    </row>
    <row r="755" ht="19.5" customHeight="1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  <c r="AC755" s="43"/>
    </row>
    <row r="756" ht="19.5" customHeight="1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  <c r="AC756" s="43"/>
    </row>
    <row r="757" ht="19.5" customHeight="1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  <c r="AC757" s="43"/>
    </row>
    <row r="758" ht="19.5" customHeight="1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  <c r="AC758" s="43"/>
    </row>
    <row r="759" ht="19.5" customHeight="1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  <c r="AC759" s="43"/>
    </row>
    <row r="760" ht="19.5" customHeight="1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  <c r="AC760" s="43"/>
    </row>
    <row r="761" ht="19.5" customHeight="1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  <c r="AC761" s="43"/>
    </row>
    <row r="762" ht="19.5" customHeight="1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  <c r="AC762" s="43"/>
    </row>
    <row r="763" ht="19.5" customHeight="1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  <c r="AC763" s="43"/>
    </row>
    <row r="764" ht="19.5" customHeight="1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  <c r="AC764" s="43"/>
    </row>
    <row r="765" ht="19.5" customHeight="1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  <c r="AC765" s="43"/>
    </row>
    <row r="766" ht="19.5" customHeight="1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  <c r="AC766" s="43"/>
    </row>
    <row r="767" ht="19.5" customHeight="1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  <c r="AC767" s="43"/>
    </row>
    <row r="768" ht="19.5" customHeight="1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  <c r="AC768" s="43"/>
    </row>
    <row r="769" ht="19.5" customHeight="1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  <c r="AC769" s="43"/>
    </row>
    <row r="770" ht="19.5" customHeight="1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  <c r="AC770" s="43"/>
    </row>
    <row r="771" ht="19.5" customHeight="1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  <c r="AC771" s="43"/>
    </row>
    <row r="772" ht="19.5" customHeight="1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  <c r="AC772" s="43"/>
    </row>
    <row r="773" ht="19.5" customHeight="1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  <c r="AC773" s="43"/>
    </row>
    <row r="774" ht="19.5" customHeight="1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  <c r="AC774" s="43"/>
    </row>
    <row r="775" ht="19.5" customHeight="1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  <c r="AC775" s="43"/>
    </row>
    <row r="776" ht="19.5" customHeight="1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  <c r="AC776" s="43"/>
    </row>
    <row r="777" ht="19.5" customHeight="1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  <c r="AC777" s="43"/>
    </row>
    <row r="778" ht="19.5" customHeight="1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  <c r="AC778" s="43"/>
    </row>
    <row r="779" ht="19.5" customHeight="1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  <c r="AC779" s="43"/>
    </row>
    <row r="780" ht="19.5" customHeight="1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  <c r="AC780" s="43"/>
    </row>
    <row r="781" ht="19.5" customHeight="1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  <c r="AC781" s="43"/>
    </row>
    <row r="782" ht="19.5" customHeight="1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  <c r="AC782" s="43"/>
    </row>
    <row r="783" ht="19.5" customHeight="1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  <c r="AC783" s="43"/>
    </row>
    <row r="784" ht="19.5" customHeight="1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</row>
    <row r="785" ht="19.5" customHeight="1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  <c r="AC785" s="43"/>
    </row>
    <row r="786" ht="19.5" customHeight="1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  <c r="AC786" s="43"/>
    </row>
    <row r="787" ht="19.5" customHeight="1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  <c r="AC787" s="43"/>
    </row>
    <row r="788" ht="19.5" customHeight="1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  <c r="AC788" s="43"/>
    </row>
    <row r="789" ht="19.5" customHeight="1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3"/>
    </row>
    <row r="790" ht="19.5" customHeight="1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  <c r="AC790" s="43"/>
    </row>
    <row r="791" ht="19.5" customHeight="1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  <c r="AC791" s="43"/>
    </row>
    <row r="792" ht="19.5" customHeight="1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  <c r="AC792" s="43"/>
    </row>
    <row r="793" ht="19.5" customHeight="1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  <c r="AC793" s="43"/>
    </row>
    <row r="794" ht="19.5" customHeight="1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  <c r="AC794" s="43"/>
    </row>
    <row r="795" ht="19.5" customHeight="1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  <c r="AC795" s="43"/>
    </row>
    <row r="796" ht="19.5" customHeight="1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3"/>
    </row>
    <row r="797" ht="19.5" customHeight="1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  <c r="AC797" s="43"/>
    </row>
    <row r="798" ht="19.5" customHeight="1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  <c r="AC798" s="43"/>
    </row>
    <row r="799" ht="19.5" customHeight="1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  <c r="AC799" s="43"/>
    </row>
    <row r="800" ht="19.5" customHeight="1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  <c r="AC800" s="43"/>
    </row>
    <row r="801" ht="19.5" customHeight="1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  <c r="AC801" s="43"/>
    </row>
    <row r="802" ht="19.5" customHeight="1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  <c r="AC802" s="43"/>
    </row>
    <row r="803" ht="19.5" customHeight="1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  <c r="AC803" s="43"/>
    </row>
    <row r="804" ht="19.5" customHeight="1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  <c r="AC804" s="43"/>
    </row>
    <row r="805" ht="19.5" customHeight="1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</row>
    <row r="806" ht="19.5" customHeight="1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</row>
    <row r="807" ht="19.5" customHeight="1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</row>
    <row r="808" ht="19.5" customHeight="1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  <c r="AC808" s="43"/>
    </row>
    <row r="809" ht="19.5" customHeight="1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  <c r="AC809" s="43"/>
    </row>
    <row r="810" ht="19.5" customHeight="1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  <c r="AC810" s="43"/>
    </row>
    <row r="811" ht="19.5" customHeight="1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  <c r="AC811" s="43"/>
    </row>
    <row r="812" ht="19.5" customHeight="1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  <c r="AC812" s="43"/>
    </row>
    <row r="813" ht="19.5" customHeight="1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  <c r="AC813" s="43"/>
    </row>
    <row r="814" ht="19.5" customHeight="1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  <c r="AC814" s="43"/>
    </row>
    <row r="815" ht="19.5" customHeight="1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  <c r="AC815" s="43"/>
    </row>
    <row r="816" ht="19.5" customHeight="1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  <c r="AC816" s="43"/>
    </row>
    <row r="817" ht="19.5" customHeight="1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  <c r="AC817" s="43"/>
    </row>
    <row r="818" ht="19.5" customHeight="1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  <c r="AC818" s="43"/>
    </row>
    <row r="819" ht="19.5" customHeight="1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  <c r="AC819" s="43"/>
    </row>
    <row r="820" ht="19.5" customHeight="1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  <c r="AC820" s="43"/>
    </row>
    <row r="821" ht="19.5" customHeight="1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  <c r="AC821" s="43"/>
    </row>
    <row r="822" ht="19.5" customHeight="1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  <c r="AC822" s="43"/>
    </row>
    <row r="823" ht="19.5" customHeight="1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  <c r="AC823" s="43"/>
    </row>
    <row r="824" ht="19.5" customHeight="1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  <c r="AC824" s="43"/>
    </row>
    <row r="825" ht="19.5" customHeight="1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  <c r="AC825" s="43"/>
    </row>
    <row r="826" ht="19.5" customHeight="1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  <c r="AC826" s="43"/>
    </row>
    <row r="827" ht="19.5" customHeight="1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  <c r="AC827" s="43"/>
    </row>
    <row r="828" ht="19.5" customHeight="1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</row>
    <row r="829" ht="19.5" customHeight="1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</row>
    <row r="830" ht="19.5" customHeight="1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</row>
    <row r="831" ht="19.5" customHeight="1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</row>
    <row r="832" ht="19.5" customHeight="1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</row>
    <row r="833" ht="19.5" customHeight="1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</row>
    <row r="834" ht="19.5" customHeight="1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</row>
    <row r="835" ht="19.5" customHeight="1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</row>
    <row r="836" ht="19.5" customHeight="1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</row>
    <row r="837" ht="19.5" customHeight="1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</row>
    <row r="838" ht="19.5" customHeight="1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</row>
    <row r="839" ht="19.5" customHeight="1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</row>
    <row r="840" ht="19.5" customHeight="1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</row>
    <row r="841" ht="19.5" customHeight="1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</row>
    <row r="842" ht="19.5" customHeight="1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</row>
    <row r="843" ht="19.5" customHeight="1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</row>
    <row r="844" ht="19.5" customHeight="1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</row>
    <row r="845" ht="19.5" customHeight="1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</row>
    <row r="846" ht="19.5" customHeight="1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</row>
    <row r="847" ht="19.5" customHeight="1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</row>
    <row r="848" ht="19.5" customHeight="1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</row>
    <row r="849" ht="19.5" customHeight="1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</row>
    <row r="850" ht="19.5" customHeight="1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</row>
    <row r="851" ht="19.5" customHeight="1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</row>
    <row r="852" ht="19.5" customHeight="1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</row>
    <row r="853" ht="19.5" customHeight="1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</row>
    <row r="854" ht="19.5" customHeight="1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</row>
    <row r="855" ht="19.5" customHeight="1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</row>
    <row r="856" ht="19.5" customHeight="1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3"/>
    </row>
    <row r="857" ht="19.5" customHeight="1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  <c r="AC857" s="43"/>
    </row>
    <row r="858" ht="19.5" customHeight="1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  <c r="AC858" s="43"/>
    </row>
    <row r="859" ht="19.5" customHeight="1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  <c r="AC859" s="43"/>
    </row>
    <row r="860" ht="19.5" customHeight="1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</row>
    <row r="861" ht="19.5" customHeight="1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  <c r="AC861" s="43"/>
    </row>
    <row r="862" ht="19.5" customHeight="1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3"/>
    </row>
    <row r="863" ht="19.5" customHeight="1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3"/>
    </row>
    <row r="864" ht="19.5" customHeight="1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3"/>
    </row>
    <row r="865" ht="19.5" customHeight="1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  <c r="AC865" s="43"/>
    </row>
    <row r="866" ht="19.5" customHeight="1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  <c r="AC866" s="43"/>
    </row>
    <row r="867" ht="19.5" customHeight="1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3"/>
    </row>
    <row r="868" ht="19.5" customHeight="1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  <c r="AC868" s="43"/>
    </row>
    <row r="869" ht="19.5" customHeight="1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  <c r="AC869" s="43"/>
    </row>
    <row r="870" ht="19.5" customHeight="1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  <c r="AC870" s="43"/>
    </row>
    <row r="871" ht="19.5" customHeight="1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  <c r="AC871" s="43"/>
    </row>
    <row r="872" ht="19.5" customHeight="1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  <c r="AC872" s="43"/>
    </row>
    <row r="873" ht="19.5" customHeight="1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  <c r="AC873" s="43"/>
    </row>
    <row r="874" ht="19.5" customHeight="1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  <c r="AC874" s="43"/>
    </row>
    <row r="875" ht="19.5" customHeight="1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  <c r="AC875" s="43"/>
    </row>
    <row r="876" ht="19.5" customHeight="1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  <c r="AC876" s="43"/>
    </row>
    <row r="877" ht="19.5" customHeight="1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  <c r="AC877" s="43"/>
    </row>
    <row r="878" ht="19.5" customHeight="1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  <c r="AC878" s="43"/>
    </row>
    <row r="879" ht="19.5" customHeight="1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  <c r="AC879" s="43"/>
    </row>
    <row r="880" ht="19.5" customHeight="1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  <c r="AC880" s="43"/>
    </row>
    <row r="881" ht="19.5" customHeight="1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  <c r="AC881" s="43"/>
    </row>
    <row r="882" ht="19.5" customHeight="1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  <c r="AC882" s="43"/>
    </row>
    <row r="883" ht="19.5" customHeight="1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  <c r="AC883" s="43"/>
    </row>
    <row r="884" ht="19.5" customHeight="1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  <c r="AC884" s="43"/>
    </row>
    <row r="885" ht="19.5" customHeight="1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  <c r="AC885" s="43"/>
    </row>
    <row r="886" ht="19.5" customHeight="1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  <c r="AC886" s="43"/>
    </row>
    <row r="887" ht="19.5" customHeight="1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  <c r="AC887" s="43"/>
    </row>
    <row r="888" ht="19.5" customHeight="1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  <c r="AC888" s="43"/>
    </row>
    <row r="889" ht="19.5" customHeight="1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  <c r="AC889" s="43"/>
    </row>
    <row r="890" ht="19.5" customHeight="1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  <c r="AC890" s="43"/>
    </row>
    <row r="891" ht="19.5" customHeight="1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  <c r="AC891" s="43"/>
    </row>
    <row r="892" ht="19.5" customHeight="1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  <c r="AC892" s="43"/>
    </row>
    <row r="893" ht="19.5" customHeight="1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  <c r="AC893" s="43"/>
    </row>
    <row r="894" ht="19.5" customHeight="1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  <c r="AC894" s="43"/>
    </row>
    <row r="895" ht="19.5" customHeight="1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  <c r="AC895" s="43"/>
    </row>
    <row r="896" ht="19.5" customHeight="1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  <c r="AC896" s="43"/>
    </row>
    <row r="897" ht="19.5" customHeight="1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  <c r="AC897" s="43"/>
    </row>
    <row r="898" ht="19.5" customHeight="1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  <c r="AC898" s="43"/>
    </row>
    <row r="899" ht="19.5" customHeight="1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  <c r="AC899" s="43"/>
    </row>
    <row r="900" ht="19.5" customHeight="1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  <c r="AC900" s="43"/>
    </row>
    <row r="901" ht="19.5" customHeight="1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  <c r="AC901" s="43"/>
    </row>
    <row r="902" ht="19.5" customHeight="1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  <c r="AC902" s="43"/>
    </row>
    <row r="903" ht="19.5" customHeight="1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  <c r="AC903" s="43"/>
    </row>
    <row r="904" ht="19.5" customHeight="1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  <c r="AC904" s="43"/>
    </row>
    <row r="905" ht="19.5" customHeight="1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  <c r="AC905" s="43"/>
    </row>
    <row r="906" ht="19.5" customHeight="1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  <c r="AC906" s="43"/>
    </row>
    <row r="907" ht="19.5" customHeight="1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  <c r="AC907" s="43"/>
    </row>
    <row r="908" ht="19.5" customHeight="1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  <c r="AC908" s="43"/>
    </row>
    <row r="909" ht="19.5" customHeight="1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  <c r="AC909" s="43"/>
    </row>
    <row r="910" ht="19.5" customHeight="1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  <c r="AC910" s="43"/>
    </row>
    <row r="911" ht="19.5" customHeight="1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  <c r="AC911" s="43"/>
    </row>
    <row r="912" ht="19.5" customHeight="1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  <c r="AC912" s="43"/>
    </row>
    <row r="913" ht="19.5" customHeight="1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3"/>
    </row>
    <row r="914" ht="19.5" customHeight="1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  <c r="AC914" s="43"/>
    </row>
    <row r="915" ht="19.5" customHeight="1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  <c r="AC915" s="43"/>
    </row>
    <row r="916" ht="19.5" customHeight="1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  <c r="AC916" s="43"/>
    </row>
    <row r="917" ht="19.5" customHeight="1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  <c r="AC917" s="43"/>
    </row>
    <row r="918" ht="19.5" customHeight="1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  <c r="AC918" s="43"/>
    </row>
    <row r="919" ht="19.5" customHeight="1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  <c r="AC919" s="43"/>
    </row>
    <row r="920" ht="19.5" customHeight="1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  <c r="AC920" s="43"/>
    </row>
    <row r="921" ht="19.5" customHeight="1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  <c r="AC921" s="43"/>
    </row>
    <row r="922" ht="19.5" customHeight="1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  <c r="AC922" s="43"/>
    </row>
    <row r="923" ht="19.5" customHeight="1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  <c r="AC923" s="43"/>
    </row>
    <row r="924" ht="19.5" customHeight="1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  <c r="AC924" s="43"/>
    </row>
    <row r="925" ht="19.5" customHeight="1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  <c r="AC925" s="43"/>
    </row>
    <row r="926" ht="19.5" customHeight="1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  <c r="AC926" s="43"/>
    </row>
    <row r="927" ht="19.5" customHeight="1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  <c r="AC927" s="43"/>
    </row>
    <row r="928" ht="19.5" customHeight="1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  <c r="AC928" s="43"/>
    </row>
    <row r="929" ht="19.5" customHeight="1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  <c r="AC929" s="43"/>
    </row>
    <row r="930" ht="19.5" customHeight="1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  <c r="AC930" s="43"/>
    </row>
    <row r="931" ht="19.5" customHeight="1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  <c r="AC931" s="43"/>
    </row>
    <row r="932" ht="19.5" customHeight="1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  <c r="AC932" s="43"/>
    </row>
    <row r="933" ht="19.5" customHeight="1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  <c r="AC933" s="43"/>
    </row>
    <row r="934" ht="19.5" customHeight="1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  <c r="AC934" s="43"/>
    </row>
    <row r="935" ht="19.5" customHeight="1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  <c r="AC935" s="43"/>
    </row>
    <row r="936" ht="19.5" customHeight="1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  <c r="AC936" s="43"/>
    </row>
    <row r="937" ht="19.5" customHeight="1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  <c r="AC937" s="43"/>
    </row>
    <row r="938" ht="19.5" customHeight="1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  <c r="AC938" s="43"/>
    </row>
    <row r="939" ht="19.5" customHeight="1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  <c r="AC939" s="43"/>
    </row>
    <row r="940" ht="19.5" customHeight="1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  <c r="AC940" s="43"/>
    </row>
    <row r="941" ht="19.5" customHeight="1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  <c r="AC941" s="43"/>
    </row>
    <row r="942" ht="19.5" customHeight="1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  <c r="AC942" s="43"/>
    </row>
    <row r="943" ht="19.5" customHeight="1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  <c r="AC943" s="43"/>
    </row>
    <row r="944" ht="19.5" customHeight="1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/>
      <c r="AB944" s="43"/>
      <c r="AC944" s="43"/>
    </row>
    <row r="945" ht="19.5" customHeight="1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/>
      <c r="AB945" s="43"/>
      <c r="AC945" s="43"/>
    </row>
    <row r="946" ht="19.5" customHeight="1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/>
      <c r="AB946" s="43"/>
      <c r="AC946" s="43"/>
    </row>
    <row r="947" ht="19.5" customHeight="1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  <c r="AC947" s="43"/>
    </row>
    <row r="948" ht="19.5" customHeight="1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/>
      <c r="AB948" s="43"/>
      <c r="AC948" s="43"/>
    </row>
    <row r="949" ht="19.5" customHeight="1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  <c r="AC949" s="43"/>
    </row>
    <row r="950" ht="19.5" customHeight="1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  <c r="AA950" s="43"/>
      <c r="AB950" s="43"/>
      <c r="AC950" s="43"/>
    </row>
    <row r="951" ht="19.5" customHeight="1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  <c r="AC951" s="43"/>
    </row>
    <row r="952" ht="19.5" customHeight="1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/>
      <c r="AB952" s="43"/>
      <c r="AC952" s="43"/>
    </row>
    <row r="953" ht="19.5" customHeight="1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/>
      <c r="AB953" s="43"/>
      <c r="AC953" s="43"/>
    </row>
    <row r="954" ht="19.5" customHeight="1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/>
      <c r="AB954" s="43"/>
      <c r="AC954" s="43"/>
    </row>
    <row r="955" ht="19.5" customHeight="1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/>
      <c r="AB955" s="43"/>
      <c r="AC955" s="43"/>
    </row>
    <row r="956" ht="19.5" customHeight="1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/>
      <c r="AB956" s="43"/>
      <c r="AC956" s="43"/>
    </row>
    <row r="957" ht="19.5" customHeight="1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  <c r="AC957" s="43"/>
    </row>
    <row r="958" ht="19.5" customHeight="1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/>
      <c r="AB958" s="43"/>
      <c r="AC958" s="43"/>
    </row>
    <row r="959" ht="19.5" customHeight="1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/>
      <c r="AB959" s="43"/>
      <c r="AC959" s="43"/>
    </row>
    <row r="960" ht="19.5" customHeight="1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/>
      <c r="AB960" s="43"/>
      <c r="AC960" s="43"/>
    </row>
    <row r="961" ht="19.5" customHeight="1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/>
      <c r="AB961" s="43"/>
      <c r="AC961" s="43"/>
    </row>
    <row r="962" ht="19.5" customHeight="1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/>
      <c r="AB962" s="43"/>
      <c r="AC962" s="43"/>
    </row>
    <row r="963" ht="19.5" customHeight="1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  <c r="AA963" s="43"/>
      <c r="AB963" s="43"/>
      <c r="AC963" s="43"/>
    </row>
    <row r="964" ht="19.5" customHeight="1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  <c r="AC964" s="43"/>
    </row>
    <row r="965" ht="19.5" customHeight="1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  <c r="AA965" s="43"/>
      <c r="AB965" s="43"/>
      <c r="AC965" s="43"/>
    </row>
    <row r="966" ht="19.5" customHeight="1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  <c r="AC966" s="43"/>
    </row>
    <row r="967" ht="19.5" customHeight="1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/>
      <c r="AB967" s="43"/>
      <c r="AC967" s="43"/>
    </row>
    <row r="968" ht="19.5" customHeight="1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  <c r="AA968" s="43"/>
      <c r="AB968" s="43"/>
      <c r="AC968" s="43"/>
    </row>
    <row r="969" ht="19.5" customHeight="1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  <c r="AA969" s="43"/>
      <c r="AB969" s="43"/>
      <c r="AC969" s="43"/>
    </row>
    <row r="970" ht="19.5" customHeight="1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  <c r="AA970" s="43"/>
      <c r="AB970" s="43"/>
      <c r="AC970" s="43"/>
    </row>
    <row r="971" ht="19.5" customHeight="1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/>
      <c r="AB971" s="43"/>
      <c r="AC971" s="43"/>
    </row>
    <row r="972" ht="19.5" customHeight="1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/>
      <c r="AB972" s="43"/>
      <c r="AC972" s="43"/>
    </row>
    <row r="973" ht="19.5" customHeight="1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  <c r="AA973" s="43"/>
      <c r="AB973" s="43"/>
      <c r="AC973" s="43"/>
    </row>
    <row r="974" ht="19.5" customHeight="1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  <c r="AC974" s="43"/>
    </row>
    <row r="975" ht="19.5" customHeight="1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  <c r="AA975" s="43"/>
      <c r="AB975" s="43"/>
      <c r="AC975" s="43"/>
    </row>
    <row r="976" ht="19.5" customHeight="1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  <c r="AA976" s="43"/>
      <c r="AB976" s="43"/>
      <c r="AC976" s="43"/>
    </row>
    <row r="977" ht="19.5" customHeight="1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  <c r="AA977" s="43"/>
      <c r="AB977" s="43"/>
      <c r="AC977" s="43"/>
    </row>
    <row r="978" ht="19.5" customHeight="1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  <c r="AC978" s="43"/>
    </row>
    <row r="979" ht="19.5" customHeight="1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/>
      <c r="AB979" s="43"/>
      <c r="AC979" s="43"/>
    </row>
    <row r="980" ht="19.5" customHeight="1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  <c r="AA980" s="43"/>
      <c r="AB980" s="43"/>
      <c r="AC980" s="43"/>
    </row>
    <row r="981" ht="19.5" customHeight="1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  <c r="AC981" s="43"/>
    </row>
    <row r="982" ht="19.5" customHeight="1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/>
      <c r="AB982" s="43"/>
      <c r="AC982" s="43"/>
    </row>
    <row r="983" ht="19.5" customHeight="1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  <c r="AC983" s="43"/>
    </row>
    <row r="984" ht="19.5" customHeight="1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  <c r="AC984" s="43"/>
    </row>
    <row r="985" ht="19.5" customHeight="1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/>
      <c r="AB985" s="43"/>
      <c r="AC985" s="43"/>
    </row>
    <row r="986" ht="19.5" customHeight="1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  <c r="AA986" s="43"/>
      <c r="AB986" s="43"/>
      <c r="AC986" s="43"/>
    </row>
    <row r="987" ht="19.5" customHeight="1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  <c r="AA987" s="43"/>
      <c r="AB987" s="43"/>
      <c r="AC987" s="43"/>
    </row>
    <row r="988" ht="19.5" customHeight="1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  <c r="AA988" s="43"/>
      <c r="AB988" s="43"/>
      <c r="AC988" s="43"/>
    </row>
    <row r="989" ht="19.5" customHeight="1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  <c r="AA989" s="43"/>
      <c r="AB989" s="43"/>
      <c r="AC989" s="43"/>
    </row>
    <row r="990" ht="19.5" customHeight="1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  <c r="AA990" s="43"/>
      <c r="AB990" s="43"/>
      <c r="AC990" s="43"/>
    </row>
    <row r="991" ht="19.5" customHeight="1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  <c r="AA991" s="43"/>
      <c r="AB991" s="43"/>
      <c r="AC991" s="43"/>
    </row>
    <row r="992" ht="19.5" customHeight="1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  <c r="AA992" s="43"/>
      <c r="AB992" s="43"/>
      <c r="AC992" s="43"/>
    </row>
    <row r="993" ht="19.5" customHeight="1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  <c r="AA993" s="43"/>
      <c r="AB993" s="43"/>
      <c r="AC993" s="43"/>
    </row>
    <row r="994" ht="19.5" customHeight="1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  <c r="AA994" s="43"/>
      <c r="AB994" s="43"/>
      <c r="AC994" s="43"/>
    </row>
    <row r="995" ht="19.5" customHeight="1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  <c r="AA995" s="43"/>
      <c r="AB995" s="43"/>
      <c r="AC995" s="43"/>
    </row>
    <row r="996" ht="19.5" customHeight="1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  <c r="AA996" s="43"/>
      <c r="AB996" s="43"/>
      <c r="AC996" s="43"/>
    </row>
    <row r="997" ht="19.5" customHeight="1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  <c r="AA997" s="43"/>
      <c r="AB997" s="43"/>
      <c r="AC997" s="43"/>
    </row>
  </sheetData>
  <mergeCells count="18">
    <mergeCell ref="V1:AB2"/>
    <mergeCell ref="A2:K2"/>
    <mergeCell ref="B3:J3"/>
    <mergeCell ref="A10:K10"/>
    <mergeCell ref="B11:J11"/>
    <mergeCell ref="A18:K18"/>
    <mergeCell ref="B19:J19"/>
    <mergeCell ref="A70:K70"/>
    <mergeCell ref="A80:K80"/>
    <mergeCell ref="A90:K90"/>
    <mergeCell ref="B91:J91"/>
    <mergeCell ref="A26:K26"/>
    <mergeCell ref="B27:J27"/>
    <mergeCell ref="A35:K35"/>
    <mergeCell ref="B36:J36"/>
    <mergeCell ref="A44:K44"/>
    <mergeCell ref="A53:K53"/>
    <mergeCell ref="A60:K60"/>
  </mergeCells>
  <conditionalFormatting sqref="B6:K7">
    <cfRule type="cellIs" dxfId="0" priority="1" operator="lessThan">
      <formula>3</formula>
    </cfRule>
  </conditionalFormatting>
  <conditionalFormatting sqref="B14:K15">
    <cfRule type="cellIs" dxfId="0" priority="2" operator="lessThan">
      <formula>3</formula>
    </cfRule>
  </conditionalFormatting>
  <conditionalFormatting sqref="B22:K23">
    <cfRule type="cellIs" dxfId="0" priority="3" operator="lessThan">
      <formula>3</formula>
    </cfRule>
  </conditionalFormatting>
  <conditionalFormatting sqref="B39:K41">
    <cfRule type="cellIs" dxfId="0" priority="4" operator="lessThan">
      <formula>3</formula>
    </cfRule>
  </conditionalFormatting>
  <conditionalFormatting sqref="B46:K51">
    <cfRule type="cellIs" dxfId="0" priority="5" operator="lessThan">
      <formula>3</formula>
    </cfRule>
  </conditionalFormatting>
  <conditionalFormatting sqref="B55:K57">
    <cfRule type="cellIs" dxfId="0" priority="6" operator="lessThan">
      <formula>3</formula>
    </cfRule>
  </conditionalFormatting>
  <conditionalFormatting sqref="B62:K67">
    <cfRule type="cellIs" dxfId="0" priority="7" operator="lessThan">
      <formula>3</formula>
    </cfRule>
  </conditionalFormatting>
  <conditionalFormatting sqref="B72:K77">
    <cfRule type="cellIs" dxfId="0" priority="8" operator="lessThan">
      <formula>3</formula>
    </cfRule>
  </conditionalFormatting>
  <conditionalFormatting sqref="B82:K87">
    <cfRule type="cellIs" dxfId="0" priority="9" operator="lessThan">
      <formula>3</formula>
    </cfRule>
  </conditionalFormatting>
  <conditionalFormatting sqref="B94:K100">
    <cfRule type="cellIs" dxfId="0" priority="10" operator="lessThan">
      <formula>3</formula>
    </cfRule>
  </conditionalFormatting>
  <conditionalFormatting sqref="B30:L31">
    <cfRule type="cellIs" dxfId="0" priority="11" operator="lessThan">
      <formula>3</formula>
    </cfRule>
  </conditionalFormatting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1.71"/>
    <col customWidth="1" min="2" max="6" width="14.43"/>
    <col customWidth="1" min="18" max="18" width="22.0"/>
  </cols>
  <sheetData>
    <row r="1">
      <c r="A1" s="284" t="s">
        <v>155</v>
      </c>
      <c r="B1" s="52"/>
      <c r="C1" s="52"/>
      <c r="D1" s="52"/>
      <c r="E1" s="52"/>
      <c r="F1" s="52"/>
      <c r="G1" s="52"/>
      <c r="H1" s="52"/>
      <c r="I1" s="52"/>
      <c r="J1" s="52"/>
      <c r="K1" s="53"/>
      <c r="R1" s="285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  <c r="AE1" s="286"/>
      <c r="AF1" s="286"/>
      <c r="AG1" s="286"/>
      <c r="AH1" s="286"/>
      <c r="AI1" s="286"/>
      <c r="AJ1" s="286"/>
      <c r="AK1" s="287"/>
    </row>
    <row r="2">
      <c r="A2" s="258"/>
      <c r="B2" s="106" t="s">
        <v>1</v>
      </c>
      <c r="C2" s="52"/>
      <c r="D2" s="52"/>
      <c r="E2" s="52"/>
      <c r="F2" s="52"/>
      <c r="G2" s="52"/>
      <c r="H2" s="52"/>
      <c r="I2" s="52"/>
      <c r="J2" s="53"/>
      <c r="K2" s="151"/>
      <c r="R2" s="285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7"/>
    </row>
    <row r="3">
      <c r="A3" s="258" t="s">
        <v>93</v>
      </c>
      <c r="B3" s="110">
        <v>28.0</v>
      </c>
      <c r="C3" s="110">
        <v>30.0</v>
      </c>
      <c r="D3" s="110">
        <v>32.0</v>
      </c>
      <c r="E3" s="110">
        <v>34.0</v>
      </c>
      <c r="F3" s="110">
        <v>36.0</v>
      </c>
      <c r="G3" s="110">
        <v>38.0</v>
      </c>
      <c r="H3" s="110">
        <v>40.0</v>
      </c>
      <c r="I3" s="110"/>
      <c r="J3" s="110"/>
      <c r="K3" s="151"/>
      <c r="R3" s="285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286"/>
      <c r="AI3" s="286"/>
      <c r="AJ3" s="286"/>
      <c r="AK3" s="287"/>
    </row>
    <row r="4">
      <c r="A4" s="258"/>
      <c r="B4" s="123" t="s">
        <v>4</v>
      </c>
      <c r="C4" s="123" t="s">
        <v>49</v>
      </c>
      <c r="D4" s="123" t="s">
        <v>50</v>
      </c>
      <c r="E4" s="123" t="s">
        <v>51</v>
      </c>
      <c r="F4" s="123" t="s">
        <v>52</v>
      </c>
      <c r="G4" s="123" t="s">
        <v>9</v>
      </c>
      <c r="H4" s="123" t="s">
        <v>10</v>
      </c>
      <c r="I4" s="123" t="s">
        <v>11</v>
      </c>
      <c r="J4" s="123" t="s">
        <v>12</v>
      </c>
      <c r="K4" s="288" t="s">
        <v>53</v>
      </c>
      <c r="R4" s="285"/>
      <c r="S4" s="286"/>
      <c r="T4" s="286"/>
      <c r="U4" s="286"/>
      <c r="V4" s="286"/>
      <c r="W4" s="286"/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  <c r="AI4" s="286"/>
      <c r="AJ4" s="286"/>
      <c r="AK4" s="287"/>
    </row>
    <row r="5">
      <c r="A5" s="71" t="s">
        <v>111</v>
      </c>
      <c r="B5" s="110"/>
      <c r="C5" s="110"/>
      <c r="D5" s="110">
        <f>1-1</f>
        <v>0</v>
      </c>
      <c r="E5" s="110"/>
      <c r="F5" s="110"/>
      <c r="G5" s="110"/>
      <c r="H5" s="110"/>
      <c r="I5" s="110"/>
      <c r="J5" s="110"/>
      <c r="K5" s="151">
        <f>SUM(B5:J5)</f>
        <v>0</v>
      </c>
      <c r="R5" s="285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  <c r="AK5" s="287"/>
    </row>
    <row r="6">
      <c r="A6" s="289"/>
      <c r="B6" s="289"/>
      <c r="C6" s="289"/>
      <c r="D6" s="289"/>
      <c r="E6" s="289"/>
      <c r="F6" s="289"/>
      <c r="G6" s="289"/>
      <c r="H6" s="289"/>
      <c r="I6" s="289"/>
      <c r="J6" s="289"/>
      <c r="K6" s="289"/>
      <c r="R6" s="285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7"/>
    </row>
    <row r="7">
      <c r="A7" s="289"/>
      <c r="B7" s="289"/>
      <c r="C7" s="289"/>
      <c r="D7" s="289"/>
      <c r="E7" s="289"/>
      <c r="F7" s="289"/>
      <c r="G7" s="289"/>
      <c r="H7" s="289"/>
      <c r="I7" s="289"/>
      <c r="J7" s="289"/>
      <c r="K7" s="289"/>
      <c r="R7" s="285"/>
      <c r="S7" s="286"/>
      <c r="T7" s="286"/>
      <c r="U7" s="286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  <c r="AH7" s="286"/>
      <c r="AI7" s="286"/>
      <c r="AJ7" s="286"/>
      <c r="AK7" s="287"/>
    </row>
    <row r="8">
      <c r="A8" s="290" t="s">
        <v>156</v>
      </c>
      <c r="B8" s="52"/>
      <c r="C8" s="52"/>
      <c r="D8" s="52"/>
      <c r="E8" s="52"/>
      <c r="F8" s="52"/>
      <c r="G8" s="52"/>
      <c r="H8" s="52"/>
      <c r="I8" s="52"/>
      <c r="J8" s="52"/>
      <c r="K8" s="53"/>
      <c r="R8" s="285"/>
      <c r="S8" s="291" t="s">
        <v>157</v>
      </c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0"/>
      <c r="AK8" s="287"/>
    </row>
    <row r="9">
      <c r="A9" s="196"/>
      <c r="B9" s="106" t="s">
        <v>1</v>
      </c>
      <c r="C9" s="52"/>
      <c r="D9" s="52"/>
      <c r="E9" s="52"/>
      <c r="F9" s="52"/>
      <c r="G9" s="52"/>
      <c r="H9" s="52"/>
      <c r="I9" s="52"/>
      <c r="J9" s="53"/>
      <c r="K9" s="151"/>
      <c r="R9" s="285"/>
      <c r="S9" s="292" t="s">
        <v>1</v>
      </c>
      <c r="T9" s="14"/>
      <c r="U9" s="14"/>
      <c r="V9" s="14"/>
      <c r="W9" s="14"/>
      <c r="X9" s="14"/>
      <c r="Y9" s="14"/>
      <c r="Z9" s="14"/>
      <c r="AA9" s="15"/>
      <c r="AB9" s="293" t="s">
        <v>2</v>
      </c>
      <c r="AC9" s="14"/>
      <c r="AD9" s="14"/>
      <c r="AE9" s="14"/>
      <c r="AF9" s="14"/>
      <c r="AG9" s="14"/>
      <c r="AH9" s="14"/>
      <c r="AI9" s="14"/>
      <c r="AJ9" s="15"/>
      <c r="AK9" s="287" t="s">
        <v>13</v>
      </c>
    </row>
    <row r="10">
      <c r="A10" s="258" t="s">
        <v>93</v>
      </c>
      <c r="B10" s="110">
        <v>28.0</v>
      </c>
      <c r="C10" s="110">
        <v>30.0</v>
      </c>
      <c r="D10" s="110">
        <v>32.0</v>
      </c>
      <c r="E10" s="110">
        <v>34.0</v>
      </c>
      <c r="F10" s="110">
        <v>36.0</v>
      </c>
      <c r="G10" s="110">
        <v>38.0</v>
      </c>
      <c r="H10" s="110">
        <v>40.0</v>
      </c>
      <c r="I10" s="110"/>
      <c r="J10" s="110"/>
      <c r="K10" s="151"/>
      <c r="R10" s="294" t="s">
        <v>3</v>
      </c>
      <c r="S10" s="295" t="s">
        <v>4</v>
      </c>
      <c r="T10" s="296" t="s">
        <v>5</v>
      </c>
      <c r="U10" s="296" t="s">
        <v>6</v>
      </c>
      <c r="V10" s="296" t="s">
        <v>7</v>
      </c>
      <c r="W10" s="296" t="s">
        <v>8</v>
      </c>
      <c r="X10" s="296" t="s">
        <v>9</v>
      </c>
      <c r="Y10" s="296" t="s">
        <v>10</v>
      </c>
      <c r="Z10" s="296" t="s">
        <v>11</v>
      </c>
      <c r="AA10" s="296" t="s">
        <v>12</v>
      </c>
      <c r="AB10" s="297" t="s">
        <v>4</v>
      </c>
      <c r="AC10" s="297" t="s">
        <v>5</v>
      </c>
      <c r="AD10" s="297" t="s">
        <v>6</v>
      </c>
      <c r="AE10" s="297" t="s">
        <v>7</v>
      </c>
      <c r="AF10" s="297" t="s">
        <v>8</v>
      </c>
      <c r="AG10" s="297" t="s">
        <v>9</v>
      </c>
      <c r="AH10" s="297" t="s">
        <v>10</v>
      </c>
      <c r="AI10" s="297" t="s">
        <v>11</v>
      </c>
      <c r="AJ10" s="298" t="s">
        <v>12</v>
      </c>
      <c r="AK10" s="287"/>
    </row>
    <row r="11">
      <c r="A11" s="299" t="s">
        <v>158</v>
      </c>
      <c r="B11" s="123" t="s">
        <v>4</v>
      </c>
      <c r="C11" s="123" t="s">
        <v>49</v>
      </c>
      <c r="D11" s="123" t="s">
        <v>50</v>
      </c>
      <c r="E11" s="123" t="s">
        <v>51</v>
      </c>
      <c r="F11" s="123" t="s">
        <v>52</v>
      </c>
      <c r="G11" s="123" t="s">
        <v>9</v>
      </c>
      <c r="H11" s="123" t="s">
        <v>10</v>
      </c>
      <c r="I11" s="123" t="s">
        <v>11</v>
      </c>
      <c r="J11" s="123" t="s">
        <v>12</v>
      </c>
      <c r="K11" s="288" t="s">
        <v>53</v>
      </c>
      <c r="R11" s="300" t="s">
        <v>14</v>
      </c>
      <c r="S11" s="301"/>
      <c r="T11" s="301"/>
      <c r="U11" s="301"/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301"/>
      <c r="AG11" s="301"/>
      <c r="AH11" s="301"/>
      <c r="AI11" s="301"/>
      <c r="AJ11" s="301"/>
      <c r="AK11" s="302"/>
    </row>
    <row r="12">
      <c r="A12" s="71" t="s">
        <v>74</v>
      </c>
      <c r="B12" s="303">
        <f>1</f>
        <v>1</v>
      </c>
      <c r="C12" s="303"/>
      <c r="D12" s="303"/>
      <c r="E12" s="304"/>
      <c r="F12" s="303"/>
      <c r="G12" s="303"/>
      <c r="H12" s="129"/>
      <c r="I12" s="303"/>
      <c r="J12" s="303"/>
      <c r="K12" s="129"/>
      <c r="R12" s="300" t="s">
        <v>15</v>
      </c>
      <c r="S12" s="301"/>
      <c r="T12" s="301"/>
      <c r="U12" s="301"/>
      <c r="V12" s="301"/>
      <c r="W12" s="301"/>
      <c r="X12" s="301"/>
      <c r="Y12" s="301"/>
      <c r="Z12" s="301"/>
      <c r="AA12" s="301"/>
      <c r="AB12" s="301"/>
      <c r="AC12" s="301"/>
      <c r="AD12" s="301"/>
      <c r="AE12" s="301"/>
      <c r="AF12" s="301"/>
      <c r="AG12" s="301"/>
      <c r="AH12" s="301"/>
      <c r="AI12" s="305"/>
      <c r="AJ12" s="301"/>
      <c r="AK12" s="302"/>
    </row>
    <row r="13">
      <c r="A13" s="148" t="s">
        <v>15</v>
      </c>
      <c r="B13" s="303"/>
      <c r="C13" s="303"/>
      <c r="D13" s="304"/>
      <c r="E13" s="303"/>
      <c r="F13" s="303"/>
      <c r="G13" s="303"/>
      <c r="H13" s="303"/>
      <c r="I13" s="303"/>
      <c r="J13" s="303"/>
      <c r="K13" s="129"/>
      <c r="R13" s="300" t="s">
        <v>16</v>
      </c>
      <c r="S13" s="301"/>
      <c r="T13" s="301"/>
      <c r="U13" s="301"/>
      <c r="V13" s="301"/>
      <c r="W13" s="301"/>
      <c r="X13" s="301"/>
      <c r="Y13" s="301"/>
      <c r="Z13" s="301"/>
      <c r="AA13" s="301"/>
      <c r="AB13" s="301"/>
      <c r="AC13" s="301"/>
      <c r="AD13" s="301">
        <f>1</f>
        <v>1</v>
      </c>
      <c r="AE13" s="301"/>
      <c r="AF13" s="301"/>
      <c r="AG13" s="301"/>
      <c r="AH13" s="301"/>
      <c r="AI13" s="301"/>
      <c r="AJ13" s="301"/>
      <c r="AK13" s="302"/>
    </row>
    <row r="14">
      <c r="A14" s="71" t="s">
        <v>102</v>
      </c>
      <c r="B14" s="303"/>
      <c r="C14" s="303"/>
      <c r="D14" s="303"/>
      <c r="E14" s="303"/>
      <c r="F14" s="303">
        <f>1</f>
        <v>1</v>
      </c>
      <c r="G14" s="303"/>
      <c r="H14" s="303"/>
      <c r="I14" s="303"/>
      <c r="J14" s="304"/>
      <c r="K14" s="129"/>
      <c r="R14" s="300" t="s">
        <v>17</v>
      </c>
      <c r="S14" s="301"/>
      <c r="T14" s="301"/>
      <c r="U14" s="301"/>
      <c r="V14" s="301"/>
      <c r="W14" s="306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2"/>
    </row>
    <row r="15">
      <c r="A15" s="148" t="s">
        <v>103</v>
      </c>
      <c r="B15" s="303"/>
      <c r="C15" s="303"/>
      <c r="D15" s="303"/>
      <c r="E15" s="303"/>
      <c r="F15" s="303"/>
      <c r="G15" s="303"/>
      <c r="H15" s="303"/>
      <c r="I15" s="303"/>
      <c r="J15" s="303"/>
      <c r="K15" s="129"/>
      <c r="R15" s="300" t="s">
        <v>18</v>
      </c>
      <c r="S15" s="301"/>
      <c r="T15" s="301"/>
      <c r="U15" s="301"/>
      <c r="V15" s="301"/>
      <c r="W15" s="301"/>
      <c r="X15" s="301"/>
      <c r="Y15" s="301"/>
      <c r="Z15" s="301"/>
      <c r="AA15" s="301"/>
      <c r="AB15" s="301">
        <f>1</f>
        <v>1</v>
      </c>
      <c r="AC15" s="301"/>
      <c r="AD15" s="307"/>
      <c r="AE15" s="301"/>
      <c r="AF15" s="301"/>
      <c r="AG15" s="301"/>
      <c r="AH15" s="301"/>
      <c r="AI15" s="301"/>
      <c r="AJ15" s="301"/>
      <c r="AK15" s="302"/>
    </row>
    <row r="16">
      <c r="A16" s="148" t="s">
        <v>17</v>
      </c>
      <c r="B16" s="303"/>
      <c r="C16" s="303"/>
      <c r="D16" s="303"/>
      <c r="E16" s="303">
        <f>1</f>
        <v>1</v>
      </c>
      <c r="F16" s="303"/>
      <c r="G16" s="303"/>
      <c r="H16" s="303"/>
      <c r="I16" s="303"/>
      <c r="J16" s="303"/>
      <c r="K16" s="129"/>
      <c r="R16" s="300" t="s">
        <v>19</v>
      </c>
      <c r="S16" s="301"/>
      <c r="T16" s="301"/>
      <c r="U16" s="301"/>
      <c r="V16" s="301"/>
      <c r="W16" s="301"/>
      <c r="X16" s="301"/>
      <c r="Y16" s="301"/>
      <c r="Z16" s="301"/>
      <c r="AA16" s="301"/>
      <c r="AB16" s="301"/>
      <c r="AC16" s="301">
        <f t="shared" ref="AC16:AC17" si="1">1</f>
        <v>1</v>
      </c>
      <c r="AD16" s="301"/>
      <c r="AE16" s="301"/>
      <c r="AF16" s="301"/>
      <c r="AG16" s="301"/>
      <c r="AH16" s="301"/>
      <c r="AI16" s="301"/>
      <c r="AJ16" s="301"/>
      <c r="AK16" s="302"/>
    </row>
    <row r="17">
      <c r="A17" s="148" t="s">
        <v>14</v>
      </c>
      <c r="B17" s="303"/>
      <c r="C17" s="303"/>
      <c r="D17" s="303"/>
      <c r="E17" s="303"/>
      <c r="F17" s="304"/>
      <c r="G17" s="303"/>
      <c r="H17" s="303"/>
      <c r="I17" s="303"/>
      <c r="J17" s="303"/>
      <c r="K17" s="129"/>
      <c r="R17" s="300" t="s">
        <v>20</v>
      </c>
      <c r="S17" s="301"/>
      <c r="T17" s="301"/>
      <c r="U17" s="301"/>
      <c r="V17" s="301"/>
      <c r="W17" s="301"/>
      <c r="X17" s="301"/>
      <c r="Y17" s="301"/>
      <c r="Z17" s="301"/>
      <c r="AA17" s="301"/>
      <c r="AB17" s="301"/>
      <c r="AC17" s="301">
        <f t="shared" si="1"/>
        <v>1</v>
      </c>
      <c r="AD17" s="301"/>
      <c r="AE17" s="301"/>
      <c r="AF17" s="301"/>
      <c r="AG17" s="301"/>
      <c r="AH17" s="301"/>
      <c r="AI17" s="301"/>
      <c r="AJ17" s="301"/>
      <c r="AK17" s="302"/>
    </row>
    <row r="18">
      <c r="A18" s="148" t="s">
        <v>21</v>
      </c>
      <c r="B18" s="304"/>
      <c r="C18" s="303"/>
      <c r="D18" s="303">
        <f>1</f>
        <v>1</v>
      </c>
      <c r="E18" s="304"/>
      <c r="F18" s="303"/>
      <c r="G18" s="303"/>
      <c r="H18" s="303"/>
      <c r="I18" s="303"/>
      <c r="J18" s="303"/>
      <c r="K18" s="129"/>
      <c r="R18" s="300" t="s">
        <v>21</v>
      </c>
      <c r="S18" s="308"/>
      <c r="T18" s="308"/>
      <c r="U18" s="308"/>
      <c r="V18" s="308"/>
      <c r="W18" s="308"/>
      <c r="X18" s="308"/>
      <c r="Y18" s="308"/>
      <c r="Z18" s="308"/>
      <c r="AA18" s="309"/>
      <c r="AB18" s="305"/>
      <c r="AC18" s="305"/>
      <c r="AD18" s="305"/>
      <c r="AE18" s="305"/>
      <c r="AF18" s="305"/>
      <c r="AG18" s="305"/>
      <c r="AH18" s="305"/>
      <c r="AI18" s="305"/>
      <c r="AJ18" s="305"/>
      <c r="AK18" s="302"/>
    </row>
    <row r="19">
      <c r="A19" s="148" t="s">
        <v>104</v>
      </c>
      <c r="B19" s="303"/>
      <c r="C19" s="303"/>
      <c r="D19" s="303"/>
      <c r="E19" s="303"/>
      <c r="F19" s="303"/>
      <c r="G19" s="303"/>
      <c r="H19" s="303"/>
      <c r="I19" s="303"/>
      <c r="J19" s="303"/>
      <c r="K19" s="129"/>
      <c r="R19" s="300" t="s">
        <v>22</v>
      </c>
      <c r="S19" s="310"/>
      <c r="T19" s="310"/>
      <c r="U19" s="310"/>
      <c r="V19" s="310"/>
      <c r="W19" s="310"/>
      <c r="X19" s="310"/>
      <c r="Y19" s="310"/>
      <c r="Z19" s="310"/>
      <c r="AA19" s="310"/>
      <c r="AB19" s="301"/>
      <c r="AC19" s="301"/>
      <c r="AD19" s="305"/>
      <c r="AE19" s="305"/>
      <c r="AF19" s="305"/>
      <c r="AG19" s="305"/>
      <c r="AH19" s="305"/>
      <c r="AI19" s="305"/>
      <c r="AJ19" s="305"/>
      <c r="AK19" s="302"/>
    </row>
    <row r="20">
      <c r="A20" s="148" t="s">
        <v>105</v>
      </c>
      <c r="B20" s="303"/>
      <c r="C20" s="303"/>
      <c r="D20" s="303"/>
      <c r="E20" s="303"/>
      <c r="F20" s="303">
        <f>1</f>
        <v>1</v>
      </c>
      <c r="G20" s="303"/>
      <c r="H20" s="303"/>
      <c r="I20" s="303"/>
      <c r="J20" s="303"/>
      <c r="K20" s="129"/>
      <c r="R20" s="300" t="s">
        <v>23</v>
      </c>
      <c r="S20" s="310"/>
      <c r="T20" s="310"/>
      <c r="U20" s="310"/>
      <c r="V20" s="310"/>
      <c r="W20" s="310"/>
      <c r="X20" s="310"/>
      <c r="Y20" s="310"/>
      <c r="Z20" s="310"/>
      <c r="AA20" s="310"/>
      <c r="AB20" s="305"/>
      <c r="AC20" s="305"/>
      <c r="AD20" s="305"/>
      <c r="AE20" s="305"/>
      <c r="AF20" s="305"/>
      <c r="AG20" s="305"/>
      <c r="AH20" s="305"/>
      <c r="AI20" s="305"/>
      <c r="AJ20" s="305"/>
      <c r="AK20" s="302"/>
    </row>
    <row r="21" ht="15.75" customHeight="1">
      <c r="A21" s="148" t="s">
        <v>106</v>
      </c>
      <c r="B21" s="303"/>
      <c r="C21" s="303"/>
      <c r="D21" s="303"/>
      <c r="E21" s="303"/>
      <c r="F21" s="303"/>
      <c r="G21" s="129"/>
      <c r="H21" s="129"/>
      <c r="I21" s="129"/>
      <c r="J21" s="129"/>
      <c r="K21" s="129"/>
      <c r="R21" s="300" t="s">
        <v>24</v>
      </c>
      <c r="S21" s="308"/>
      <c r="T21" s="308"/>
      <c r="U21" s="308"/>
      <c r="V21" s="308"/>
      <c r="W21" s="308"/>
      <c r="X21" s="308"/>
      <c r="Y21" s="308"/>
      <c r="Z21" s="308"/>
      <c r="AA21" s="309"/>
      <c r="AB21" s="301"/>
      <c r="AC21" s="301"/>
      <c r="AD21" s="305"/>
      <c r="AE21" s="305"/>
      <c r="AF21" s="305"/>
      <c r="AG21" s="305"/>
      <c r="AH21" s="305"/>
      <c r="AI21" s="305"/>
      <c r="AJ21" s="305"/>
      <c r="AK21" s="302"/>
    </row>
    <row r="22" ht="15.75" customHeight="1">
      <c r="A22" s="71" t="s">
        <v>27</v>
      </c>
      <c r="B22" s="129"/>
      <c r="C22" s="129">
        <f>1-1</f>
        <v>0</v>
      </c>
      <c r="D22" s="129"/>
      <c r="E22" s="129"/>
      <c r="F22" s="129"/>
      <c r="G22" s="129"/>
      <c r="H22" s="129"/>
      <c r="I22" s="129"/>
      <c r="J22" s="129"/>
      <c r="K22" s="129"/>
      <c r="R22" s="300" t="s">
        <v>25</v>
      </c>
      <c r="S22" s="308"/>
      <c r="T22" s="308"/>
      <c r="U22" s="308"/>
      <c r="V22" s="308">
        <f>1</f>
        <v>1</v>
      </c>
      <c r="W22" s="308"/>
      <c r="X22" s="308"/>
      <c r="Y22" s="308"/>
      <c r="Z22" s="308"/>
      <c r="AA22" s="308"/>
      <c r="AB22" s="301"/>
      <c r="AC22" s="301"/>
      <c r="AD22" s="301"/>
      <c r="AE22" s="301"/>
      <c r="AF22" s="301"/>
      <c r="AG22" s="301"/>
      <c r="AH22" s="301"/>
      <c r="AI22" s="301"/>
      <c r="AJ22" s="301"/>
      <c r="AK22" s="302"/>
    </row>
    <row r="23" ht="15.75" customHeight="1">
      <c r="A23" s="71" t="s">
        <v>107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R23" s="300" t="s">
        <v>26</v>
      </c>
      <c r="S23" s="308"/>
      <c r="T23" s="308"/>
      <c r="U23" s="308"/>
      <c r="V23" s="308"/>
      <c r="W23" s="308"/>
      <c r="X23" s="308"/>
      <c r="Y23" s="308"/>
      <c r="Z23" s="308"/>
      <c r="AA23" s="308"/>
      <c r="AB23" s="305"/>
      <c r="AC23" s="305"/>
      <c r="AD23" s="305">
        <f>1</f>
        <v>1</v>
      </c>
      <c r="AE23" s="305"/>
      <c r="AF23" s="305"/>
      <c r="AG23" s="305"/>
      <c r="AH23" s="305"/>
      <c r="AI23" s="305"/>
      <c r="AJ23" s="305"/>
      <c r="AK23" s="302"/>
    </row>
    <row r="24" ht="15.75" customHeight="1">
      <c r="A24" s="7" t="s">
        <v>109</v>
      </c>
      <c r="B24" s="129"/>
      <c r="C24" s="129"/>
      <c r="D24" s="129">
        <f>1</f>
        <v>1</v>
      </c>
      <c r="E24" s="129"/>
      <c r="F24" s="129"/>
      <c r="G24" s="129"/>
      <c r="H24" s="129"/>
      <c r="I24" s="129"/>
      <c r="J24" s="129"/>
      <c r="K24" s="129"/>
      <c r="R24" s="300" t="s">
        <v>27</v>
      </c>
      <c r="S24" s="308"/>
      <c r="T24" s="308"/>
      <c r="U24" s="308"/>
      <c r="V24" s="308"/>
      <c r="W24" s="308"/>
      <c r="X24" s="308"/>
      <c r="Y24" s="308"/>
      <c r="Z24" s="308"/>
      <c r="AA24" s="308"/>
      <c r="AB24" s="305"/>
      <c r="AC24" s="305"/>
      <c r="AD24" s="305"/>
      <c r="AE24" s="305"/>
      <c r="AF24" s="305"/>
      <c r="AG24" s="305"/>
      <c r="AH24" s="305"/>
      <c r="AI24" s="305"/>
      <c r="AJ24" s="305"/>
      <c r="AK24" s="302"/>
    </row>
    <row r="25" ht="15.75" customHeight="1">
      <c r="A25" s="7"/>
      <c r="B25" s="119"/>
      <c r="C25" s="119"/>
      <c r="D25" s="119"/>
      <c r="E25" s="119"/>
      <c r="F25" s="119"/>
      <c r="G25" s="119"/>
      <c r="H25" s="119"/>
      <c r="I25" s="119"/>
      <c r="J25" s="119"/>
      <c r="K25" s="311">
        <f>SUM(K12:K21)</f>
        <v>0</v>
      </c>
      <c r="R25" s="300" t="s">
        <v>28</v>
      </c>
      <c r="S25" s="308"/>
      <c r="T25" s="308"/>
      <c r="U25" s="308"/>
      <c r="V25" s="308"/>
      <c r="W25" s="308"/>
      <c r="X25" s="308"/>
      <c r="Y25" s="308"/>
      <c r="Z25" s="308"/>
      <c r="AA25" s="308"/>
      <c r="AB25" s="305"/>
      <c r="AC25" s="305"/>
      <c r="AD25" s="305"/>
      <c r="AE25" s="305"/>
      <c r="AF25" s="305"/>
      <c r="AG25" s="305"/>
      <c r="AH25" s="305"/>
      <c r="AI25" s="305"/>
      <c r="AJ25" s="305"/>
      <c r="AK25" s="302"/>
    </row>
    <row r="26" ht="15.75" customHeight="1">
      <c r="A26" s="290" t="s">
        <v>159</v>
      </c>
      <c r="B26" s="52"/>
      <c r="C26" s="52"/>
      <c r="D26" s="52"/>
      <c r="E26" s="52"/>
      <c r="F26" s="52"/>
      <c r="G26" s="52"/>
      <c r="H26" s="52"/>
      <c r="I26" s="52"/>
      <c r="J26" s="52"/>
      <c r="K26" s="53"/>
      <c r="R26" s="300" t="s">
        <v>29</v>
      </c>
      <c r="S26" s="308"/>
      <c r="T26" s="308">
        <f>1</f>
        <v>1</v>
      </c>
      <c r="U26" s="308"/>
      <c r="V26" s="308"/>
      <c r="W26" s="308"/>
      <c r="X26" s="308"/>
      <c r="Y26" s="308"/>
      <c r="Z26" s="308"/>
      <c r="AA26" s="308"/>
      <c r="AB26" s="305"/>
      <c r="AC26" s="305"/>
      <c r="AD26" s="305"/>
      <c r="AE26" s="305"/>
      <c r="AF26" s="305"/>
      <c r="AG26" s="305"/>
      <c r="AH26" s="305"/>
      <c r="AI26" s="305"/>
      <c r="AJ26" s="305"/>
      <c r="AK26" s="302"/>
    </row>
    <row r="27" ht="15.75" customHeight="1">
      <c r="A27" s="312"/>
      <c r="B27" s="106" t="s">
        <v>2</v>
      </c>
      <c r="C27" s="52"/>
      <c r="D27" s="52"/>
      <c r="E27" s="52"/>
      <c r="F27" s="52"/>
      <c r="G27" s="52"/>
      <c r="H27" s="52"/>
      <c r="I27" s="52"/>
      <c r="J27" s="93"/>
      <c r="K27" s="151"/>
      <c r="R27" s="300" t="s">
        <v>30</v>
      </c>
      <c r="S27" s="308"/>
      <c r="T27" s="308"/>
      <c r="U27" s="308">
        <f>1</f>
        <v>1</v>
      </c>
      <c r="V27" s="308"/>
      <c r="W27" s="308"/>
      <c r="X27" s="308"/>
      <c r="Y27" s="308"/>
      <c r="Z27" s="308"/>
      <c r="AA27" s="308"/>
      <c r="AB27" s="305"/>
      <c r="AC27" s="305"/>
      <c r="AD27" s="305"/>
      <c r="AE27" s="305"/>
      <c r="AF27" s="305"/>
      <c r="AG27" s="305"/>
      <c r="AH27" s="305"/>
      <c r="AI27" s="305"/>
      <c r="AJ27" s="313"/>
      <c r="AK27" s="302"/>
    </row>
    <row r="28" ht="15.75" customHeight="1">
      <c r="A28" s="258" t="s">
        <v>93</v>
      </c>
      <c r="B28" s="110">
        <v>28.0</v>
      </c>
      <c r="C28" s="110">
        <v>30.0</v>
      </c>
      <c r="D28" s="110">
        <v>32.0</v>
      </c>
      <c r="E28" s="110">
        <v>34.0</v>
      </c>
      <c r="F28" s="110">
        <v>36.0</v>
      </c>
      <c r="G28" s="110">
        <v>38.0</v>
      </c>
      <c r="H28" s="110">
        <v>40.0</v>
      </c>
      <c r="I28" s="110"/>
      <c r="J28" s="314"/>
      <c r="K28" s="151"/>
      <c r="R28" s="300" t="s">
        <v>32</v>
      </c>
      <c r="S28" s="308"/>
      <c r="T28" s="308"/>
      <c r="U28" s="308"/>
      <c r="V28" s="308"/>
      <c r="W28" s="308"/>
      <c r="X28" s="308"/>
      <c r="Y28" s="308"/>
      <c r="Z28" s="308"/>
      <c r="AA28" s="309"/>
      <c r="AB28" s="305"/>
      <c r="AC28" s="305"/>
      <c r="AD28" s="305"/>
      <c r="AE28" s="305"/>
      <c r="AF28" s="305"/>
      <c r="AG28" s="305"/>
      <c r="AH28" s="305"/>
      <c r="AI28" s="305"/>
      <c r="AJ28" s="305"/>
      <c r="AK28" s="302"/>
    </row>
    <row r="29" ht="15.75" customHeight="1">
      <c r="A29" s="299" t="s">
        <v>158</v>
      </c>
      <c r="B29" s="123" t="s">
        <v>4</v>
      </c>
      <c r="C29" s="95" t="s">
        <v>49</v>
      </c>
      <c r="D29" s="123" t="s">
        <v>50</v>
      </c>
      <c r="E29" s="123" t="s">
        <v>51</v>
      </c>
      <c r="F29" s="123" t="s">
        <v>52</v>
      </c>
      <c r="G29" s="123" t="s">
        <v>9</v>
      </c>
      <c r="H29" s="123" t="s">
        <v>10</v>
      </c>
      <c r="I29" s="123" t="s">
        <v>11</v>
      </c>
      <c r="J29" s="315" t="s">
        <v>12</v>
      </c>
      <c r="K29" s="288" t="s">
        <v>53</v>
      </c>
      <c r="R29" s="300" t="s">
        <v>33</v>
      </c>
      <c r="S29" s="308"/>
      <c r="T29" s="308"/>
      <c r="U29" s="308"/>
      <c r="V29" s="308"/>
      <c r="W29" s="308"/>
      <c r="X29" s="308"/>
      <c r="Y29" s="308"/>
      <c r="Z29" s="308"/>
      <c r="AA29" s="308"/>
      <c r="AB29" s="305"/>
      <c r="AC29" s="305">
        <f>1</f>
        <v>1</v>
      </c>
      <c r="AD29" s="305"/>
      <c r="AE29" s="305"/>
      <c r="AF29" s="305"/>
      <c r="AG29" s="305"/>
      <c r="AH29" s="305"/>
      <c r="AI29" s="305"/>
      <c r="AJ29" s="305"/>
      <c r="AK29" s="302"/>
    </row>
    <row r="30" ht="15.75" customHeight="1">
      <c r="A30" s="71" t="s">
        <v>74</v>
      </c>
      <c r="B30" s="303"/>
      <c r="C30" s="303"/>
      <c r="D30" s="303"/>
      <c r="E30" s="303"/>
      <c r="F30" s="303"/>
      <c r="G30" s="304"/>
      <c r="H30" s="303"/>
      <c r="I30" s="303"/>
      <c r="J30" s="316"/>
      <c r="K30" s="151"/>
      <c r="R30" s="300" t="s">
        <v>34</v>
      </c>
      <c r="S30" s="308"/>
      <c r="T30" s="308"/>
      <c r="U30" s="308"/>
      <c r="V30" s="308">
        <f>1</f>
        <v>1</v>
      </c>
      <c r="W30" s="308"/>
      <c r="X30" s="308"/>
      <c r="Y30" s="308"/>
      <c r="Z30" s="308"/>
      <c r="AA30" s="309"/>
      <c r="AB30" s="305"/>
      <c r="AC30" s="305"/>
      <c r="AD30" s="305"/>
      <c r="AE30" s="305"/>
      <c r="AF30" s="305"/>
      <c r="AG30" s="305"/>
      <c r="AH30" s="305"/>
      <c r="AI30" s="305"/>
      <c r="AJ30" s="305"/>
      <c r="AK30" s="302"/>
    </row>
    <row r="31" ht="15.75" customHeight="1">
      <c r="A31" s="148" t="s">
        <v>15</v>
      </c>
      <c r="B31" s="303"/>
      <c r="C31" s="303">
        <f>1</f>
        <v>1</v>
      </c>
      <c r="D31" s="303"/>
      <c r="E31" s="304"/>
      <c r="F31" s="303"/>
      <c r="G31" s="304"/>
      <c r="H31" s="303"/>
      <c r="I31" s="304"/>
      <c r="J31" s="316"/>
      <c r="K31" s="151"/>
      <c r="R31" s="317" t="s">
        <v>35</v>
      </c>
      <c r="S31" s="318"/>
      <c r="T31" s="318"/>
      <c r="U31" s="318"/>
      <c r="V31" s="318"/>
      <c r="W31" s="318"/>
      <c r="X31" s="318"/>
      <c r="Y31" s="318"/>
      <c r="Z31" s="318"/>
      <c r="AA31" s="318"/>
      <c r="AB31" s="305"/>
      <c r="AC31" s="305"/>
      <c r="AD31" s="305"/>
      <c r="AE31" s="305"/>
      <c r="AF31" s="305"/>
      <c r="AG31" s="305"/>
      <c r="AH31" s="305"/>
      <c r="AI31" s="305"/>
      <c r="AJ31" s="305"/>
      <c r="AK31" s="302"/>
    </row>
    <row r="32" ht="15.75" customHeight="1">
      <c r="A32" s="71" t="s">
        <v>102</v>
      </c>
      <c r="B32" s="303"/>
      <c r="C32" s="303"/>
      <c r="D32" s="303"/>
      <c r="E32" s="303"/>
      <c r="F32" s="303"/>
      <c r="G32" s="303"/>
      <c r="H32" s="303"/>
      <c r="I32" s="303"/>
      <c r="J32" s="316"/>
      <c r="K32" s="151"/>
      <c r="R32" s="317" t="s">
        <v>36</v>
      </c>
      <c r="S32" s="318"/>
      <c r="T32" s="318"/>
      <c r="U32" s="318"/>
      <c r="V32" s="318"/>
      <c r="W32" s="318"/>
      <c r="X32" s="318"/>
      <c r="Y32" s="318"/>
      <c r="Z32" s="318"/>
      <c r="AA32" s="319"/>
      <c r="AB32" s="305"/>
      <c r="AC32" s="305"/>
      <c r="AD32" s="305"/>
      <c r="AE32" s="305"/>
      <c r="AF32" s="305"/>
      <c r="AG32" s="305"/>
      <c r="AH32" s="305"/>
      <c r="AI32" s="305"/>
      <c r="AJ32" s="305"/>
      <c r="AK32" s="302"/>
    </row>
    <row r="33" ht="15.75" customHeight="1">
      <c r="A33" s="148" t="s">
        <v>103</v>
      </c>
      <c r="B33" s="303">
        <f>1</f>
        <v>1</v>
      </c>
      <c r="C33" s="303"/>
      <c r="D33" s="303"/>
      <c r="E33" s="303"/>
      <c r="F33" s="303"/>
      <c r="G33" s="303"/>
      <c r="H33" s="303"/>
      <c r="I33" s="303"/>
      <c r="J33" s="316"/>
      <c r="K33" s="151"/>
      <c r="R33" s="317" t="s">
        <v>37</v>
      </c>
      <c r="S33" s="318"/>
      <c r="T33" s="318"/>
      <c r="U33" s="318"/>
      <c r="V33" s="318"/>
      <c r="W33" s="318"/>
      <c r="X33" s="318"/>
      <c r="Y33" s="318"/>
      <c r="Z33" s="318"/>
      <c r="AA33" s="318"/>
      <c r="AB33" s="305"/>
      <c r="AC33" s="305"/>
      <c r="AD33" s="305"/>
      <c r="AE33" s="305"/>
      <c r="AF33" s="305"/>
      <c r="AG33" s="305"/>
      <c r="AH33" s="305"/>
      <c r="AI33" s="305"/>
      <c r="AJ33" s="305"/>
      <c r="AK33" s="302"/>
    </row>
    <row r="34" ht="15.75" customHeight="1">
      <c r="A34" s="148" t="s">
        <v>17</v>
      </c>
      <c r="B34" s="303"/>
      <c r="C34" s="303"/>
      <c r="D34" s="304"/>
      <c r="E34" s="304"/>
      <c r="F34" s="303"/>
      <c r="G34" s="303"/>
      <c r="H34" s="303"/>
      <c r="I34" s="303"/>
      <c r="J34" s="316"/>
      <c r="K34" s="151"/>
      <c r="R34" s="317" t="s">
        <v>38</v>
      </c>
      <c r="S34" s="318"/>
      <c r="T34" s="318"/>
      <c r="U34" s="318"/>
      <c r="V34" s="318"/>
      <c r="W34" s="318"/>
      <c r="X34" s="318"/>
      <c r="Y34" s="318"/>
      <c r="Z34" s="318"/>
      <c r="AA34" s="318"/>
      <c r="AB34" s="305"/>
      <c r="AC34" s="305"/>
      <c r="AD34" s="305"/>
      <c r="AE34" s="305"/>
      <c r="AF34" s="305"/>
      <c r="AG34" s="305"/>
      <c r="AH34" s="305"/>
      <c r="AI34" s="305"/>
      <c r="AJ34" s="305"/>
      <c r="AK34" s="302"/>
    </row>
    <row r="35" ht="15.75" customHeight="1">
      <c r="A35" s="148" t="s">
        <v>14</v>
      </c>
      <c r="B35" s="303"/>
      <c r="C35" s="303"/>
      <c r="D35" s="303"/>
      <c r="E35" s="303">
        <f>1-1+1</f>
        <v>1</v>
      </c>
      <c r="F35" s="303"/>
      <c r="G35" s="303"/>
      <c r="H35" s="303"/>
      <c r="I35" s="129"/>
      <c r="J35" s="316"/>
      <c r="K35" s="151"/>
      <c r="R35" s="317" t="s">
        <v>39</v>
      </c>
      <c r="S35" s="318"/>
      <c r="T35" s="318"/>
      <c r="U35" s="318"/>
      <c r="V35" s="318"/>
      <c r="W35" s="318"/>
      <c r="X35" s="318"/>
      <c r="Y35" s="318"/>
      <c r="Z35" s="318"/>
      <c r="AA35" s="318"/>
      <c r="AB35" s="305"/>
      <c r="AC35" s="305"/>
      <c r="AD35" s="305"/>
      <c r="AE35" s="305"/>
      <c r="AF35" s="305"/>
      <c r="AG35" s="305"/>
      <c r="AH35" s="305"/>
      <c r="AI35" s="305"/>
      <c r="AJ35" s="305"/>
      <c r="AK35" s="302"/>
    </row>
    <row r="36" ht="15.75" customHeight="1">
      <c r="A36" s="148" t="s">
        <v>160</v>
      </c>
      <c r="B36" s="303"/>
      <c r="C36" s="303"/>
      <c r="D36" s="303"/>
      <c r="E36" s="303"/>
      <c r="F36" s="304"/>
      <c r="G36" s="303"/>
      <c r="H36" s="129"/>
      <c r="I36" s="303"/>
      <c r="J36" s="316"/>
      <c r="K36" s="151"/>
      <c r="R36" s="320"/>
      <c r="S36" s="285"/>
      <c r="T36" s="285"/>
      <c r="U36" s="285"/>
      <c r="V36" s="285"/>
      <c r="W36" s="285"/>
      <c r="X36" s="285"/>
      <c r="Y36" s="285"/>
      <c r="Z36" s="285"/>
      <c r="AA36" s="285"/>
      <c r="AB36" s="285"/>
      <c r="AC36" s="285"/>
      <c r="AD36" s="285"/>
      <c r="AE36" s="285"/>
      <c r="AF36" s="285"/>
      <c r="AG36" s="285"/>
      <c r="AH36" s="285"/>
      <c r="AI36" s="285"/>
      <c r="AJ36" s="285"/>
      <c r="AK36" s="321"/>
    </row>
    <row r="37" ht="15.75" customHeight="1">
      <c r="A37" s="148" t="s">
        <v>104</v>
      </c>
      <c r="B37" s="303"/>
      <c r="C37" s="303"/>
      <c r="D37" s="304">
        <f>1</f>
        <v>1</v>
      </c>
      <c r="E37" s="303"/>
      <c r="F37" s="303"/>
      <c r="G37" s="303"/>
      <c r="H37" s="303"/>
      <c r="I37" s="303"/>
      <c r="J37" s="316"/>
      <c r="K37" s="151"/>
      <c r="R37" s="285"/>
      <c r="S37" s="285"/>
      <c r="T37" s="285"/>
      <c r="U37" s="285"/>
      <c r="V37" s="285"/>
      <c r="W37" s="285"/>
      <c r="X37" s="285"/>
      <c r="Y37" s="285"/>
      <c r="Z37" s="285"/>
      <c r="AA37" s="285"/>
      <c r="AB37" s="285"/>
      <c r="AC37" s="285"/>
      <c r="AD37" s="285"/>
      <c r="AE37" s="285"/>
      <c r="AF37" s="285"/>
      <c r="AG37" s="285"/>
      <c r="AH37" s="285"/>
      <c r="AI37" s="285"/>
      <c r="AJ37" s="285"/>
      <c r="AK37" s="287"/>
    </row>
    <row r="38" ht="15.75" customHeight="1">
      <c r="A38" s="148" t="s">
        <v>105</v>
      </c>
      <c r="B38" s="303"/>
      <c r="C38" s="303"/>
      <c r="D38" s="303"/>
      <c r="E38" s="303"/>
      <c r="F38" s="303"/>
      <c r="G38" s="303"/>
      <c r="H38" s="303"/>
      <c r="I38" s="303"/>
      <c r="J38" s="316"/>
      <c r="K38" s="151"/>
      <c r="R38" s="285"/>
      <c r="S38" s="291" t="s">
        <v>161</v>
      </c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10"/>
      <c r="AK38" s="287"/>
    </row>
    <row r="39" ht="15.75" customHeight="1">
      <c r="A39" s="148" t="s">
        <v>106</v>
      </c>
      <c r="B39" s="303"/>
      <c r="C39" s="303">
        <f t="shared" ref="C39:C40" si="2">1</f>
        <v>1</v>
      </c>
      <c r="D39" s="303"/>
      <c r="E39" s="303"/>
      <c r="F39" s="303"/>
      <c r="G39" s="303"/>
      <c r="H39" s="303"/>
      <c r="I39" s="303"/>
      <c r="J39" s="316"/>
      <c r="K39" s="151"/>
      <c r="R39" s="285"/>
      <c r="S39" s="13" t="s">
        <v>1</v>
      </c>
      <c r="T39" s="14"/>
      <c r="U39" s="14"/>
      <c r="V39" s="14"/>
      <c r="W39" s="14"/>
      <c r="X39" s="14"/>
      <c r="Y39" s="14"/>
      <c r="Z39" s="14"/>
      <c r="AA39" s="15"/>
      <c r="AB39" s="322"/>
      <c r="AC39" s="14"/>
      <c r="AD39" s="14"/>
      <c r="AE39" s="14"/>
      <c r="AF39" s="14"/>
      <c r="AG39" s="14"/>
      <c r="AH39" s="14"/>
      <c r="AI39" s="14"/>
      <c r="AJ39" s="15"/>
      <c r="AK39" s="287"/>
    </row>
    <row r="40" ht="15.75" customHeight="1">
      <c r="A40" s="148" t="s">
        <v>27</v>
      </c>
      <c r="B40" s="129"/>
      <c r="C40" s="129">
        <f t="shared" si="2"/>
        <v>1</v>
      </c>
      <c r="D40" s="129"/>
      <c r="E40" s="323">
        <f>1-1</f>
        <v>0</v>
      </c>
      <c r="F40" s="129"/>
      <c r="G40" s="129"/>
      <c r="H40" s="129"/>
      <c r="I40" s="129"/>
      <c r="J40" s="129"/>
      <c r="K40" s="151"/>
      <c r="R40" s="294" t="s">
        <v>3</v>
      </c>
      <c r="S40" s="18" t="s">
        <v>4</v>
      </c>
      <c r="T40" s="19" t="s">
        <v>5</v>
      </c>
      <c r="U40" s="19" t="s">
        <v>6</v>
      </c>
      <c r="V40" s="19" t="s">
        <v>7</v>
      </c>
      <c r="W40" s="19" t="s">
        <v>52</v>
      </c>
      <c r="X40" s="19" t="s">
        <v>162</v>
      </c>
      <c r="Y40" s="19" t="s">
        <v>163</v>
      </c>
      <c r="Z40" s="19" t="s">
        <v>164</v>
      </c>
      <c r="AA40" s="45" t="s">
        <v>165</v>
      </c>
      <c r="AB40" s="46" t="s">
        <v>4</v>
      </c>
      <c r="AC40" s="20" t="s">
        <v>5</v>
      </c>
      <c r="AD40" s="20" t="s">
        <v>6</v>
      </c>
      <c r="AE40" s="20" t="s">
        <v>7</v>
      </c>
      <c r="AF40" s="20" t="s">
        <v>52</v>
      </c>
      <c r="AG40" s="20" t="s">
        <v>162</v>
      </c>
      <c r="AH40" s="20" t="s">
        <v>163</v>
      </c>
      <c r="AI40" s="20" t="s">
        <v>164</v>
      </c>
      <c r="AJ40" s="21" t="s">
        <v>165</v>
      </c>
      <c r="AK40" s="287"/>
    </row>
    <row r="41" ht="15.75" customHeight="1">
      <c r="A41" s="148" t="s">
        <v>107</v>
      </c>
      <c r="B41" s="129">
        <f>1</f>
        <v>1</v>
      </c>
      <c r="C41" s="323"/>
      <c r="D41" s="129">
        <f>1-1</f>
        <v>0</v>
      </c>
      <c r="E41" s="129"/>
      <c r="F41" s="129"/>
      <c r="G41" s="129"/>
      <c r="H41" s="129"/>
      <c r="I41" s="129"/>
      <c r="J41" s="129"/>
      <c r="K41" s="151"/>
      <c r="R41" s="300" t="s">
        <v>14</v>
      </c>
      <c r="S41" s="324">
        <f>1</f>
        <v>1</v>
      </c>
      <c r="T41" s="324"/>
      <c r="U41" s="324"/>
      <c r="V41" s="324"/>
      <c r="W41" s="324"/>
      <c r="X41" s="324"/>
      <c r="Y41" s="324"/>
      <c r="Z41" s="324"/>
      <c r="AA41" s="324"/>
      <c r="AB41" s="324"/>
      <c r="AC41" s="324"/>
      <c r="AD41" s="324"/>
      <c r="AE41" s="324"/>
      <c r="AF41" s="324"/>
      <c r="AG41" s="324"/>
      <c r="AH41" s="324"/>
      <c r="AI41" s="324"/>
      <c r="AJ41" s="324"/>
      <c r="AK41" s="325"/>
    </row>
    <row r="42" ht="15.75" customHeight="1">
      <c r="A42" s="170" t="s">
        <v>109</v>
      </c>
      <c r="B42" s="129"/>
      <c r="C42" s="129"/>
      <c r="D42" s="129"/>
      <c r="E42" s="323"/>
      <c r="F42" s="129"/>
      <c r="G42" s="129"/>
      <c r="H42" s="129"/>
      <c r="I42" s="129"/>
      <c r="J42" s="129"/>
      <c r="K42" s="151"/>
      <c r="R42" s="300" t="s">
        <v>15</v>
      </c>
      <c r="S42" s="324"/>
      <c r="T42" s="324"/>
      <c r="U42" s="324"/>
      <c r="V42" s="324"/>
      <c r="W42" s="324"/>
      <c r="X42" s="324"/>
      <c r="Y42" s="324"/>
      <c r="Z42" s="324"/>
      <c r="AA42" s="324"/>
      <c r="AB42" s="324"/>
      <c r="AC42" s="324">
        <f>1</f>
        <v>1</v>
      </c>
      <c r="AD42" s="324"/>
      <c r="AE42" s="324"/>
      <c r="AF42" s="324"/>
      <c r="AG42" s="324"/>
      <c r="AH42" s="324"/>
      <c r="AI42" s="324"/>
      <c r="AJ42" s="324"/>
      <c r="AK42" s="326"/>
    </row>
    <row r="43" ht="15.75" customHeight="1">
      <c r="R43" s="300" t="s">
        <v>41</v>
      </c>
      <c r="S43" s="324"/>
      <c r="T43" s="324">
        <f>1</f>
        <v>1</v>
      </c>
      <c r="U43" s="324"/>
      <c r="V43" s="324"/>
      <c r="W43" s="324"/>
      <c r="X43" s="324"/>
      <c r="Y43" s="324"/>
      <c r="Z43" s="324"/>
      <c r="AA43" s="324"/>
      <c r="AB43" s="324"/>
      <c r="AC43" s="324"/>
      <c r="AD43" s="324"/>
      <c r="AE43" s="324"/>
      <c r="AF43" s="324"/>
      <c r="AG43" s="324"/>
      <c r="AH43" s="324"/>
      <c r="AI43" s="324"/>
      <c r="AJ43" s="324"/>
      <c r="AK43" s="325"/>
    </row>
    <row r="44" ht="15.75" customHeight="1">
      <c r="R44" s="300" t="s">
        <v>17</v>
      </c>
      <c r="S44" s="324"/>
      <c r="T44" s="324"/>
      <c r="U44" s="324"/>
      <c r="V44" s="324"/>
      <c r="W44" s="324"/>
      <c r="X44" s="324"/>
      <c r="Y44" s="324"/>
      <c r="Z44" s="324"/>
      <c r="AA44" s="324"/>
      <c r="AB44" s="324">
        <f>1</f>
        <v>1</v>
      </c>
      <c r="AC44" s="324"/>
      <c r="AD44" s="324"/>
      <c r="AE44" s="324"/>
      <c r="AF44" s="324"/>
      <c r="AG44" s="324"/>
      <c r="AH44" s="324"/>
      <c r="AI44" s="324"/>
      <c r="AJ44" s="324"/>
      <c r="AK44" s="325"/>
    </row>
    <row r="45" ht="15.75" customHeight="1">
      <c r="A45" s="327" t="s">
        <v>89</v>
      </c>
      <c r="B45" s="104"/>
      <c r="C45" s="104"/>
      <c r="D45" s="104"/>
      <c r="E45" s="104"/>
      <c r="F45" s="104"/>
      <c r="G45" s="104"/>
      <c r="H45" s="104"/>
      <c r="I45" s="104"/>
      <c r="J45" s="154"/>
      <c r="K45" s="328"/>
      <c r="R45" s="300" t="s">
        <v>18</v>
      </c>
      <c r="S45" s="324"/>
      <c r="T45" s="324"/>
      <c r="U45" s="324"/>
      <c r="V45" s="324">
        <f>1</f>
        <v>1</v>
      </c>
      <c r="W45" s="324"/>
      <c r="X45" s="324"/>
      <c r="Y45" s="324"/>
      <c r="Z45" s="324"/>
      <c r="AA45" s="324"/>
      <c r="AB45" s="324"/>
      <c r="AC45" s="324"/>
      <c r="AD45" s="324"/>
      <c r="AE45" s="324"/>
      <c r="AF45" s="324"/>
      <c r="AG45" s="324"/>
      <c r="AH45" s="324"/>
      <c r="AI45" s="324"/>
      <c r="AJ45" s="324"/>
      <c r="AK45" s="325"/>
    </row>
    <row r="46" ht="15.75" customHeight="1">
      <c r="A46" s="329" t="s">
        <v>166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42"/>
      <c r="R46" s="300" t="s">
        <v>19</v>
      </c>
      <c r="S46" s="324"/>
      <c r="T46" s="324"/>
      <c r="U46" s="324"/>
      <c r="V46" s="324"/>
      <c r="W46" s="324"/>
      <c r="X46" s="324"/>
      <c r="Y46" s="324"/>
      <c r="Z46" s="324"/>
      <c r="AA46" s="324"/>
      <c r="AB46" s="324"/>
      <c r="AC46" s="324">
        <f>1</f>
        <v>1</v>
      </c>
      <c r="AD46" s="324"/>
      <c r="AE46" s="324"/>
      <c r="AF46" s="324"/>
      <c r="AG46" s="324"/>
      <c r="AH46" s="324"/>
      <c r="AI46" s="324"/>
      <c r="AJ46" s="324"/>
      <c r="AK46" s="325"/>
    </row>
    <row r="47" ht="15.75" customHeight="1">
      <c r="A47" s="258"/>
      <c r="B47" s="106" t="s">
        <v>1</v>
      </c>
      <c r="C47" s="52"/>
      <c r="D47" s="52"/>
      <c r="E47" s="52"/>
      <c r="F47" s="52"/>
      <c r="G47" s="52"/>
      <c r="H47" s="52"/>
      <c r="I47" s="52"/>
      <c r="J47" s="93"/>
      <c r="K47" s="143"/>
      <c r="R47" s="300" t="s">
        <v>20</v>
      </c>
      <c r="S47" s="324"/>
      <c r="T47" s="324"/>
      <c r="U47" s="330"/>
      <c r="V47" s="324"/>
      <c r="W47" s="324"/>
      <c r="X47" s="324"/>
      <c r="Y47" s="324"/>
      <c r="Z47" s="324"/>
      <c r="AA47" s="324"/>
      <c r="AB47" s="324">
        <f>1</f>
        <v>1</v>
      </c>
      <c r="AC47" s="324"/>
      <c r="AD47" s="324"/>
      <c r="AE47" s="324"/>
      <c r="AF47" s="324"/>
      <c r="AG47" s="324"/>
      <c r="AH47" s="324"/>
      <c r="AI47" s="324"/>
      <c r="AJ47" s="324"/>
      <c r="AK47" s="325"/>
    </row>
    <row r="48" ht="15.75" customHeight="1">
      <c r="A48" s="258" t="s">
        <v>167</v>
      </c>
      <c r="B48" s="110">
        <v>28.0</v>
      </c>
      <c r="C48" s="110">
        <v>30.0</v>
      </c>
      <c r="D48" s="110">
        <v>32.0</v>
      </c>
      <c r="E48" s="110">
        <v>34.0</v>
      </c>
      <c r="F48" s="110">
        <v>36.0</v>
      </c>
      <c r="G48" s="110">
        <v>38.0</v>
      </c>
      <c r="H48" s="110">
        <v>40.0</v>
      </c>
      <c r="I48" s="110"/>
      <c r="J48" s="314"/>
      <c r="K48" s="143"/>
      <c r="R48" s="285"/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5"/>
      <c r="AH48" s="285"/>
      <c r="AI48" s="285"/>
      <c r="AJ48" s="285"/>
      <c r="AK48" s="331"/>
    </row>
    <row r="49" ht="15.75" customHeight="1">
      <c r="A49" s="332"/>
      <c r="B49" s="333" t="s">
        <v>4</v>
      </c>
      <c r="C49" s="333" t="s">
        <v>49</v>
      </c>
      <c r="D49" s="333" t="s">
        <v>50</v>
      </c>
      <c r="E49" s="333" t="s">
        <v>51</v>
      </c>
      <c r="F49" s="333" t="s">
        <v>52</v>
      </c>
      <c r="G49" s="333" t="s">
        <v>9</v>
      </c>
      <c r="H49" s="333" t="s">
        <v>10</v>
      </c>
      <c r="I49" s="333" t="s">
        <v>11</v>
      </c>
      <c r="J49" s="334" t="s">
        <v>12</v>
      </c>
      <c r="K49" s="335" t="s">
        <v>53</v>
      </c>
      <c r="R49" s="285"/>
      <c r="S49" s="285"/>
      <c r="T49" s="285"/>
      <c r="U49" s="285"/>
      <c r="V49" s="285"/>
      <c r="W49" s="285"/>
      <c r="X49" s="285"/>
      <c r="Y49" s="285"/>
      <c r="Z49" s="285"/>
      <c r="AA49" s="285"/>
      <c r="AB49" s="285"/>
      <c r="AC49" s="285"/>
      <c r="AD49" s="285"/>
      <c r="AE49" s="285"/>
      <c r="AF49" s="285"/>
      <c r="AG49" s="285"/>
      <c r="AH49" s="285"/>
      <c r="AI49" s="285"/>
      <c r="AJ49" s="285"/>
      <c r="AK49" s="287"/>
    </row>
    <row r="50" ht="15.75" customHeight="1">
      <c r="A50" s="71" t="s">
        <v>74</v>
      </c>
      <c r="B50" s="110"/>
      <c r="C50" s="110"/>
      <c r="D50" s="110"/>
      <c r="E50" s="110"/>
      <c r="F50" s="110"/>
      <c r="G50" s="110"/>
      <c r="H50" s="111"/>
      <c r="I50" s="110"/>
      <c r="J50" s="110"/>
      <c r="K50" s="336"/>
      <c r="R50" s="285"/>
      <c r="S50" s="337" t="s">
        <v>168</v>
      </c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3"/>
      <c r="AK50" s="287"/>
    </row>
    <row r="51" ht="15.75" customHeight="1">
      <c r="A51" s="148" t="s">
        <v>14</v>
      </c>
      <c r="B51" s="110"/>
      <c r="C51" s="110"/>
      <c r="D51" s="110"/>
      <c r="E51" s="110"/>
      <c r="F51" s="110"/>
      <c r="G51" s="110"/>
      <c r="H51" s="110"/>
      <c r="I51" s="110"/>
      <c r="J51" s="110"/>
      <c r="K51" s="336"/>
      <c r="R51" s="285"/>
      <c r="S51" s="54" t="s">
        <v>43</v>
      </c>
      <c r="T51" s="3"/>
      <c r="U51" s="3"/>
      <c r="V51" s="3"/>
      <c r="W51" s="3"/>
      <c r="X51" s="3"/>
      <c r="Y51" s="3"/>
      <c r="Z51" s="3"/>
      <c r="AA51" s="55"/>
      <c r="AB51" s="287"/>
      <c r="AC51" s="285"/>
      <c r="AD51" s="285"/>
      <c r="AE51" s="285"/>
      <c r="AF51" s="285"/>
      <c r="AG51" s="285"/>
      <c r="AH51" s="285"/>
      <c r="AI51" s="285"/>
      <c r="AJ51" s="285"/>
      <c r="AK51" s="285"/>
    </row>
    <row r="52" ht="15.75" customHeight="1">
      <c r="A52" s="71" t="s">
        <v>91</v>
      </c>
      <c r="B52" s="110"/>
      <c r="C52" s="110"/>
      <c r="D52" s="110"/>
      <c r="E52" s="110">
        <f>1</f>
        <v>1</v>
      </c>
      <c r="F52" s="110"/>
      <c r="G52" s="110"/>
      <c r="H52" s="110"/>
      <c r="I52" s="110"/>
      <c r="J52" s="110"/>
      <c r="K52" s="336"/>
      <c r="R52" s="294" t="s">
        <v>3</v>
      </c>
      <c r="S52" s="58" t="s">
        <v>4</v>
      </c>
      <c r="T52" s="58" t="s">
        <v>5</v>
      </c>
      <c r="U52" s="58" t="s">
        <v>6</v>
      </c>
      <c r="V52" s="58" t="s">
        <v>7</v>
      </c>
      <c r="W52" s="58" t="s">
        <v>52</v>
      </c>
      <c r="X52" s="58" t="s">
        <v>162</v>
      </c>
      <c r="Y52" s="58" t="s">
        <v>163</v>
      </c>
      <c r="Z52" s="58" t="s">
        <v>164</v>
      </c>
      <c r="AA52" s="59" t="s">
        <v>165</v>
      </c>
      <c r="AB52" s="287"/>
      <c r="AC52" s="285"/>
      <c r="AD52" s="285"/>
      <c r="AE52" s="285"/>
      <c r="AF52" s="285"/>
      <c r="AG52" s="285"/>
      <c r="AH52" s="285"/>
      <c r="AI52" s="285"/>
      <c r="AJ52" s="285"/>
      <c r="AK52" s="285"/>
    </row>
    <row r="53" ht="15.75" customHeight="1">
      <c r="A53" s="148" t="s">
        <v>36</v>
      </c>
      <c r="B53" s="110"/>
      <c r="C53" s="110"/>
      <c r="D53" s="110"/>
      <c r="E53" s="110"/>
      <c r="F53" s="110"/>
      <c r="G53" s="110"/>
      <c r="H53" s="110"/>
      <c r="I53" s="110"/>
      <c r="J53" s="110"/>
      <c r="K53" s="336"/>
      <c r="R53" s="300" t="s">
        <v>14</v>
      </c>
      <c r="S53" s="47">
        <f t="shared" ref="S53:AA53" si="3">0</f>
        <v>0</v>
      </c>
      <c r="T53" s="47">
        <f t="shared" si="3"/>
        <v>0</v>
      </c>
      <c r="U53" s="47">
        <f t="shared" si="3"/>
        <v>0</v>
      </c>
      <c r="V53" s="47">
        <f t="shared" si="3"/>
        <v>0</v>
      </c>
      <c r="W53" s="47">
        <f t="shared" si="3"/>
        <v>0</v>
      </c>
      <c r="X53" s="47">
        <f t="shared" si="3"/>
        <v>0</v>
      </c>
      <c r="Y53" s="47">
        <f t="shared" si="3"/>
        <v>0</v>
      </c>
      <c r="Z53" s="47">
        <f t="shared" si="3"/>
        <v>0</v>
      </c>
      <c r="AA53" s="47">
        <f t="shared" si="3"/>
        <v>0</v>
      </c>
      <c r="AB53" s="325"/>
      <c r="AC53" s="285"/>
      <c r="AD53" s="285"/>
      <c r="AE53" s="285"/>
      <c r="AF53" s="285"/>
      <c r="AG53" s="285"/>
      <c r="AH53" s="285"/>
      <c r="AI53" s="285"/>
      <c r="AJ53" s="285"/>
      <c r="AK53" s="285"/>
    </row>
    <row r="54" ht="15.75" customHeight="1">
      <c r="A54" s="148" t="s">
        <v>27</v>
      </c>
      <c r="B54" s="110"/>
      <c r="C54" s="110"/>
      <c r="D54" s="110"/>
      <c r="E54" s="110"/>
      <c r="F54" s="110"/>
      <c r="G54" s="110"/>
      <c r="H54" s="110"/>
      <c r="I54" s="110"/>
      <c r="J54" s="110"/>
      <c r="K54" s="336"/>
      <c r="R54" s="300" t="s">
        <v>15</v>
      </c>
      <c r="S54" s="324"/>
      <c r="T54" s="324"/>
      <c r="U54" s="324"/>
      <c r="V54" s="324"/>
      <c r="W54" s="324"/>
      <c r="X54" s="324">
        <f>1</f>
        <v>1</v>
      </c>
      <c r="Y54" s="324"/>
      <c r="Z54" s="324"/>
      <c r="AA54" s="324"/>
      <c r="AB54" s="325"/>
      <c r="AC54" s="285"/>
      <c r="AD54" s="285"/>
      <c r="AE54" s="285"/>
      <c r="AF54" s="285"/>
      <c r="AG54" s="285"/>
      <c r="AH54" s="285"/>
      <c r="AI54" s="285"/>
      <c r="AJ54" s="285"/>
      <c r="AK54" s="285"/>
    </row>
    <row r="55" ht="15.75" customHeight="1">
      <c r="A55" s="7"/>
      <c r="B55" s="119"/>
      <c r="C55" s="119"/>
      <c r="D55" s="119"/>
      <c r="E55" s="119"/>
      <c r="F55" s="119"/>
      <c r="G55" s="119"/>
      <c r="H55" s="119"/>
      <c r="I55" s="119"/>
      <c r="J55" s="119"/>
      <c r="K55" s="311">
        <f>SUM(K50:K54)</f>
        <v>0</v>
      </c>
      <c r="R55" s="300" t="s">
        <v>44</v>
      </c>
      <c r="S55" s="324"/>
      <c r="T55" s="324"/>
      <c r="U55" s="324"/>
      <c r="V55" s="324">
        <f>1</f>
        <v>1</v>
      </c>
      <c r="W55" s="324"/>
      <c r="X55" s="324"/>
      <c r="Y55" s="324"/>
      <c r="Z55" s="324"/>
      <c r="AA55" s="324"/>
      <c r="AB55" s="325"/>
      <c r="AC55" s="285"/>
      <c r="AD55" s="285"/>
      <c r="AE55" s="285"/>
      <c r="AF55" s="285"/>
      <c r="AG55" s="285"/>
      <c r="AH55" s="285"/>
      <c r="AI55" s="285"/>
      <c r="AJ55" s="285"/>
      <c r="AK55" s="285"/>
    </row>
    <row r="56" ht="15.75" customHeight="1">
      <c r="A56" s="338" t="s">
        <v>169</v>
      </c>
      <c r="B56" s="52"/>
      <c r="C56" s="52"/>
      <c r="D56" s="52"/>
      <c r="E56" s="52"/>
      <c r="F56" s="52"/>
      <c r="G56" s="52"/>
      <c r="H56" s="52"/>
      <c r="I56" s="52"/>
      <c r="J56" s="52"/>
      <c r="K56" s="53"/>
      <c r="R56" s="300" t="s">
        <v>18</v>
      </c>
      <c r="S56" s="324">
        <f>1</f>
        <v>1</v>
      </c>
      <c r="T56" s="324"/>
      <c r="U56" s="324"/>
      <c r="V56" s="324"/>
      <c r="W56" s="324"/>
      <c r="X56" s="324"/>
      <c r="Y56" s="324"/>
      <c r="Z56" s="324"/>
      <c r="AA56" s="324"/>
      <c r="AB56" s="325"/>
      <c r="AC56" s="285"/>
      <c r="AD56" s="285"/>
      <c r="AE56" s="285"/>
      <c r="AF56" s="285"/>
      <c r="AG56" s="285"/>
      <c r="AH56" s="285"/>
      <c r="AI56" s="285"/>
      <c r="AJ56" s="285"/>
      <c r="AK56" s="285"/>
    </row>
    <row r="57" ht="15.75" customHeight="1">
      <c r="A57" s="258"/>
      <c r="B57" s="106" t="s">
        <v>2</v>
      </c>
      <c r="C57" s="52"/>
      <c r="D57" s="52"/>
      <c r="E57" s="52"/>
      <c r="F57" s="52"/>
      <c r="G57" s="52"/>
      <c r="H57" s="52"/>
      <c r="I57" s="52"/>
      <c r="J57" s="93"/>
      <c r="K57" s="151"/>
      <c r="R57" s="300" t="s">
        <v>19</v>
      </c>
      <c r="S57" s="324"/>
      <c r="T57" s="324"/>
      <c r="U57" s="324">
        <f>1</f>
        <v>1</v>
      </c>
      <c r="V57" s="324"/>
      <c r="W57" s="324"/>
      <c r="X57" s="324"/>
      <c r="Y57" s="324"/>
      <c r="Z57" s="324"/>
      <c r="AA57" s="324"/>
      <c r="AB57" s="325"/>
      <c r="AC57" s="285"/>
      <c r="AD57" s="285"/>
      <c r="AE57" s="285"/>
      <c r="AF57" s="285"/>
      <c r="AG57" s="285"/>
      <c r="AH57" s="285"/>
      <c r="AI57" s="285"/>
      <c r="AJ57" s="285"/>
      <c r="AK57" s="285"/>
    </row>
    <row r="58" ht="15.75" customHeight="1">
      <c r="A58" s="258" t="s">
        <v>93</v>
      </c>
      <c r="B58" s="110">
        <v>28.0</v>
      </c>
      <c r="C58" s="110">
        <v>30.0</v>
      </c>
      <c r="D58" s="110">
        <v>32.0</v>
      </c>
      <c r="E58" s="110">
        <v>34.0</v>
      </c>
      <c r="F58" s="110">
        <v>36.0</v>
      </c>
      <c r="G58" s="110">
        <v>38.0</v>
      </c>
      <c r="H58" s="110">
        <v>40.0</v>
      </c>
      <c r="I58" s="110"/>
      <c r="J58" s="314"/>
      <c r="K58" s="151"/>
      <c r="R58" s="300" t="s">
        <v>20</v>
      </c>
      <c r="S58" s="324"/>
      <c r="T58" s="324">
        <f>1</f>
        <v>1</v>
      </c>
      <c r="U58" s="324"/>
      <c r="V58" s="324"/>
      <c r="W58" s="324"/>
      <c r="X58" s="324"/>
      <c r="Y58" s="324"/>
      <c r="Z58" s="324"/>
      <c r="AA58" s="324"/>
      <c r="AB58" s="339"/>
      <c r="AC58" s="285"/>
      <c r="AD58" s="285"/>
      <c r="AE58" s="285"/>
      <c r="AF58" s="285"/>
      <c r="AG58" s="285"/>
      <c r="AH58" s="285"/>
      <c r="AI58" s="285"/>
      <c r="AJ58" s="285"/>
      <c r="AK58" s="285"/>
    </row>
    <row r="59" ht="15.75" customHeight="1">
      <c r="A59" s="258"/>
      <c r="B59" s="123" t="s">
        <v>4</v>
      </c>
      <c r="C59" s="123" t="s">
        <v>49</v>
      </c>
      <c r="D59" s="123" t="s">
        <v>50</v>
      </c>
      <c r="E59" s="123" t="s">
        <v>51</v>
      </c>
      <c r="F59" s="123" t="s">
        <v>52</v>
      </c>
      <c r="G59" s="123" t="s">
        <v>9</v>
      </c>
      <c r="H59" s="123" t="s">
        <v>10</v>
      </c>
      <c r="I59" s="123" t="s">
        <v>11</v>
      </c>
      <c r="J59" s="315" t="s">
        <v>12</v>
      </c>
      <c r="K59" s="288" t="s">
        <v>53</v>
      </c>
      <c r="R59" s="285"/>
      <c r="S59" s="285"/>
      <c r="T59" s="285"/>
      <c r="U59" s="285"/>
      <c r="V59" s="285"/>
      <c r="W59" s="285"/>
      <c r="X59" s="285"/>
      <c r="Y59" s="285"/>
      <c r="Z59" s="285"/>
      <c r="AA59" s="285"/>
      <c r="AB59" s="340"/>
      <c r="AC59" s="53"/>
      <c r="AD59" s="285"/>
      <c r="AE59" s="285"/>
      <c r="AF59" s="285"/>
      <c r="AG59" s="285"/>
      <c r="AH59" s="285"/>
      <c r="AI59" s="285"/>
      <c r="AJ59" s="285"/>
      <c r="AK59" s="285"/>
    </row>
    <row r="60" ht="15.75" customHeight="1">
      <c r="A60" s="71" t="s">
        <v>74</v>
      </c>
      <c r="B60" s="110"/>
      <c r="C60" s="110"/>
      <c r="D60" s="110"/>
      <c r="E60" s="110"/>
      <c r="F60" s="110"/>
      <c r="G60" s="110"/>
      <c r="H60" s="110"/>
      <c r="I60" s="110"/>
      <c r="J60" s="110"/>
      <c r="K60" s="151"/>
    </row>
    <row r="61" ht="15.75" customHeight="1">
      <c r="A61" s="148" t="s">
        <v>14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51"/>
    </row>
    <row r="62" ht="15.75" customHeight="1">
      <c r="A62" s="71" t="s">
        <v>91</v>
      </c>
      <c r="B62" s="110"/>
      <c r="C62" s="110"/>
      <c r="D62" s="110"/>
      <c r="E62" s="110"/>
      <c r="F62" s="110"/>
      <c r="G62" s="110"/>
      <c r="H62" s="110"/>
      <c r="I62" s="110"/>
      <c r="J62" s="110"/>
      <c r="K62" s="151"/>
    </row>
    <row r="63" ht="15.75" customHeight="1">
      <c r="A63" s="148" t="s">
        <v>36</v>
      </c>
      <c r="B63" s="110"/>
      <c r="C63" s="110"/>
      <c r="D63" s="110"/>
      <c r="E63" s="110"/>
      <c r="F63" s="110"/>
      <c r="G63" s="110"/>
      <c r="H63" s="110"/>
      <c r="I63" s="110"/>
      <c r="J63" s="110"/>
      <c r="K63" s="151"/>
    </row>
    <row r="64" ht="15.75" customHeight="1">
      <c r="A64" s="148" t="s">
        <v>27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51"/>
    </row>
    <row r="65" ht="15.75" customHeight="1">
      <c r="A65" s="170"/>
      <c r="B65" s="119"/>
      <c r="C65" s="119"/>
      <c r="D65" s="119"/>
      <c r="E65" s="119"/>
      <c r="F65" s="119"/>
      <c r="G65" s="119"/>
      <c r="H65" s="119"/>
      <c r="I65" s="119"/>
      <c r="J65" s="119"/>
      <c r="K65" s="311">
        <f>SUM(K60:K64)</f>
        <v>0</v>
      </c>
      <c r="R65" s="150" t="s">
        <v>77</v>
      </c>
      <c r="S65" s="52"/>
      <c r="T65" s="52"/>
      <c r="U65" s="52"/>
      <c r="V65" s="52"/>
      <c r="W65" s="52"/>
      <c r="X65" s="52"/>
      <c r="Y65" s="52"/>
      <c r="Z65" s="52"/>
      <c r="AA65" s="52"/>
      <c r="AB65" s="53"/>
    </row>
    <row r="66" ht="15.75" customHeight="1">
      <c r="A66" s="7"/>
      <c r="B66" s="119"/>
      <c r="C66" s="119"/>
      <c r="D66" s="119"/>
      <c r="E66" s="119"/>
      <c r="F66" s="119"/>
      <c r="G66" s="119"/>
      <c r="H66" s="119"/>
      <c r="I66" s="119"/>
      <c r="J66" s="119"/>
      <c r="K66" s="253"/>
      <c r="R66" s="258"/>
      <c r="S66" s="72" t="s">
        <v>170</v>
      </c>
      <c r="T66" s="52"/>
      <c r="U66" s="52"/>
      <c r="V66" s="52"/>
      <c r="W66" s="52"/>
      <c r="X66" s="52"/>
      <c r="Y66" s="52"/>
      <c r="Z66" s="52"/>
      <c r="AA66" s="53"/>
      <c r="AB66" s="143"/>
    </row>
    <row r="67" ht="15.75" customHeight="1">
      <c r="A67" s="338" t="s">
        <v>171</v>
      </c>
      <c r="B67" s="52"/>
      <c r="C67" s="52"/>
      <c r="D67" s="52"/>
      <c r="E67" s="52"/>
      <c r="F67" s="52"/>
      <c r="G67" s="52"/>
      <c r="H67" s="52"/>
      <c r="I67" s="52"/>
      <c r="J67" s="52"/>
      <c r="K67" s="53"/>
      <c r="R67" s="258" t="s">
        <v>93</v>
      </c>
      <c r="S67" s="110">
        <v>28.0</v>
      </c>
      <c r="T67" s="110">
        <v>30.0</v>
      </c>
      <c r="U67" s="110">
        <v>32.0</v>
      </c>
      <c r="V67" s="110">
        <v>34.0</v>
      </c>
      <c r="W67" s="110">
        <v>36.0</v>
      </c>
      <c r="X67" s="110">
        <v>38.0</v>
      </c>
      <c r="Y67" s="110">
        <v>40.0</v>
      </c>
      <c r="Z67" s="110"/>
      <c r="AA67" s="314"/>
      <c r="AB67" s="143"/>
    </row>
    <row r="68" ht="15.75" customHeight="1">
      <c r="A68" s="258"/>
      <c r="B68" s="106" t="s">
        <v>1</v>
      </c>
      <c r="C68" s="52"/>
      <c r="D68" s="52"/>
      <c r="E68" s="52"/>
      <c r="F68" s="52"/>
      <c r="G68" s="52"/>
      <c r="H68" s="52"/>
      <c r="I68" s="52"/>
      <c r="J68" s="53"/>
      <c r="K68" s="253"/>
      <c r="R68" s="258"/>
      <c r="S68" s="123" t="s">
        <v>4</v>
      </c>
      <c r="T68" s="123" t="s">
        <v>49</v>
      </c>
      <c r="U68" s="123" t="s">
        <v>50</v>
      </c>
      <c r="V68" s="123" t="s">
        <v>51</v>
      </c>
      <c r="W68" s="123" t="s">
        <v>52</v>
      </c>
      <c r="X68" s="123" t="s">
        <v>9</v>
      </c>
      <c r="Y68" s="123" t="s">
        <v>10</v>
      </c>
      <c r="Z68" s="123" t="s">
        <v>11</v>
      </c>
      <c r="AA68" s="315" t="s">
        <v>12</v>
      </c>
      <c r="AB68" s="109" t="s">
        <v>53</v>
      </c>
    </row>
    <row r="69" ht="15.75" customHeight="1">
      <c r="A69" s="258" t="s">
        <v>93</v>
      </c>
      <c r="B69" s="110">
        <v>28.0</v>
      </c>
      <c r="C69" s="110">
        <v>30.0</v>
      </c>
      <c r="D69" s="110">
        <v>32.0</v>
      </c>
      <c r="E69" s="110">
        <v>34.0</v>
      </c>
      <c r="F69" s="110">
        <v>36.0</v>
      </c>
      <c r="G69" s="110">
        <v>38.0</v>
      </c>
      <c r="H69" s="110">
        <v>40.0</v>
      </c>
      <c r="I69" s="110"/>
      <c r="J69" s="110"/>
      <c r="K69" s="151"/>
      <c r="R69" s="148" t="s">
        <v>23</v>
      </c>
      <c r="S69" s="110">
        <f t="shared" ref="S69:S70" si="4">1</f>
        <v>1</v>
      </c>
      <c r="T69" s="110"/>
      <c r="U69" s="110"/>
      <c r="V69" s="110">
        <f t="shared" ref="V69:V70" si="5">1</f>
        <v>1</v>
      </c>
      <c r="W69" s="110"/>
      <c r="X69" s="110"/>
      <c r="Y69" s="110"/>
      <c r="Z69" s="110"/>
      <c r="AA69" s="110"/>
      <c r="AB69" s="143"/>
    </row>
    <row r="70" ht="15.75" customHeight="1">
      <c r="A70" s="258"/>
      <c r="B70" s="123" t="s">
        <v>4</v>
      </c>
      <c r="C70" s="123" t="s">
        <v>49</v>
      </c>
      <c r="D70" s="123" t="s">
        <v>50</v>
      </c>
      <c r="E70" s="123" t="s">
        <v>51</v>
      </c>
      <c r="F70" s="123" t="s">
        <v>52</v>
      </c>
      <c r="G70" s="123" t="s">
        <v>9</v>
      </c>
      <c r="H70" s="123" t="s">
        <v>10</v>
      </c>
      <c r="I70" s="123" t="s">
        <v>11</v>
      </c>
      <c r="J70" s="123" t="s">
        <v>12</v>
      </c>
      <c r="K70" s="288" t="s">
        <v>53</v>
      </c>
      <c r="R70" s="71" t="s">
        <v>28</v>
      </c>
      <c r="S70" s="110">
        <f t="shared" si="4"/>
        <v>1</v>
      </c>
      <c r="T70" s="110"/>
      <c r="U70" s="110"/>
      <c r="V70" s="110">
        <f t="shared" si="5"/>
        <v>1</v>
      </c>
      <c r="W70" s="110"/>
      <c r="X70" s="110"/>
      <c r="Y70" s="110"/>
      <c r="Z70" s="110"/>
      <c r="AA70" s="110"/>
      <c r="AB70" s="143"/>
    </row>
    <row r="71" ht="15.75" customHeight="1">
      <c r="A71" s="71" t="s">
        <v>74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51"/>
      <c r="R71" s="7"/>
      <c r="S71" s="119"/>
      <c r="T71" s="119"/>
      <c r="U71" s="119"/>
      <c r="V71" s="119"/>
      <c r="W71" s="119"/>
      <c r="X71" s="119"/>
      <c r="Y71" s="119"/>
      <c r="Z71" s="119"/>
      <c r="AA71" s="119"/>
      <c r="AB71" s="341">
        <f>SUM(AB69:AB70)</f>
        <v>0</v>
      </c>
    </row>
    <row r="72" ht="15.75" customHeight="1">
      <c r="A72" s="71" t="s">
        <v>94</v>
      </c>
      <c r="B72" s="110"/>
      <c r="C72" s="110"/>
      <c r="D72" s="110"/>
      <c r="E72" s="110"/>
      <c r="F72" s="110"/>
      <c r="G72" s="110"/>
      <c r="H72" s="110"/>
      <c r="I72" s="110"/>
      <c r="J72" s="110"/>
      <c r="K72" s="151"/>
      <c r="AB72" s="253"/>
    </row>
    <row r="73" ht="15.75" customHeight="1">
      <c r="A73" s="7"/>
      <c r="B73" s="119"/>
      <c r="C73" s="119"/>
      <c r="D73" s="119"/>
      <c r="E73" s="119"/>
      <c r="F73" s="119"/>
      <c r="G73" s="119"/>
      <c r="H73" s="119"/>
      <c r="I73" s="119"/>
      <c r="J73" s="119"/>
      <c r="K73" s="311">
        <f>SUM(K71:K72)</f>
        <v>0</v>
      </c>
      <c r="R73" s="150" t="s">
        <v>77</v>
      </c>
      <c r="S73" s="52"/>
      <c r="T73" s="52"/>
      <c r="U73" s="52"/>
      <c r="V73" s="52"/>
      <c r="W73" s="52"/>
      <c r="X73" s="52"/>
      <c r="Y73" s="52"/>
      <c r="Z73" s="52"/>
      <c r="AA73" s="52"/>
      <c r="AB73" s="53"/>
    </row>
    <row r="74" ht="15.75" customHeight="1">
      <c r="A74" s="338" t="s">
        <v>172</v>
      </c>
      <c r="B74" s="52"/>
      <c r="C74" s="52"/>
      <c r="D74" s="52"/>
      <c r="E74" s="52"/>
      <c r="F74" s="52"/>
      <c r="G74" s="52"/>
      <c r="H74" s="52"/>
      <c r="I74" s="52"/>
      <c r="J74" s="52"/>
      <c r="K74" s="53"/>
      <c r="R74" s="258"/>
      <c r="S74" s="72" t="s">
        <v>173</v>
      </c>
      <c r="T74" s="52"/>
      <c r="U74" s="52"/>
      <c r="V74" s="52"/>
      <c r="W74" s="52"/>
      <c r="X74" s="52"/>
      <c r="Y74" s="52"/>
      <c r="Z74" s="52"/>
      <c r="AA74" s="53"/>
      <c r="AB74" s="143"/>
    </row>
    <row r="75" ht="15.75" customHeight="1">
      <c r="A75" s="258"/>
      <c r="B75" s="106" t="s">
        <v>2</v>
      </c>
      <c r="C75" s="52"/>
      <c r="D75" s="52"/>
      <c r="E75" s="52"/>
      <c r="F75" s="52"/>
      <c r="G75" s="52"/>
      <c r="H75" s="52"/>
      <c r="I75" s="52"/>
      <c r="J75" s="93"/>
      <c r="K75" s="151"/>
      <c r="R75" s="258" t="s">
        <v>93</v>
      </c>
      <c r="S75" s="110">
        <v>28.0</v>
      </c>
      <c r="T75" s="110">
        <v>30.0</v>
      </c>
      <c r="U75" s="110">
        <v>32.0</v>
      </c>
      <c r="V75" s="110">
        <v>34.0</v>
      </c>
      <c r="W75" s="110">
        <v>36.0</v>
      </c>
      <c r="X75" s="110">
        <v>38.0</v>
      </c>
      <c r="Y75" s="110">
        <v>40.0</v>
      </c>
      <c r="Z75" s="110"/>
      <c r="AA75" s="314"/>
      <c r="AB75" s="143"/>
    </row>
    <row r="76" ht="15.75" customHeight="1">
      <c r="A76" s="258" t="s">
        <v>93</v>
      </c>
      <c r="B76" s="110">
        <v>28.0</v>
      </c>
      <c r="C76" s="110">
        <v>30.0</v>
      </c>
      <c r="D76" s="110">
        <v>32.0</v>
      </c>
      <c r="E76" s="110">
        <v>34.0</v>
      </c>
      <c r="F76" s="110">
        <v>36.0</v>
      </c>
      <c r="G76" s="110">
        <v>38.0</v>
      </c>
      <c r="H76" s="110">
        <v>40.0</v>
      </c>
      <c r="I76" s="110"/>
      <c r="J76" s="314"/>
      <c r="K76" s="151"/>
      <c r="R76" s="258"/>
      <c r="S76" s="123" t="s">
        <v>4</v>
      </c>
      <c r="T76" s="123" t="s">
        <v>49</v>
      </c>
      <c r="U76" s="123" t="s">
        <v>50</v>
      </c>
      <c r="V76" s="123" t="s">
        <v>51</v>
      </c>
      <c r="W76" s="123" t="s">
        <v>52</v>
      </c>
      <c r="X76" s="123" t="s">
        <v>9</v>
      </c>
      <c r="Y76" s="123" t="s">
        <v>10</v>
      </c>
      <c r="Z76" s="123" t="s">
        <v>11</v>
      </c>
      <c r="AA76" s="315" t="s">
        <v>12</v>
      </c>
      <c r="AB76" s="109" t="s">
        <v>53</v>
      </c>
    </row>
    <row r="77" ht="15.75" customHeight="1">
      <c r="A77" s="258"/>
      <c r="B77" s="123" t="s">
        <v>4</v>
      </c>
      <c r="C77" s="123" t="s">
        <v>49</v>
      </c>
      <c r="D77" s="123" t="s">
        <v>50</v>
      </c>
      <c r="E77" s="123" t="s">
        <v>51</v>
      </c>
      <c r="F77" s="123" t="s">
        <v>52</v>
      </c>
      <c r="G77" s="123" t="s">
        <v>9</v>
      </c>
      <c r="H77" s="123" t="s">
        <v>10</v>
      </c>
      <c r="I77" s="123" t="s">
        <v>11</v>
      </c>
      <c r="J77" s="315" t="s">
        <v>12</v>
      </c>
      <c r="K77" s="288" t="s">
        <v>53</v>
      </c>
      <c r="R77" s="148" t="s">
        <v>133</v>
      </c>
      <c r="S77" s="110">
        <f t="shared" ref="S77:T77" si="6">0</f>
        <v>0</v>
      </c>
      <c r="T77" s="110">
        <f t="shared" si="6"/>
        <v>0</v>
      </c>
      <c r="U77" s="110">
        <f>1</f>
        <v>1</v>
      </c>
      <c r="V77" s="110">
        <f t="shared" ref="V77:AA77" si="7">0</f>
        <v>0</v>
      </c>
      <c r="W77" s="110">
        <f t="shared" si="7"/>
        <v>0</v>
      </c>
      <c r="X77" s="110">
        <f t="shared" si="7"/>
        <v>0</v>
      </c>
      <c r="Y77" s="110">
        <f t="shared" si="7"/>
        <v>0</v>
      </c>
      <c r="Z77" s="110">
        <f t="shared" si="7"/>
        <v>0</v>
      </c>
      <c r="AA77" s="110">
        <f t="shared" si="7"/>
        <v>0</v>
      </c>
      <c r="AB77" s="145">
        <f t="shared" ref="AB77:AB78" si="10">SUM(S77:AA77)</f>
        <v>1</v>
      </c>
    </row>
    <row r="78" ht="15.75" customHeight="1">
      <c r="A78" s="71" t="s">
        <v>74</v>
      </c>
      <c r="B78" s="110">
        <f>0+1-1</f>
        <v>0</v>
      </c>
      <c r="C78" s="110">
        <f>0+2-2</f>
        <v>0</v>
      </c>
      <c r="D78" s="110">
        <f>0+2-2+1</f>
        <v>1</v>
      </c>
      <c r="E78" s="110">
        <f>0+2-1+1-2</f>
        <v>0</v>
      </c>
      <c r="F78" s="110">
        <f>0+3-3</f>
        <v>0</v>
      </c>
      <c r="G78" s="110">
        <f>0</f>
        <v>0</v>
      </c>
      <c r="H78" s="110">
        <f>0+1-1</f>
        <v>0</v>
      </c>
      <c r="I78" s="110">
        <f t="shared" ref="I78:J78" si="8">0</f>
        <v>0</v>
      </c>
      <c r="J78" s="110">
        <f t="shared" si="8"/>
        <v>0</v>
      </c>
      <c r="K78" s="151">
        <f t="shared" ref="K78:K79" si="13">SUM(B78:J78)</f>
        <v>1</v>
      </c>
      <c r="R78" s="71" t="s">
        <v>134</v>
      </c>
      <c r="S78" s="110">
        <f>0</f>
        <v>0</v>
      </c>
      <c r="T78" s="111">
        <f>1</f>
        <v>1</v>
      </c>
      <c r="U78" s="110">
        <f t="shared" ref="U78:AA78" si="9">0</f>
        <v>0</v>
      </c>
      <c r="V78" s="110">
        <f t="shared" si="9"/>
        <v>0</v>
      </c>
      <c r="W78" s="110">
        <f t="shared" si="9"/>
        <v>0</v>
      </c>
      <c r="X78" s="110">
        <f t="shared" si="9"/>
        <v>0</v>
      </c>
      <c r="Y78" s="110">
        <f t="shared" si="9"/>
        <v>0</v>
      </c>
      <c r="Z78" s="110">
        <f t="shared" si="9"/>
        <v>0</v>
      </c>
      <c r="AA78" s="110">
        <f t="shared" si="9"/>
        <v>0</v>
      </c>
      <c r="AB78" s="145">
        <f t="shared" si="10"/>
        <v>1</v>
      </c>
    </row>
    <row r="79" ht="15.75" customHeight="1">
      <c r="A79" s="71" t="s">
        <v>94</v>
      </c>
      <c r="B79" s="110">
        <f t="shared" ref="B79:C79" si="11">0+1</f>
        <v>1</v>
      </c>
      <c r="C79" s="110">
        <f t="shared" si="11"/>
        <v>1</v>
      </c>
      <c r="D79" s="110">
        <f>0+5+3</f>
        <v>8</v>
      </c>
      <c r="E79" s="110">
        <f>0+1-1+1-1+1+1</f>
        <v>2</v>
      </c>
      <c r="F79" s="110">
        <f>0+3+1</f>
        <v>4</v>
      </c>
      <c r="G79" s="110">
        <f>0+3</f>
        <v>3</v>
      </c>
      <c r="H79" s="110">
        <f>0+2-1</f>
        <v>1</v>
      </c>
      <c r="I79" s="110">
        <f t="shared" ref="I79:J79" si="12">0</f>
        <v>0</v>
      </c>
      <c r="J79" s="110">
        <f t="shared" si="12"/>
        <v>0</v>
      </c>
      <c r="K79" s="151">
        <f t="shared" si="13"/>
        <v>20</v>
      </c>
      <c r="R79" s="7"/>
      <c r="S79" s="119"/>
      <c r="T79" s="119"/>
      <c r="U79" s="119"/>
      <c r="V79" s="119"/>
      <c r="W79" s="119"/>
      <c r="X79" s="119"/>
      <c r="Y79" s="119"/>
      <c r="Z79" s="119"/>
      <c r="AA79" s="119"/>
      <c r="AB79" s="342">
        <f>SUM(AB77:AB78)</f>
        <v>2</v>
      </c>
    </row>
    <row r="80" ht="15.75" customHeight="1">
      <c r="A80" s="7"/>
      <c r="B80" s="119"/>
      <c r="C80" s="119"/>
      <c r="D80" s="119"/>
      <c r="E80" s="119"/>
      <c r="F80" s="119"/>
      <c r="G80" s="119"/>
      <c r="H80" s="119"/>
      <c r="I80" s="119"/>
      <c r="J80" s="119"/>
      <c r="K80" s="303">
        <f>SUM(K78:K79)</f>
        <v>21</v>
      </c>
      <c r="AB80" s="253"/>
    </row>
    <row r="81" ht="15.75" customHeight="1">
      <c r="A81" s="7"/>
      <c r="B81" s="119"/>
      <c r="C81" s="119"/>
      <c r="D81" s="119"/>
      <c r="E81" s="119"/>
      <c r="F81" s="119"/>
      <c r="G81" s="119"/>
      <c r="H81" s="119"/>
      <c r="I81" s="119"/>
      <c r="J81" s="119"/>
      <c r="K81" s="343"/>
      <c r="R81" s="150" t="s">
        <v>77</v>
      </c>
      <c r="S81" s="52"/>
      <c r="T81" s="52"/>
      <c r="U81" s="52"/>
      <c r="V81" s="52"/>
      <c r="W81" s="52"/>
      <c r="X81" s="52"/>
      <c r="Y81" s="52"/>
      <c r="Z81" s="52"/>
      <c r="AA81" s="52"/>
      <c r="AB81" s="53"/>
    </row>
    <row r="82" ht="15.75" customHeight="1">
      <c r="A82" s="338" t="s">
        <v>174</v>
      </c>
      <c r="B82" s="52"/>
      <c r="C82" s="52"/>
      <c r="D82" s="52"/>
      <c r="E82" s="52"/>
      <c r="F82" s="52"/>
      <c r="G82" s="52"/>
      <c r="H82" s="52"/>
      <c r="I82" s="52"/>
      <c r="J82" s="52"/>
      <c r="K82" s="53"/>
      <c r="R82" s="258"/>
      <c r="S82" s="72" t="s">
        <v>175</v>
      </c>
      <c r="T82" s="52"/>
      <c r="U82" s="52"/>
      <c r="V82" s="52"/>
      <c r="W82" s="52"/>
      <c r="X82" s="52"/>
      <c r="Y82" s="52"/>
      <c r="Z82" s="52"/>
      <c r="AA82" s="53"/>
      <c r="AB82" s="143"/>
    </row>
    <row r="83" ht="15.75" customHeight="1">
      <c r="A83" s="258"/>
      <c r="B83" s="106" t="s">
        <v>1</v>
      </c>
      <c r="C83" s="52"/>
      <c r="D83" s="52"/>
      <c r="E83" s="52"/>
      <c r="F83" s="52"/>
      <c r="G83" s="52"/>
      <c r="H83" s="52"/>
      <c r="I83" s="52"/>
      <c r="J83" s="53"/>
      <c r="K83" s="151"/>
      <c r="R83" s="258" t="s">
        <v>93</v>
      </c>
      <c r="S83" s="258"/>
      <c r="T83" s="110">
        <v>28.0</v>
      </c>
      <c r="U83" s="110">
        <v>30.0</v>
      </c>
      <c r="V83" s="110">
        <v>32.0</v>
      </c>
      <c r="W83" s="110">
        <v>34.0</v>
      </c>
      <c r="X83" s="110">
        <v>36.0</v>
      </c>
      <c r="Y83" s="110">
        <v>38.0</v>
      </c>
      <c r="Z83" s="110">
        <v>40.0</v>
      </c>
      <c r="AA83" s="110"/>
      <c r="AB83" s="314"/>
      <c r="AC83" s="143"/>
    </row>
    <row r="84" ht="15.75" customHeight="1">
      <c r="A84" s="258" t="s">
        <v>93</v>
      </c>
      <c r="B84" s="110">
        <v>28.0</v>
      </c>
      <c r="C84" s="110">
        <v>30.0</v>
      </c>
      <c r="D84" s="110">
        <v>32.0</v>
      </c>
      <c r="E84" s="110">
        <v>34.0</v>
      </c>
      <c r="F84" s="110">
        <v>36.0</v>
      </c>
      <c r="G84" s="110">
        <v>38.0</v>
      </c>
      <c r="H84" s="110">
        <v>40.0</v>
      </c>
      <c r="I84" s="110"/>
      <c r="J84" s="110"/>
      <c r="K84" s="151"/>
      <c r="R84" s="258"/>
      <c r="S84" s="123" t="s">
        <v>136</v>
      </c>
      <c r="T84" s="123" t="s">
        <v>4</v>
      </c>
      <c r="U84" s="123" t="s">
        <v>49</v>
      </c>
      <c r="V84" s="123" t="s">
        <v>50</v>
      </c>
      <c r="W84" s="123" t="s">
        <v>51</v>
      </c>
      <c r="X84" s="123" t="s">
        <v>52</v>
      </c>
      <c r="Y84" s="123" t="s">
        <v>9</v>
      </c>
      <c r="Z84" s="123" t="s">
        <v>10</v>
      </c>
      <c r="AA84" s="123" t="s">
        <v>11</v>
      </c>
      <c r="AB84" s="315" t="s">
        <v>12</v>
      </c>
      <c r="AC84" s="109" t="s">
        <v>53</v>
      </c>
    </row>
    <row r="85" ht="15.75" customHeight="1">
      <c r="A85" s="258"/>
      <c r="B85" s="123" t="s">
        <v>4</v>
      </c>
      <c r="C85" s="123" t="s">
        <v>49</v>
      </c>
      <c r="D85" s="123" t="s">
        <v>50</v>
      </c>
      <c r="E85" s="123" t="s">
        <v>51</v>
      </c>
      <c r="F85" s="123" t="s">
        <v>52</v>
      </c>
      <c r="G85" s="123" t="s">
        <v>9</v>
      </c>
      <c r="H85" s="123" t="s">
        <v>10</v>
      </c>
      <c r="I85" s="123" t="s">
        <v>11</v>
      </c>
      <c r="J85" s="123" t="s">
        <v>12</v>
      </c>
      <c r="K85" s="288" t="s">
        <v>53</v>
      </c>
      <c r="R85" s="148" t="s">
        <v>133</v>
      </c>
      <c r="S85" s="98">
        <f t="shared" ref="S85:T85" si="14">0</f>
        <v>0</v>
      </c>
      <c r="T85" s="98">
        <f t="shared" si="14"/>
        <v>0</v>
      </c>
      <c r="U85" s="98">
        <f>0+1+1-2+1+1-1</f>
        <v>1</v>
      </c>
      <c r="V85" s="98">
        <f t="shared" ref="V85:AB85" si="15">0</f>
        <v>0</v>
      </c>
      <c r="W85" s="98">
        <f t="shared" si="15"/>
        <v>0</v>
      </c>
      <c r="X85" s="98">
        <f t="shared" si="15"/>
        <v>0</v>
      </c>
      <c r="Y85" s="98">
        <f t="shared" si="15"/>
        <v>0</v>
      </c>
      <c r="Z85" s="98">
        <f t="shared" si="15"/>
        <v>0</v>
      </c>
      <c r="AA85" s="98">
        <f t="shared" si="15"/>
        <v>0</v>
      </c>
      <c r="AB85" s="98">
        <f t="shared" si="15"/>
        <v>0</v>
      </c>
      <c r="AC85" s="145"/>
    </row>
    <row r="86" ht="15.75" customHeight="1">
      <c r="A86" s="71" t="s">
        <v>74</v>
      </c>
      <c r="B86" s="110"/>
      <c r="C86" s="77">
        <v>1.0</v>
      </c>
      <c r="D86" s="110"/>
      <c r="E86" s="110"/>
      <c r="F86" s="110"/>
      <c r="G86" s="110"/>
      <c r="H86" s="110"/>
      <c r="I86" s="110"/>
      <c r="J86" s="110"/>
      <c r="K86" s="151"/>
      <c r="R86" s="71" t="s">
        <v>134</v>
      </c>
      <c r="S86" s="98">
        <f t="shared" ref="S86:U86" si="16">0</f>
        <v>0</v>
      </c>
      <c r="T86" s="98">
        <f t="shared" si="16"/>
        <v>0</v>
      </c>
      <c r="U86" s="98">
        <f t="shared" si="16"/>
        <v>0</v>
      </c>
      <c r="V86" s="98">
        <f>0+1</f>
        <v>1</v>
      </c>
      <c r="W86" s="98">
        <f t="shared" ref="W86:AB86" si="17">0</f>
        <v>0</v>
      </c>
      <c r="X86" s="98">
        <f t="shared" si="17"/>
        <v>0</v>
      </c>
      <c r="Y86" s="98">
        <f t="shared" si="17"/>
        <v>0</v>
      </c>
      <c r="Z86" s="98">
        <f t="shared" si="17"/>
        <v>0</v>
      </c>
      <c r="AA86" s="98">
        <f t="shared" si="17"/>
        <v>0</v>
      </c>
      <c r="AB86" s="98">
        <f t="shared" si="17"/>
        <v>0</v>
      </c>
      <c r="AC86" s="145"/>
    </row>
    <row r="87" ht="15.75" customHeight="1">
      <c r="A87" s="148" t="s">
        <v>14</v>
      </c>
      <c r="B87" s="110"/>
      <c r="C87" s="110"/>
      <c r="D87" s="110"/>
      <c r="E87" s="110"/>
      <c r="F87" s="110">
        <f>1-1</f>
        <v>0</v>
      </c>
      <c r="G87" s="110"/>
      <c r="H87" s="110"/>
      <c r="I87" s="110"/>
      <c r="J87" s="110"/>
      <c r="K87" s="151"/>
      <c r="R87" s="7"/>
      <c r="S87" s="119"/>
      <c r="T87" s="119"/>
      <c r="U87" s="119"/>
      <c r="V87" s="119"/>
      <c r="W87" s="344"/>
      <c r="X87" s="119"/>
      <c r="Y87" s="119"/>
      <c r="Z87" s="119"/>
      <c r="AA87" s="119"/>
      <c r="AC87" s="342">
        <f>SUM(AC85:AC86)</f>
        <v>0</v>
      </c>
    </row>
    <row r="88" ht="15.75" customHeight="1">
      <c r="A88" s="71" t="s">
        <v>15</v>
      </c>
      <c r="B88" s="110"/>
      <c r="C88" s="110"/>
      <c r="D88" s="110">
        <f>1-1</f>
        <v>0</v>
      </c>
      <c r="E88" s="110"/>
      <c r="F88" s="110"/>
      <c r="G88" s="110"/>
      <c r="H88" s="110"/>
      <c r="I88" s="110"/>
      <c r="J88" s="110"/>
      <c r="K88" s="151"/>
      <c r="AB88" s="253"/>
    </row>
    <row r="89" ht="15.75" customHeight="1">
      <c r="A89" s="148" t="s">
        <v>96</v>
      </c>
      <c r="B89" s="110"/>
      <c r="C89" s="110"/>
      <c r="D89" s="110"/>
      <c r="E89" s="110"/>
      <c r="F89" s="110"/>
      <c r="G89" s="110"/>
      <c r="H89" s="110"/>
      <c r="I89" s="110"/>
      <c r="J89" s="110"/>
      <c r="K89" s="151"/>
      <c r="R89" s="150" t="s">
        <v>77</v>
      </c>
      <c r="S89" s="52"/>
      <c r="T89" s="52"/>
      <c r="U89" s="52"/>
      <c r="V89" s="52"/>
      <c r="W89" s="52"/>
      <c r="X89" s="52"/>
      <c r="Y89" s="52"/>
      <c r="Z89" s="52"/>
      <c r="AA89" s="52"/>
      <c r="AB89" s="53"/>
    </row>
    <row r="90" ht="15.75" customHeight="1">
      <c r="A90" s="148" t="s">
        <v>18</v>
      </c>
      <c r="B90" s="110"/>
      <c r="C90" s="110"/>
      <c r="D90" s="110"/>
      <c r="E90" s="110"/>
      <c r="F90" s="110"/>
      <c r="G90" s="110"/>
      <c r="H90" s="110"/>
      <c r="I90" s="110"/>
      <c r="J90" s="110"/>
      <c r="K90" s="151"/>
      <c r="R90" s="258"/>
      <c r="S90" s="72" t="s">
        <v>176</v>
      </c>
      <c r="T90" s="52"/>
      <c r="U90" s="52"/>
      <c r="V90" s="52"/>
      <c r="W90" s="52"/>
      <c r="X90" s="52"/>
      <c r="Y90" s="52"/>
      <c r="Z90" s="52"/>
      <c r="AA90" s="53"/>
      <c r="AB90" s="143"/>
    </row>
    <row r="91" ht="15.75" customHeight="1">
      <c r="A91" s="7"/>
      <c r="B91" s="119"/>
      <c r="C91" s="119"/>
      <c r="D91" s="119"/>
      <c r="E91" s="119"/>
      <c r="F91" s="119"/>
      <c r="G91" s="119"/>
      <c r="H91" s="119"/>
      <c r="I91" s="119"/>
      <c r="J91" s="119"/>
      <c r="K91" s="311">
        <f>SUM(K86:K90)</f>
        <v>0</v>
      </c>
      <c r="R91" s="258" t="s">
        <v>93</v>
      </c>
      <c r="S91" s="258"/>
      <c r="T91" s="110">
        <v>28.0</v>
      </c>
      <c r="U91" s="110">
        <v>30.0</v>
      </c>
      <c r="V91" s="110">
        <v>32.0</v>
      </c>
      <c r="W91" s="110">
        <v>34.0</v>
      </c>
      <c r="X91" s="110">
        <v>36.0</v>
      </c>
      <c r="Y91" s="110">
        <v>38.0</v>
      </c>
      <c r="Z91" s="110">
        <v>40.0</v>
      </c>
      <c r="AA91" s="110"/>
      <c r="AB91" s="314"/>
      <c r="AC91" s="143"/>
    </row>
    <row r="92" ht="15.75" customHeight="1">
      <c r="A92" s="338" t="s">
        <v>177</v>
      </c>
      <c r="B92" s="52"/>
      <c r="C92" s="52"/>
      <c r="D92" s="52"/>
      <c r="E92" s="52"/>
      <c r="F92" s="52"/>
      <c r="G92" s="52"/>
      <c r="H92" s="52"/>
      <c r="I92" s="52"/>
      <c r="J92" s="52"/>
      <c r="K92" s="53"/>
      <c r="R92" s="258"/>
      <c r="S92" s="123" t="s">
        <v>136</v>
      </c>
      <c r="T92" s="123" t="s">
        <v>4</v>
      </c>
      <c r="U92" s="123" t="s">
        <v>49</v>
      </c>
      <c r="V92" s="123" t="s">
        <v>50</v>
      </c>
      <c r="W92" s="123" t="s">
        <v>51</v>
      </c>
      <c r="X92" s="123" t="s">
        <v>52</v>
      </c>
      <c r="Y92" s="123" t="s">
        <v>9</v>
      </c>
      <c r="Z92" s="123" t="s">
        <v>10</v>
      </c>
      <c r="AA92" s="123" t="s">
        <v>11</v>
      </c>
      <c r="AB92" s="315" t="s">
        <v>12</v>
      </c>
      <c r="AC92" s="109" t="s">
        <v>53</v>
      </c>
    </row>
    <row r="93" ht="15.75" customHeight="1">
      <c r="A93" s="258"/>
      <c r="B93" s="106" t="s">
        <v>2</v>
      </c>
      <c r="C93" s="52"/>
      <c r="D93" s="52"/>
      <c r="E93" s="52"/>
      <c r="F93" s="52"/>
      <c r="G93" s="52"/>
      <c r="H93" s="52"/>
      <c r="I93" s="52"/>
      <c r="J93" s="93"/>
      <c r="K93" s="151"/>
      <c r="R93" s="148" t="s">
        <v>133</v>
      </c>
      <c r="S93" s="98">
        <f t="shared" ref="S93:S94" si="20">0</f>
        <v>0</v>
      </c>
      <c r="T93" s="98">
        <f t="shared" ref="T93:U93" si="18">0+1</f>
        <v>1</v>
      </c>
      <c r="U93" s="98">
        <f t="shared" si="18"/>
        <v>1</v>
      </c>
      <c r="V93" s="98">
        <f t="shared" ref="V93:AB93" si="19">0</f>
        <v>0</v>
      </c>
      <c r="W93" s="98">
        <f t="shared" si="19"/>
        <v>0</v>
      </c>
      <c r="X93" s="98">
        <f t="shared" si="19"/>
        <v>0</v>
      </c>
      <c r="Y93" s="98">
        <f t="shared" si="19"/>
        <v>0</v>
      </c>
      <c r="Z93" s="98">
        <f t="shared" si="19"/>
        <v>0</v>
      </c>
      <c r="AA93" s="98">
        <f t="shared" si="19"/>
        <v>0</v>
      </c>
      <c r="AB93" s="110">
        <f t="shared" si="19"/>
        <v>0</v>
      </c>
      <c r="AC93" s="145">
        <f t="shared" ref="AC93:AC94" si="22">SUM(S93:AB93)</f>
        <v>2</v>
      </c>
    </row>
    <row r="94" ht="15.75" customHeight="1">
      <c r="A94" s="258" t="s">
        <v>93</v>
      </c>
      <c r="B94" s="110">
        <v>28.0</v>
      </c>
      <c r="C94" s="110">
        <v>30.0</v>
      </c>
      <c r="D94" s="110">
        <v>32.0</v>
      </c>
      <c r="E94" s="110">
        <v>34.0</v>
      </c>
      <c r="F94" s="110">
        <v>36.0</v>
      </c>
      <c r="G94" s="110">
        <v>38.0</v>
      </c>
      <c r="H94" s="110">
        <v>40.0</v>
      </c>
      <c r="I94" s="110"/>
      <c r="J94" s="314"/>
      <c r="K94" s="151"/>
      <c r="R94" s="71" t="s">
        <v>134</v>
      </c>
      <c r="S94" s="98">
        <f t="shared" si="20"/>
        <v>0</v>
      </c>
      <c r="T94" s="98">
        <f>0+1</f>
        <v>1</v>
      </c>
      <c r="U94" s="98">
        <f>0+1-1</f>
        <v>0</v>
      </c>
      <c r="V94" s="98">
        <f>0</f>
        <v>0</v>
      </c>
      <c r="W94" s="98">
        <f>0+1</f>
        <v>1</v>
      </c>
      <c r="X94" s="98">
        <f t="shared" ref="X94:AB94" si="21">0</f>
        <v>0</v>
      </c>
      <c r="Y94" s="98">
        <f t="shared" si="21"/>
        <v>0</v>
      </c>
      <c r="Z94" s="98">
        <f t="shared" si="21"/>
        <v>0</v>
      </c>
      <c r="AA94" s="98">
        <f t="shared" si="21"/>
        <v>0</v>
      </c>
      <c r="AB94" s="110">
        <f t="shared" si="21"/>
        <v>0</v>
      </c>
      <c r="AC94" s="145">
        <f t="shared" si="22"/>
        <v>2</v>
      </c>
    </row>
    <row r="95" ht="15.75" customHeight="1">
      <c r="A95" s="258"/>
      <c r="B95" s="123" t="s">
        <v>4</v>
      </c>
      <c r="C95" s="123" t="s">
        <v>49</v>
      </c>
      <c r="D95" s="123" t="s">
        <v>50</v>
      </c>
      <c r="E95" s="123" t="s">
        <v>51</v>
      </c>
      <c r="F95" s="123" t="s">
        <v>52</v>
      </c>
      <c r="G95" s="123" t="s">
        <v>9</v>
      </c>
      <c r="H95" s="123" t="s">
        <v>10</v>
      </c>
      <c r="I95" s="123" t="s">
        <v>11</v>
      </c>
      <c r="J95" s="315" t="s">
        <v>12</v>
      </c>
      <c r="K95" s="288" t="s">
        <v>53</v>
      </c>
      <c r="R95" s="7"/>
      <c r="S95" s="119"/>
      <c r="T95" s="119"/>
      <c r="U95" s="119"/>
      <c r="V95" s="119"/>
      <c r="W95" s="119"/>
      <c r="X95" s="119"/>
      <c r="Y95" s="119"/>
      <c r="Z95" s="119"/>
      <c r="AA95" s="119"/>
      <c r="AC95" s="342">
        <f>SUM(AC93:AC94)</f>
        <v>4</v>
      </c>
    </row>
    <row r="96" ht="15.75" customHeight="1">
      <c r="A96" s="71" t="s">
        <v>74</v>
      </c>
      <c r="B96" s="110"/>
      <c r="C96" s="110"/>
      <c r="D96" s="110"/>
      <c r="E96" s="110"/>
      <c r="F96" s="110"/>
      <c r="G96" s="110"/>
      <c r="H96" s="110"/>
      <c r="I96" s="110"/>
      <c r="J96" s="110"/>
      <c r="K96" s="151"/>
      <c r="AB96" s="345"/>
    </row>
    <row r="97" ht="15.75" customHeight="1">
      <c r="A97" s="148" t="s">
        <v>14</v>
      </c>
      <c r="B97" s="110"/>
      <c r="C97" s="110"/>
      <c r="D97" s="110"/>
      <c r="E97" s="110"/>
      <c r="F97" s="110"/>
      <c r="G97" s="110"/>
      <c r="H97" s="110"/>
      <c r="I97" s="110"/>
      <c r="J97" s="110"/>
      <c r="K97" s="151"/>
      <c r="AB97" s="253"/>
    </row>
    <row r="98" ht="15.75" customHeight="1">
      <c r="A98" s="71" t="s">
        <v>15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51"/>
      <c r="R98" s="150" t="s">
        <v>77</v>
      </c>
      <c r="S98" s="52"/>
      <c r="T98" s="52"/>
      <c r="U98" s="52"/>
      <c r="V98" s="52"/>
      <c r="W98" s="52"/>
      <c r="X98" s="52"/>
      <c r="Y98" s="52"/>
      <c r="Z98" s="52"/>
      <c r="AA98" s="52"/>
      <c r="AB98" s="53"/>
    </row>
    <row r="99" ht="15.75" customHeight="1">
      <c r="A99" s="148" t="s">
        <v>96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51"/>
      <c r="R99" s="258"/>
      <c r="S99" s="72" t="s">
        <v>178</v>
      </c>
      <c r="T99" s="52"/>
      <c r="U99" s="52"/>
      <c r="V99" s="52"/>
      <c r="W99" s="52"/>
      <c r="X99" s="52"/>
      <c r="Y99" s="52"/>
      <c r="Z99" s="52"/>
      <c r="AA99" s="53"/>
      <c r="AB99" s="143"/>
    </row>
    <row r="100" ht="15.75" customHeight="1">
      <c r="A100" s="148" t="s">
        <v>18</v>
      </c>
      <c r="B100" s="110"/>
      <c r="C100" s="110"/>
      <c r="D100" s="110"/>
      <c r="E100" s="110"/>
      <c r="F100" s="110"/>
      <c r="G100" s="110"/>
      <c r="H100" s="110"/>
      <c r="I100" s="110"/>
      <c r="J100" s="110"/>
      <c r="K100" s="151"/>
      <c r="R100" s="258" t="s">
        <v>93</v>
      </c>
      <c r="S100" s="110">
        <v>28.0</v>
      </c>
      <c r="T100" s="110">
        <v>30.0</v>
      </c>
      <c r="U100" s="110">
        <v>32.0</v>
      </c>
      <c r="V100" s="110">
        <v>34.0</v>
      </c>
      <c r="W100" s="110">
        <v>36.0</v>
      </c>
      <c r="X100" s="110">
        <v>38.0</v>
      </c>
      <c r="Y100" s="110">
        <v>40.0</v>
      </c>
      <c r="Z100" s="110"/>
      <c r="AA100" s="314"/>
      <c r="AB100" s="143"/>
    </row>
    <row r="101" ht="15.75" customHeight="1">
      <c r="A101" s="170"/>
      <c r="B101" s="119"/>
      <c r="C101" s="119"/>
      <c r="D101" s="119"/>
      <c r="E101" s="119"/>
      <c r="F101" s="119"/>
      <c r="G101" s="119"/>
      <c r="H101" s="119"/>
      <c r="I101" s="119"/>
      <c r="J101" s="119"/>
      <c r="K101" s="303">
        <f>SUM(K96:K100)</f>
        <v>0</v>
      </c>
      <c r="R101" s="258"/>
      <c r="S101" s="123" t="s">
        <v>4</v>
      </c>
      <c r="T101" s="123" t="s">
        <v>49</v>
      </c>
      <c r="U101" s="123" t="s">
        <v>50</v>
      </c>
      <c r="V101" s="123" t="s">
        <v>51</v>
      </c>
      <c r="W101" s="123" t="s">
        <v>52</v>
      </c>
      <c r="X101" s="123" t="s">
        <v>9</v>
      </c>
      <c r="Y101" s="123" t="s">
        <v>10</v>
      </c>
      <c r="Z101" s="123" t="s">
        <v>11</v>
      </c>
      <c r="AA101" s="315" t="s">
        <v>12</v>
      </c>
      <c r="AB101" s="109" t="s">
        <v>53</v>
      </c>
    </row>
    <row r="102" ht="15.75" customHeight="1">
      <c r="A102" s="7"/>
      <c r="B102" s="119"/>
      <c r="C102" s="119"/>
      <c r="D102" s="119"/>
      <c r="E102" s="119"/>
      <c r="F102" s="119"/>
      <c r="G102" s="119"/>
      <c r="H102" s="119"/>
      <c r="I102" s="119"/>
      <c r="J102" s="119"/>
      <c r="K102" s="343"/>
      <c r="R102" s="148" t="s">
        <v>23</v>
      </c>
      <c r="S102" s="110">
        <f>2-1</f>
        <v>1</v>
      </c>
      <c r="T102" s="110">
        <f t="shared" ref="T102:U102" si="23">0</f>
        <v>0</v>
      </c>
      <c r="U102" s="110">
        <f t="shared" si="23"/>
        <v>0</v>
      </c>
      <c r="V102" s="110">
        <f>1-1</f>
        <v>0</v>
      </c>
      <c r="W102" s="110">
        <f t="shared" ref="W102:AA102" si="24">0</f>
        <v>0</v>
      </c>
      <c r="X102" s="110">
        <f t="shared" si="24"/>
        <v>0</v>
      </c>
      <c r="Y102" s="110">
        <f t="shared" si="24"/>
        <v>0</v>
      </c>
      <c r="Z102" s="110">
        <f t="shared" si="24"/>
        <v>0</v>
      </c>
      <c r="AA102" s="110">
        <f t="shared" si="24"/>
        <v>0</v>
      </c>
      <c r="AB102" s="145">
        <f t="shared" ref="AB102:AB104" si="26">SUM(S102:AA102)</f>
        <v>1</v>
      </c>
    </row>
    <row r="103" ht="15.75" customHeight="1">
      <c r="A103" s="338" t="s">
        <v>179</v>
      </c>
      <c r="B103" s="52"/>
      <c r="C103" s="52"/>
      <c r="D103" s="52"/>
      <c r="E103" s="52"/>
      <c r="F103" s="52"/>
      <c r="G103" s="52"/>
      <c r="H103" s="52"/>
      <c r="I103" s="52"/>
      <c r="J103" s="52"/>
      <c r="K103" s="53"/>
      <c r="R103" s="148" t="s">
        <v>14</v>
      </c>
      <c r="S103" s="110">
        <f t="shared" ref="S103:S104" si="27">0</f>
        <v>0</v>
      </c>
      <c r="T103" s="110">
        <f>2</f>
        <v>2</v>
      </c>
      <c r="U103" s="110">
        <f>0</f>
        <v>0</v>
      </c>
      <c r="V103" s="346" t="s">
        <v>180</v>
      </c>
      <c r="W103" s="110">
        <f t="shared" ref="W103:AA103" si="25">0</f>
        <v>0</v>
      </c>
      <c r="X103" s="110">
        <f t="shared" si="25"/>
        <v>0</v>
      </c>
      <c r="Y103" s="110">
        <f t="shared" si="25"/>
        <v>0</v>
      </c>
      <c r="Z103" s="110">
        <f t="shared" si="25"/>
        <v>0</v>
      </c>
      <c r="AA103" s="110">
        <f t="shared" si="25"/>
        <v>0</v>
      </c>
      <c r="AB103" s="145">
        <f t="shared" si="26"/>
        <v>2</v>
      </c>
    </row>
    <row r="104" ht="15.75" customHeight="1">
      <c r="A104" s="258"/>
      <c r="B104" s="106" t="s">
        <v>1</v>
      </c>
      <c r="C104" s="52"/>
      <c r="D104" s="52"/>
      <c r="E104" s="52"/>
      <c r="F104" s="52"/>
      <c r="G104" s="52"/>
      <c r="H104" s="52"/>
      <c r="I104" s="52"/>
      <c r="J104" s="53"/>
      <c r="K104" s="151"/>
      <c r="R104" s="71" t="s">
        <v>28</v>
      </c>
      <c r="S104" s="110">
        <f t="shared" si="27"/>
        <v>0</v>
      </c>
      <c r="T104" s="110">
        <f t="shared" ref="T104:U104" si="28">1</f>
        <v>1</v>
      </c>
      <c r="U104" s="110">
        <f t="shared" si="28"/>
        <v>1</v>
      </c>
      <c r="V104" s="110">
        <f t="shared" ref="V104:AA104" si="29">0</f>
        <v>0</v>
      </c>
      <c r="W104" s="110">
        <f t="shared" si="29"/>
        <v>0</v>
      </c>
      <c r="X104" s="110">
        <f t="shared" si="29"/>
        <v>0</v>
      </c>
      <c r="Y104" s="110">
        <f t="shared" si="29"/>
        <v>0</v>
      </c>
      <c r="Z104" s="110">
        <f t="shared" si="29"/>
        <v>0</v>
      </c>
      <c r="AA104" s="110">
        <f t="shared" si="29"/>
        <v>0</v>
      </c>
      <c r="AB104" s="145">
        <f t="shared" si="26"/>
        <v>2</v>
      </c>
    </row>
    <row r="105" ht="15.75" customHeight="1">
      <c r="A105" s="258" t="s">
        <v>93</v>
      </c>
      <c r="B105" s="110">
        <v>28.0</v>
      </c>
      <c r="C105" s="110">
        <v>30.0</v>
      </c>
      <c r="D105" s="110">
        <v>32.0</v>
      </c>
      <c r="E105" s="110">
        <v>34.0</v>
      </c>
      <c r="F105" s="110">
        <v>36.0</v>
      </c>
      <c r="G105" s="110">
        <v>38.0</v>
      </c>
      <c r="H105" s="110">
        <v>40.0</v>
      </c>
      <c r="I105" s="110"/>
      <c r="J105" s="110"/>
      <c r="K105" s="151"/>
      <c r="R105" s="7"/>
      <c r="S105" s="119"/>
      <c r="T105" s="119"/>
      <c r="U105" s="119"/>
      <c r="V105" s="119"/>
      <c r="W105" s="119"/>
      <c r="X105" s="119"/>
      <c r="Y105" s="119"/>
      <c r="Z105" s="119"/>
      <c r="AA105" s="119"/>
      <c r="AB105" s="342">
        <f>SUM(AB102:AB104)</f>
        <v>5</v>
      </c>
    </row>
    <row r="106" ht="15.75" customHeight="1">
      <c r="A106" s="258"/>
      <c r="B106" s="123" t="s">
        <v>4</v>
      </c>
      <c r="C106" s="123" t="s">
        <v>49</v>
      </c>
      <c r="D106" s="123" t="s">
        <v>50</v>
      </c>
      <c r="E106" s="123" t="s">
        <v>51</v>
      </c>
      <c r="F106" s="123" t="s">
        <v>52</v>
      </c>
      <c r="G106" s="123" t="s">
        <v>9</v>
      </c>
      <c r="H106" s="123" t="s">
        <v>10</v>
      </c>
      <c r="I106" s="123" t="s">
        <v>11</v>
      </c>
      <c r="J106" s="123" t="s">
        <v>12</v>
      </c>
      <c r="K106" s="288" t="s">
        <v>53</v>
      </c>
      <c r="AB106" s="253"/>
    </row>
    <row r="107" ht="15.75" customHeight="1">
      <c r="A107" s="71" t="s">
        <v>18</v>
      </c>
      <c r="B107" s="110"/>
      <c r="C107" s="110"/>
      <c r="D107" s="110"/>
      <c r="E107" s="110"/>
      <c r="F107" s="110"/>
      <c r="G107" s="110"/>
      <c r="H107" s="110"/>
      <c r="I107" s="110"/>
      <c r="J107" s="110"/>
      <c r="K107" s="151"/>
      <c r="R107" s="347" t="s">
        <v>181</v>
      </c>
      <c r="S107" s="52"/>
      <c r="T107" s="52"/>
      <c r="U107" s="52"/>
      <c r="V107" s="52"/>
      <c r="W107" s="52"/>
      <c r="X107" s="52"/>
      <c r="Y107" s="52"/>
      <c r="Z107" s="52"/>
      <c r="AA107" s="52"/>
      <c r="AB107" s="53"/>
    </row>
    <row r="108" ht="15.75" customHeight="1">
      <c r="A108" s="148" t="s">
        <v>29</v>
      </c>
      <c r="B108" s="110"/>
      <c r="C108" s="110"/>
      <c r="D108" s="110"/>
      <c r="E108" s="110"/>
      <c r="F108" s="110"/>
      <c r="G108" s="110"/>
      <c r="H108" s="110"/>
      <c r="I108" s="110"/>
      <c r="J108" s="110"/>
      <c r="K108" s="151"/>
      <c r="R108" s="258" t="s">
        <v>140</v>
      </c>
      <c r="S108" s="123" t="s">
        <v>4</v>
      </c>
      <c r="T108" s="123" t="s">
        <v>49</v>
      </c>
      <c r="U108" s="123" t="s">
        <v>50</v>
      </c>
      <c r="V108" s="123" t="s">
        <v>51</v>
      </c>
      <c r="W108" s="123" t="s">
        <v>52</v>
      </c>
      <c r="X108" s="123" t="s">
        <v>9</v>
      </c>
      <c r="Y108" s="123" t="s">
        <v>10</v>
      </c>
      <c r="Z108" s="123" t="s">
        <v>11</v>
      </c>
      <c r="AA108" s="315" t="s">
        <v>12</v>
      </c>
      <c r="AB108" s="109" t="s">
        <v>53</v>
      </c>
    </row>
    <row r="109" ht="15.75" customHeight="1">
      <c r="A109" s="71" t="s">
        <v>15</v>
      </c>
      <c r="B109" s="110"/>
      <c r="C109" s="110"/>
      <c r="D109" s="110"/>
      <c r="E109" s="110"/>
      <c r="F109" s="110"/>
      <c r="G109" s="110"/>
      <c r="H109" s="110"/>
      <c r="I109" s="110"/>
      <c r="J109" s="110"/>
      <c r="K109" s="151"/>
      <c r="R109" s="258" t="s">
        <v>18</v>
      </c>
      <c r="S109" s="110"/>
      <c r="T109" s="110">
        <f t="shared" ref="T109:T110" si="30">1</f>
        <v>1</v>
      </c>
      <c r="U109" s="110"/>
      <c r="V109" s="110"/>
      <c r="W109" s="110"/>
      <c r="X109" s="110"/>
      <c r="Y109" s="110"/>
      <c r="Z109" s="110"/>
      <c r="AA109" s="110"/>
      <c r="AB109" s="110"/>
    </row>
    <row r="110" ht="15.75" customHeight="1">
      <c r="A110" s="7"/>
      <c r="B110" s="119"/>
      <c r="C110" s="119"/>
      <c r="D110" s="119"/>
      <c r="E110" s="119"/>
      <c r="F110" s="119"/>
      <c r="G110" s="119"/>
      <c r="H110" s="119"/>
      <c r="I110" s="119"/>
      <c r="J110" s="119"/>
      <c r="K110" s="311">
        <f>SUM(K107:K109)</f>
        <v>0</v>
      </c>
      <c r="R110" s="258" t="s">
        <v>44</v>
      </c>
      <c r="S110" s="110"/>
      <c r="T110" s="110">
        <f t="shared" si="30"/>
        <v>1</v>
      </c>
      <c r="U110" s="110"/>
      <c r="V110" s="110"/>
      <c r="W110" s="110"/>
      <c r="X110" s="110"/>
      <c r="Y110" s="110"/>
      <c r="Z110" s="110"/>
      <c r="AA110" s="110"/>
      <c r="AB110" s="110"/>
    </row>
    <row r="111" ht="15.75" customHeight="1">
      <c r="A111" s="338" t="s">
        <v>182</v>
      </c>
      <c r="B111" s="52"/>
      <c r="C111" s="52"/>
      <c r="D111" s="52"/>
      <c r="E111" s="52"/>
      <c r="F111" s="52"/>
      <c r="G111" s="52"/>
      <c r="H111" s="52"/>
      <c r="I111" s="52"/>
      <c r="J111" s="52"/>
      <c r="K111" s="53"/>
      <c r="R111" s="148" t="s">
        <v>81</v>
      </c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</row>
    <row r="112" ht="15.75" customHeight="1">
      <c r="A112" s="258"/>
      <c r="B112" s="106" t="s">
        <v>2</v>
      </c>
      <c r="C112" s="52"/>
      <c r="D112" s="52"/>
      <c r="E112" s="52"/>
      <c r="F112" s="52"/>
      <c r="G112" s="52"/>
      <c r="H112" s="52"/>
      <c r="I112" s="52"/>
      <c r="J112" s="93"/>
      <c r="K112" s="151"/>
      <c r="R112" s="71" t="s">
        <v>14</v>
      </c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</row>
    <row r="113" ht="15.75" customHeight="1">
      <c r="A113" s="258" t="s">
        <v>93</v>
      </c>
      <c r="B113" s="110">
        <v>28.0</v>
      </c>
      <c r="C113" s="110">
        <v>30.0</v>
      </c>
      <c r="D113" s="110">
        <v>32.0</v>
      </c>
      <c r="E113" s="110">
        <v>34.0</v>
      </c>
      <c r="F113" s="110">
        <v>36.0</v>
      </c>
      <c r="G113" s="110">
        <v>38.0</v>
      </c>
      <c r="H113" s="110">
        <v>40.0</v>
      </c>
      <c r="I113" s="110"/>
      <c r="J113" s="314"/>
      <c r="K113" s="151"/>
      <c r="R113" s="71" t="s">
        <v>15</v>
      </c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</row>
    <row r="114" ht="15.75" customHeight="1">
      <c r="A114" s="258"/>
      <c r="B114" s="123" t="s">
        <v>4</v>
      </c>
      <c r="C114" s="123" t="s">
        <v>49</v>
      </c>
      <c r="D114" s="123" t="s">
        <v>50</v>
      </c>
      <c r="E114" s="123" t="s">
        <v>51</v>
      </c>
      <c r="F114" s="123" t="s">
        <v>52</v>
      </c>
      <c r="G114" s="123" t="s">
        <v>9</v>
      </c>
      <c r="H114" s="123" t="s">
        <v>10</v>
      </c>
      <c r="I114" s="123" t="s">
        <v>11</v>
      </c>
      <c r="J114" s="315" t="s">
        <v>12</v>
      </c>
      <c r="K114" s="288" t="s">
        <v>53</v>
      </c>
      <c r="R114" s="348" t="s">
        <v>17</v>
      </c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</row>
    <row r="115" ht="15.75" customHeight="1">
      <c r="A115" s="71" t="s">
        <v>18</v>
      </c>
      <c r="B115" s="110"/>
      <c r="C115" s="110">
        <f>1</f>
        <v>1</v>
      </c>
      <c r="D115" s="110"/>
      <c r="E115" s="110"/>
      <c r="F115" s="110"/>
      <c r="G115" s="110"/>
      <c r="H115" s="110"/>
      <c r="I115" s="110"/>
      <c r="J115" s="110"/>
      <c r="K115" s="151"/>
      <c r="AB115" s="349">
        <f>SUM(AB109:AB114)</f>
        <v>0</v>
      </c>
    </row>
    <row r="116" ht="15.75" customHeight="1">
      <c r="A116" s="148" t="s">
        <v>29</v>
      </c>
      <c r="B116" s="110"/>
      <c r="C116" s="110"/>
      <c r="D116" s="110"/>
      <c r="E116" s="110"/>
      <c r="F116" s="110"/>
      <c r="G116" s="110"/>
      <c r="H116" s="110"/>
      <c r="I116" s="110"/>
      <c r="J116" s="110"/>
      <c r="K116" s="151"/>
      <c r="R116" s="347" t="s">
        <v>183</v>
      </c>
      <c r="S116" s="52"/>
      <c r="T116" s="52"/>
      <c r="U116" s="52"/>
      <c r="V116" s="52"/>
      <c r="W116" s="52"/>
      <c r="X116" s="52"/>
      <c r="Y116" s="52"/>
      <c r="Z116" s="52"/>
      <c r="AA116" s="52"/>
      <c r="AB116" s="53"/>
    </row>
    <row r="117" ht="15.75" customHeight="1">
      <c r="A117" s="71" t="s">
        <v>15</v>
      </c>
      <c r="B117" s="110"/>
      <c r="C117" s="110"/>
      <c r="D117" s="110"/>
      <c r="E117" s="110">
        <f>1-1</f>
        <v>0</v>
      </c>
      <c r="F117" s="110"/>
      <c r="G117" s="110"/>
      <c r="H117" s="110"/>
      <c r="I117" s="110"/>
      <c r="J117" s="110"/>
      <c r="K117" s="151"/>
      <c r="R117" s="258" t="s">
        <v>140</v>
      </c>
      <c r="S117" s="123" t="s">
        <v>4</v>
      </c>
      <c r="T117" s="123" t="s">
        <v>49</v>
      </c>
      <c r="U117" s="123" t="s">
        <v>50</v>
      </c>
      <c r="V117" s="123" t="s">
        <v>51</v>
      </c>
      <c r="W117" s="123" t="s">
        <v>52</v>
      </c>
      <c r="X117" s="123" t="s">
        <v>9</v>
      </c>
      <c r="Y117" s="123" t="s">
        <v>10</v>
      </c>
      <c r="Z117" s="123" t="s">
        <v>11</v>
      </c>
      <c r="AA117" s="315" t="s">
        <v>12</v>
      </c>
      <c r="AB117" s="109" t="s">
        <v>53</v>
      </c>
    </row>
    <row r="118" ht="15.75" customHeight="1">
      <c r="A118" s="7"/>
      <c r="B118" s="119"/>
      <c r="C118" s="119"/>
      <c r="D118" s="119"/>
      <c r="E118" s="119"/>
      <c r="F118" s="119"/>
      <c r="G118" s="119"/>
      <c r="H118" s="119" t="s">
        <v>13</v>
      </c>
      <c r="I118" s="119"/>
      <c r="J118" s="119"/>
      <c r="K118" s="303">
        <f>SUM(K115:K117)</f>
        <v>0</v>
      </c>
      <c r="R118" s="258" t="s">
        <v>44</v>
      </c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</row>
    <row r="119" ht="15.75" customHeight="1">
      <c r="A119" s="7"/>
      <c r="B119" s="119"/>
      <c r="C119" s="119"/>
      <c r="D119" s="119"/>
      <c r="E119" s="119"/>
      <c r="F119" s="119"/>
      <c r="G119" s="119"/>
      <c r="H119" s="119"/>
      <c r="I119" s="119"/>
      <c r="J119" s="119"/>
      <c r="K119" s="343"/>
      <c r="R119" s="71" t="s">
        <v>14</v>
      </c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</row>
    <row r="120" ht="15.75" customHeight="1">
      <c r="A120" s="338" t="s">
        <v>184</v>
      </c>
      <c r="B120" s="52"/>
      <c r="C120" s="52"/>
      <c r="D120" s="52"/>
      <c r="E120" s="52"/>
      <c r="F120" s="52"/>
      <c r="G120" s="52"/>
      <c r="H120" s="52"/>
      <c r="I120" s="52"/>
      <c r="J120" s="52"/>
      <c r="K120" s="53"/>
      <c r="R120" s="71" t="s">
        <v>15</v>
      </c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</row>
    <row r="121" ht="15.75" customHeight="1">
      <c r="A121" s="258"/>
      <c r="B121" s="106" t="s">
        <v>1</v>
      </c>
      <c r="C121" s="52"/>
      <c r="D121" s="52"/>
      <c r="E121" s="52"/>
      <c r="F121" s="52"/>
      <c r="G121" s="52"/>
      <c r="H121" s="52"/>
      <c r="I121" s="52"/>
      <c r="J121" s="53"/>
      <c r="K121" s="151"/>
      <c r="AB121" s="350">
        <f>SUM(AB118:AB120)</f>
        <v>0</v>
      </c>
    </row>
    <row r="122" ht="15.75" customHeight="1">
      <c r="A122" s="258" t="s">
        <v>93</v>
      </c>
      <c r="B122" s="110">
        <v>28.0</v>
      </c>
      <c r="C122" s="110">
        <v>30.0</v>
      </c>
      <c r="D122" s="110">
        <v>32.0</v>
      </c>
      <c r="E122" s="110">
        <v>34.0</v>
      </c>
      <c r="F122" s="110">
        <v>36.0</v>
      </c>
      <c r="G122" s="110">
        <v>38.0</v>
      </c>
      <c r="H122" s="110">
        <v>40.0</v>
      </c>
      <c r="I122" s="110"/>
      <c r="J122" s="110"/>
      <c r="K122" s="151"/>
    </row>
    <row r="123" ht="15.75" customHeight="1">
      <c r="A123" s="258"/>
      <c r="B123" s="123" t="s">
        <v>4</v>
      </c>
      <c r="C123" s="123" t="s">
        <v>49</v>
      </c>
      <c r="D123" s="123" t="s">
        <v>50</v>
      </c>
      <c r="E123" s="123" t="s">
        <v>51</v>
      </c>
      <c r="F123" s="123" t="s">
        <v>52</v>
      </c>
      <c r="G123" s="123" t="s">
        <v>9</v>
      </c>
      <c r="H123" s="123" t="s">
        <v>10</v>
      </c>
      <c r="I123" s="123" t="s">
        <v>11</v>
      </c>
      <c r="J123" s="123" t="s">
        <v>12</v>
      </c>
      <c r="K123" s="288" t="s">
        <v>53</v>
      </c>
      <c r="R123" s="347" t="s">
        <v>185</v>
      </c>
      <c r="S123" s="52"/>
      <c r="T123" s="52"/>
      <c r="U123" s="52"/>
      <c r="V123" s="52"/>
      <c r="W123" s="52"/>
      <c r="X123" s="52"/>
      <c r="Y123" s="52"/>
      <c r="Z123" s="52"/>
      <c r="AA123" s="52"/>
      <c r="AB123" s="53"/>
    </row>
    <row r="124" ht="15.75" customHeight="1">
      <c r="A124" s="71" t="s">
        <v>74</v>
      </c>
      <c r="B124" s="110"/>
      <c r="C124" s="110"/>
      <c r="D124" s="110"/>
      <c r="E124" s="110"/>
      <c r="F124" s="110"/>
      <c r="G124" s="110"/>
      <c r="H124" s="110"/>
      <c r="I124" s="110"/>
      <c r="J124" s="110"/>
      <c r="K124" s="151"/>
      <c r="R124" s="258" t="s">
        <v>140</v>
      </c>
      <c r="S124" s="123" t="s">
        <v>4</v>
      </c>
      <c r="T124" s="123" t="s">
        <v>49</v>
      </c>
      <c r="U124" s="123" t="s">
        <v>50</v>
      </c>
      <c r="V124" s="123" t="s">
        <v>51</v>
      </c>
      <c r="W124" s="123" t="s">
        <v>52</v>
      </c>
      <c r="X124" s="123" t="s">
        <v>9</v>
      </c>
      <c r="Y124" s="123" t="s">
        <v>10</v>
      </c>
      <c r="Z124" s="123" t="s">
        <v>11</v>
      </c>
      <c r="AA124" s="315" t="s">
        <v>12</v>
      </c>
      <c r="AB124" s="109" t="s">
        <v>53</v>
      </c>
    </row>
    <row r="125" ht="15.75" customHeight="1">
      <c r="A125" s="148" t="s">
        <v>99</v>
      </c>
      <c r="B125" s="110"/>
      <c r="C125" s="110"/>
      <c r="D125" s="110"/>
      <c r="E125" s="110"/>
      <c r="F125" s="110"/>
      <c r="G125" s="110"/>
      <c r="H125" s="110"/>
      <c r="I125" s="110"/>
      <c r="J125" s="110"/>
      <c r="K125" s="151"/>
      <c r="R125" s="71" t="s">
        <v>14</v>
      </c>
      <c r="S125" s="110"/>
      <c r="T125" s="110"/>
      <c r="U125" s="110"/>
      <c r="V125" s="110"/>
      <c r="W125" s="110"/>
      <c r="X125" s="110"/>
      <c r="Y125" s="110"/>
      <c r="Z125" s="110"/>
      <c r="AA125" s="110"/>
      <c r="AB125" s="303"/>
    </row>
    <row r="126" ht="15.75" customHeight="1">
      <c r="A126" s="71" t="s">
        <v>100</v>
      </c>
      <c r="B126" s="110"/>
      <c r="C126" s="110"/>
      <c r="D126" s="110"/>
      <c r="E126" s="110"/>
      <c r="F126" s="110"/>
      <c r="G126" s="110"/>
      <c r="H126" s="110"/>
      <c r="I126" s="110"/>
      <c r="J126" s="110"/>
      <c r="K126" s="151"/>
      <c r="R126" s="71" t="s">
        <v>143</v>
      </c>
      <c r="S126" s="110"/>
      <c r="T126" s="110"/>
      <c r="U126" s="110"/>
      <c r="V126" s="110"/>
      <c r="W126" s="110"/>
      <c r="X126" s="110"/>
      <c r="Y126" s="110"/>
      <c r="Z126" s="110"/>
      <c r="AA126" s="110"/>
      <c r="AB126" s="303"/>
    </row>
    <row r="127" ht="15.75" customHeight="1">
      <c r="A127" s="148" t="s">
        <v>44</v>
      </c>
      <c r="B127" s="110">
        <f>1-1</f>
        <v>0</v>
      </c>
      <c r="C127" s="110"/>
      <c r="D127" s="110"/>
      <c r="E127" s="110"/>
      <c r="F127" s="110"/>
      <c r="G127" s="110"/>
      <c r="H127" s="110"/>
      <c r="I127" s="110"/>
      <c r="J127" s="110"/>
      <c r="K127" s="151"/>
      <c r="R127" s="71" t="s">
        <v>144</v>
      </c>
      <c r="S127" s="110"/>
      <c r="T127" s="110"/>
      <c r="U127" s="110"/>
      <c r="V127" s="110"/>
      <c r="W127" s="110"/>
      <c r="X127" s="110"/>
      <c r="Y127" s="110"/>
      <c r="Z127" s="110"/>
      <c r="AA127" s="110"/>
      <c r="AB127" s="303"/>
    </row>
    <row r="128" ht="15.75" customHeight="1">
      <c r="A128" s="7"/>
      <c r="B128" s="119"/>
      <c r="C128" s="344"/>
      <c r="D128" s="119"/>
      <c r="E128" s="119"/>
      <c r="F128" s="119"/>
      <c r="G128" s="119"/>
      <c r="H128" s="119"/>
      <c r="I128" s="119"/>
      <c r="J128" s="119"/>
      <c r="K128" s="311">
        <f>SUM(K124:K127)</f>
        <v>0</v>
      </c>
      <c r="R128" s="71" t="s">
        <v>15</v>
      </c>
      <c r="S128" s="110"/>
      <c r="T128" s="303"/>
      <c r="U128" s="110">
        <f>1</f>
        <v>1</v>
      </c>
      <c r="V128" s="110"/>
      <c r="W128" s="110"/>
      <c r="X128" s="110"/>
      <c r="Y128" s="110"/>
      <c r="Z128" s="110"/>
      <c r="AA128" s="110"/>
      <c r="AB128" s="303"/>
    </row>
    <row r="129" ht="15.75" customHeight="1">
      <c r="A129" s="338" t="s">
        <v>186</v>
      </c>
      <c r="B129" s="52"/>
      <c r="C129" s="52"/>
      <c r="D129" s="52"/>
      <c r="E129" s="52"/>
      <c r="F129" s="52"/>
      <c r="G129" s="52"/>
      <c r="H129" s="52"/>
      <c r="I129" s="52"/>
      <c r="J129" s="52"/>
      <c r="K129" s="53"/>
      <c r="R129" s="71" t="s">
        <v>74</v>
      </c>
      <c r="S129" s="110"/>
      <c r="T129" s="110"/>
      <c r="U129" s="110">
        <f>1-1</f>
        <v>0</v>
      </c>
      <c r="V129" s="110"/>
      <c r="W129" s="110"/>
      <c r="X129" s="110"/>
      <c r="Y129" s="110"/>
      <c r="Z129" s="110"/>
      <c r="AA129" s="110"/>
      <c r="AB129" s="303"/>
    </row>
    <row r="130" ht="15.75" customHeight="1">
      <c r="A130" s="258"/>
      <c r="B130" s="106" t="s">
        <v>2</v>
      </c>
      <c r="C130" s="52"/>
      <c r="D130" s="52"/>
      <c r="E130" s="52"/>
      <c r="F130" s="52"/>
      <c r="G130" s="52"/>
      <c r="H130" s="52"/>
      <c r="I130" s="52"/>
      <c r="J130" s="93"/>
      <c r="K130" s="110"/>
      <c r="R130" s="278" t="s">
        <v>18</v>
      </c>
      <c r="S130" s="110"/>
      <c r="T130" s="110"/>
      <c r="U130" s="110"/>
      <c r="V130" s="110"/>
      <c r="W130" s="110"/>
      <c r="X130" s="110"/>
      <c r="Y130" s="110"/>
      <c r="Z130" s="110"/>
      <c r="AA130" s="110"/>
      <c r="AB130" s="303"/>
    </row>
    <row r="131" ht="15.75" customHeight="1">
      <c r="A131" s="258" t="s">
        <v>93</v>
      </c>
      <c r="B131" s="110">
        <v>28.0</v>
      </c>
      <c r="C131" s="110">
        <v>30.0</v>
      </c>
      <c r="D131" s="110">
        <v>32.0</v>
      </c>
      <c r="E131" s="110">
        <v>34.0</v>
      </c>
      <c r="F131" s="110">
        <v>36.0</v>
      </c>
      <c r="G131" s="110">
        <v>38.0</v>
      </c>
      <c r="H131" s="110">
        <v>40.0</v>
      </c>
      <c r="I131" s="110"/>
      <c r="J131" s="314"/>
      <c r="K131" s="151"/>
      <c r="AB131" s="351">
        <f>SUM(AB125:AB130)</f>
        <v>0</v>
      </c>
    </row>
    <row r="132" ht="15.75" customHeight="1">
      <c r="A132" s="258"/>
      <c r="B132" s="123" t="s">
        <v>4</v>
      </c>
      <c r="C132" s="123" t="s">
        <v>49</v>
      </c>
      <c r="D132" s="123" t="s">
        <v>50</v>
      </c>
      <c r="E132" s="123" t="s">
        <v>51</v>
      </c>
      <c r="F132" s="123" t="s">
        <v>52</v>
      </c>
      <c r="G132" s="123" t="s">
        <v>9</v>
      </c>
      <c r="H132" s="123" t="s">
        <v>10</v>
      </c>
      <c r="I132" s="123" t="s">
        <v>11</v>
      </c>
      <c r="J132" s="315" t="s">
        <v>12</v>
      </c>
      <c r="K132" s="288" t="s">
        <v>53</v>
      </c>
    </row>
    <row r="133" ht="15.75" customHeight="1">
      <c r="A133" s="71" t="s">
        <v>74</v>
      </c>
      <c r="B133" s="110"/>
      <c r="C133" s="111"/>
      <c r="D133" s="110">
        <f>1-1</f>
        <v>0</v>
      </c>
      <c r="E133" s="111"/>
      <c r="F133" s="110"/>
      <c r="G133" s="110"/>
      <c r="H133" s="110"/>
      <c r="I133" s="110"/>
      <c r="J133" s="110"/>
      <c r="K133" s="151"/>
      <c r="R133" s="347" t="s">
        <v>187</v>
      </c>
      <c r="S133" s="52"/>
      <c r="T133" s="52"/>
      <c r="U133" s="52"/>
      <c r="V133" s="52"/>
      <c r="W133" s="52"/>
      <c r="X133" s="52"/>
      <c r="Y133" s="52"/>
      <c r="Z133" s="52"/>
      <c r="AA133" s="52"/>
      <c r="AB133" s="53"/>
    </row>
    <row r="134" ht="15.75" customHeight="1">
      <c r="A134" s="148" t="s">
        <v>99</v>
      </c>
      <c r="B134" s="110"/>
      <c r="C134" s="110"/>
      <c r="D134" s="110"/>
      <c r="E134" s="110"/>
      <c r="F134" s="110"/>
      <c r="G134" s="110"/>
      <c r="H134" s="110"/>
      <c r="I134" s="110"/>
      <c r="J134" s="110"/>
      <c r="K134" s="151"/>
      <c r="R134" s="258" t="s">
        <v>140</v>
      </c>
      <c r="S134" s="123" t="s">
        <v>4</v>
      </c>
      <c r="T134" s="123" t="s">
        <v>49</v>
      </c>
      <c r="U134" s="123" t="s">
        <v>50</v>
      </c>
      <c r="V134" s="123" t="s">
        <v>51</v>
      </c>
      <c r="W134" s="123" t="s">
        <v>52</v>
      </c>
      <c r="X134" s="123" t="s">
        <v>9</v>
      </c>
      <c r="Y134" s="123" t="s">
        <v>10</v>
      </c>
      <c r="Z134" s="123" t="s">
        <v>11</v>
      </c>
      <c r="AA134" s="315" t="s">
        <v>12</v>
      </c>
      <c r="AB134" s="109" t="s">
        <v>53</v>
      </c>
    </row>
    <row r="135" ht="15.75" customHeight="1">
      <c r="A135" s="71" t="s">
        <v>100</v>
      </c>
      <c r="B135" s="110"/>
      <c r="C135" s="110"/>
      <c r="D135" s="110"/>
      <c r="E135" s="110"/>
      <c r="F135" s="110"/>
      <c r="G135" s="110"/>
      <c r="H135" s="110"/>
      <c r="I135" s="110"/>
      <c r="J135" s="110"/>
      <c r="K135" s="151"/>
      <c r="R135" s="71" t="s">
        <v>14</v>
      </c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</row>
    <row r="136" ht="15.75" customHeight="1">
      <c r="A136" s="148" t="s">
        <v>44</v>
      </c>
      <c r="B136" s="110"/>
      <c r="C136" s="110"/>
      <c r="D136" s="110"/>
      <c r="E136" s="110"/>
      <c r="F136" s="110"/>
      <c r="G136" s="110"/>
      <c r="H136" s="110"/>
      <c r="I136" s="110"/>
      <c r="J136" s="110"/>
      <c r="K136" s="151"/>
      <c r="R136" s="71" t="s">
        <v>143</v>
      </c>
      <c r="S136" s="110">
        <f>1</f>
        <v>1</v>
      </c>
      <c r="T136" s="110"/>
      <c r="U136" s="110"/>
      <c r="V136" s="110"/>
      <c r="W136" s="110"/>
      <c r="X136" s="110"/>
      <c r="Y136" s="110"/>
      <c r="Z136" s="110"/>
      <c r="AA136" s="110"/>
      <c r="AB136" s="110"/>
    </row>
    <row r="137" ht="15.75" customHeight="1">
      <c r="A137" s="170"/>
      <c r="B137" s="343"/>
      <c r="C137" s="343"/>
      <c r="D137" s="343"/>
      <c r="E137" s="343"/>
      <c r="F137" s="343"/>
      <c r="G137" s="343"/>
      <c r="H137" s="343"/>
      <c r="I137" s="343"/>
      <c r="J137" s="343"/>
      <c r="K137" s="303">
        <f>SUM(K133:K136)</f>
        <v>0</v>
      </c>
      <c r="R137" s="71" t="s">
        <v>144</v>
      </c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</row>
    <row r="138" ht="15.75" customHeight="1">
      <c r="R138" s="71" t="s">
        <v>15</v>
      </c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</row>
    <row r="139" ht="15.75" customHeight="1">
      <c r="R139" s="71" t="s">
        <v>74</v>
      </c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</row>
    <row r="140" ht="15.75" customHeight="1">
      <c r="A140" s="327" t="s">
        <v>46</v>
      </c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54"/>
      <c r="R140" s="278" t="s">
        <v>18</v>
      </c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</row>
    <row r="141" ht="15.75" customHeight="1">
      <c r="A141" s="70" t="s">
        <v>188</v>
      </c>
      <c r="B141" s="52"/>
      <c r="C141" s="52"/>
      <c r="D141" s="52"/>
      <c r="E141" s="52"/>
      <c r="F141" s="52"/>
      <c r="G141" s="52"/>
      <c r="H141" s="52"/>
      <c r="I141" s="52"/>
      <c r="J141" s="52"/>
      <c r="K141" s="93"/>
      <c r="L141" s="352" t="s">
        <v>53</v>
      </c>
      <c r="AB141" s="351">
        <f>SUM(AB135:AB140)</f>
        <v>0</v>
      </c>
    </row>
    <row r="142" ht="15.75" customHeight="1">
      <c r="A142" s="71"/>
      <c r="B142" s="106" t="s">
        <v>1</v>
      </c>
      <c r="C142" s="52"/>
      <c r="D142" s="52"/>
      <c r="E142" s="52"/>
      <c r="F142" s="52"/>
      <c r="G142" s="52"/>
      <c r="H142" s="52"/>
      <c r="I142" s="52"/>
      <c r="J142" s="53"/>
      <c r="K142" s="315"/>
      <c r="L142" s="353"/>
      <c r="AA142" s="354" t="s">
        <v>13</v>
      </c>
    </row>
    <row r="143" ht="15.75" customHeight="1">
      <c r="A143" s="71" t="s">
        <v>93</v>
      </c>
      <c r="B143" s="110">
        <v>28.0</v>
      </c>
      <c r="C143" s="110">
        <v>30.0</v>
      </c>
      <c r="D143" s="110">
        <v>32.0</v>
      </c>
      <c r="E143" s="110">
        <v>34.0</v>
      </c>
      <c r="F143" s="110">
        <v>36.0</v>
      </c>
      <c r="G143" s="110">
        <v>38.0</v>
      </c>
      <c r="H143" s="110">
        <v>40.0</v>
      </c>
      <c r="I143" s="110"/>
      <c r="J143" s="110"/>
      <c r="K143" s="314"/>
      <c r="L143" s="353"/>
      <c r="R143" s="347" t="s">
        <v>146</v>
      </c>
      <c r="S143" s="52"/>
      <c r="T143" s="52"/>
      <c r="U143" s="52"/>
      <c r="V143" s="52"/>
      <c r="W143" s="52"/>
      <c r="X143" s="52"/>
      <c r="Y143" s="52"/>
      <c r="Z143" s="52"/>
      <c r="AA143" s="52"/>
      <c r="AB143" s="53"/>
    </row>
    <row r="144" ht="15.75" customHeight="1">
      <c r="A144" s="73"/>
      <c r="B144" s="333" t="s">
        <v>4</v>
      </c>
      <c r="C144" s="333" t="s">
        <v>49</v>
      </c>
      <c r="D144" s="333" t="s">
        <v>50</v>
      </c>
      <c r="E144" s="333" t="s">
        <v>51</v>
      </c>
      <c r="F144" s="333" t="s">
        <v>52</v>
      </c>
      <c r="G144" s="333" t="s">
        <v>9</v>
      </c>
      <c r="H144" s="333" t="s">
        <v>10</v>
      </c>
      <c r="I144" s="333" t="s">
        <v>11</v>
      </c>
      <c r="J144" s="333" t="s">
        <v>12</v>
      </c>
      <c r="K144" s="355" t="s">
        <v>53</v>
      </c>
      <c r="L144" s="353"/>
      <c r="R144" s="123" t="s">
        <v>140</v>
      </c>
      <c r="S144" s="123" t="s">
        <v>4</v>
      </c>
      <c r="T144" s="123" t="s">
        <v>49</v>
      </c>
      <c r="U144" s="123" t="s">
        <v>50</v>
      </c>
      <c r="V144" s="123" t="s">
        <v>51</v>
      </c>
      <c r="W144" s="123" t="s">
        <v>52</v>
      </c>
      <c r="X144" s="123" t="s">
        <v>9</v>
      </c>
      <c r="Y144" s="123" t="s">
        <v>10</v>
      </c>
      <c r="Z144" s="123" t="s">
        <v>11</v>
      </c>
      <c r="AA144" s="315" t="s">
        <v>12</v>
      </c>
      <c r="AB144" s="109" t="s">
        <v>53</v>
      </c>
    </row>
    <row r="145" ht="15.75" customHeight="1">
      <c r="A145" s="71" t="s">
        <v>54</v>
      </c>
      <c r="B145" s="110"/>
      <c r="C145" s="111"/>
      <c r="D145" s="110"/>
      <c r="E145" s="110"/>
      <c r="F145" s="110"/>
      <c r="G145" s="110"/>
      <c r="H145" s="110"/>
      <c r="I145" s="110"/>
      <c r="J145" s="110"/>
      <c r="K145" s="356"/>
      <c r="L145" s="353"/>
      <c r="R145" s="71" t="s">
        <v>14</v>
      </c>
      <c r="S145" s="110"/>
      <c r="T145" s="110"/>
      <c r="U145" s="110"/>
      <c r="V145" s="110"/>
      <c r="W145" s="110"/>
      <c r="X145" s="110"/>
      <c r="Y145" s="110">
        <f>1</f>
        <v>1</v>
      </c>
      <c r="Z145" s="110"/>
      <c r="AA145" s="110"/>
      <c r="AB145" s="303"/>
    </row>
    <row r="146" ht="15.75" customHeight="1">
      <c r="A146" s="71" t="s">
        <v>55</v>
      </c>
      <c r="B146" s="110"/>
      <c r="C146" s="110"/>
      <c r="D146" s="110">
        <f>1</f>
        <v>1</v>
      </c>
      <c r="E146" s="110"/>
      <c r="F146" s="110"/>
      <c r="G146" s="111"/>
      <c r="H146" s="110"/>
      <c r="I146" s="110"/>
      <c r="J146" s="111"/>
      <c r="K146" s="356"/>
      <c r="L146" s="353"/>
      <c r="R146" s="71" t="s">
        <v>143</v>
      </c>
      <c r="S146" s="110"/>
      <c r="T146" s="110"/>
      <c r="U146" s="110"/>
      <c r="V146" s="110"/>
      <c r="W146" s="110"/>
      <c r="X146" s="110">
        <f>1</f>
        <v>1</v>
      </c>
      <c r="Y146" s="110"/>
      <c r="Z146" s="110"/>
      <c r="AA146" s="110"/>
      <c r="AB146" s="303"/>
    </row>
    <row r="147" ht="15.75" customHeight="1">
      <c r="L147" s="353"/>
      <c r="R147" s="71" t="s">
        <v>144</v>
      </c>
      <c r="S147" s="110"/>
      <c r="T147" s="110"/>
      <c r="U147" s="110"/>
      <c r="V147" s="110"/>
      <c r="W147" s="110"/>
      <c r="X147" s="110"/>
      <c r="Y147" s="110"/>
      <c r="Z147" s="110"/>
      <c r="AA147" s="110"/>
      <c r="AB147" s="303"/>
    </row>
    <row r="148" ht="15.75" customHeight="1">
      <c r="A148" s="70" t="s">
        <v>188</v>
      </c>
      <c r="B148" s="52"/>
      <c r="C148" s="52"/>
      <c r="D148" s="52"/>
      <c r="E148" s="52"/>
      <c r="F148" s="52"/>
      <c r="G148" s="52"/>
      <c r="H148" s="52"/>
      <c r="I148" s="52"/>
      <c r="J148" s="52"/>
      <c r="K148" s="93"/>
      <c r="L148" s="353"/>
      <c r="R148" s="71" t="s">
        <v>15</v>
      </c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</row>
    <row r="149" ht="15.75" customHeight="1">
      <c r="A149" s="122"/>
      <c r="B149" s="106" t="s">
        <v>2</v>
      </c>
      <c r="C149" s="52"/>
      <c r="D149" s="52"/>
      <c r="E149" s="52"/>
      <c r="F149" s="52"/>
      <c r="G149" s="52"/>
      <c r="H149" s="52"/>
      <c r="I149" s="52"/>
      <c r="J149" s="53"/>
      <c r="K149" s="315"/>
      <c r="L149" s="353"/>
      <c r="R149" s="71" t="s">
        <v>74</v>
      </c>
      <c r="S149" s="110"/>
      <c r="T149" s="110"/>
      <c r="U149" s="110"/>
      <c r="V149" s="110"/>
      <c r="W149" s="110"/>
      <c r="X149" s="110"/>
      <c r="Y149" s="110"/>
      <c r="Z149" s="110"/>
      <c r="AA149" s="110"/>
      <c r="AB149" s="303"/>
    </row>
    <row r="150" ht="15.75" customHeight="1">
      <c r="A150" s="71" t="s">
        <v>93</v>
      </c>
      <c r="B150" s="110">
        <v>28.0</v>
      </c>
      <c r="C150" s="110">
        <v>30.0</v>
      </c>
      <c r="D150" s="110">
        <v>32.0</v>
      </c>
      <c r="E150" s="110">
        <v>34.0</v>
      </c>
      <c r="F150" s="110">
        <v>36.0</v>
      </c>
      <c r="G150" s="110">
        <v>38.0</v>
      </c>
      <c r="H150" s="110">
        <v>40.0</v>
      </c>
      <c r="I150" s="110"/>
      <c r="J150" s="110"/>
      <c r="K150" s="314"/>
      <c r="L150" s="353"/>
      <c r="R150" s="278" t="s">
        <v>18</v>
      </c>
      <c r="S150" s="110"/>
      <c r="T150" s="110"/>
      <c r="U150" s="110"/>
      <c r="V150" s="110"/>
      <c r="W150" s="110"/>
      <c r="X150" s="110"/>
      <c r="Y150" s="110"/>
      <c r="Z150" s="110"/>
      <c r="AA150" s="110"/>
      <c r="AB150" s="303"/>
    </row>
    <row r="151" ht="15.75" customHeight="1">
      <c r="A151" s="71"/>
      <c r="B151" s="123" t="s">
        <v>4</v>
      </c>
      <c r="C151" s="123" t="s">
        <v>49</v>
      </c>
      <c r="D151" s="123" t="s">
        <v>50</v>
      </c>
      <c r="E151" s="123" t="s">
        <v>51</v>
      </c>
      <c r="F151" s="123" t="s">
        <v>52</v>
      </c>
      <c r="G151" s="123" t="s">
        <v>9</v>
      </c>
      <c r="H151" s="123" t="s">
        <v>10</v>
      </c>
      <c r="I151" s="123" t="s">
        <v>11</v>
      </c>
      <c r="J151" s="123" t="s">
        <v>12</v>
      </c>
      <c r="K151" s="133" t="s">
        <v>53</v>
      </c>
      <c r="L151" s="353"/>
      <c r="AB151" s="351"/>
    </row>
    <row r="152" ht="15.75" customHeight="1">
      <c r="A152" s="71" t="s">
        <v>54</v>
      </c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27"/>
    </row>
    <row r="153" ht="15.75" customHeight="1">
      <c r="A153" s="71" t="s">
        <v>55</v>
      </c>
      <c r="B153" s="110"/>
      <c r="C153" s="110">
        <f>1</f>
        <v>1</v>
      </c>
      <c r="D153" s="110"/>
      <c r="E153" s="110"/>
      <c r="F153" s="110"/>
      <c r="G153" s="110"/>
      <c r="H153" s="110"/>
      <c r="I153" s="110"/>
      <c r="J153" s="110"/>
      <c r="K153" s="110"/>
      <c r="L153" s="341">
        <f>SUM(K145:K146,K152:K153)</f>
        <v>0</v>
      </c>
    </row>
    <row r="154" ht="15.75" customHeight="1">
      <c r="C154" s="354">
        <v>1.0</v>
      </c>
    </row>
    <row r="155" ht="15.75" customHeight="1">
      <c r="A155" s="70" t="s">
        <v>189</v>
      </c>
      <c r="B155" s="52"/>
      <c r="C155" s="52"/>
      <c r="D155" s="52"/>
      <c r="E155" s="52"/>
      <c r="F155" s="52"/>
      <c r="G155" s="52"/>
      <c r="H155" s="52"/>
      <c r="I155" s="52"/>
      <c r="J155" s="52"/>
      <c r="K155" s="93"/>
      <c r="L155" s="352" t="s">
        <v>53</v>
      </c>
    </row>
    <row r="156" ht="15.75" customHeight="1">
      <c r="A156" s="71"/>
      <c r="B156" s="106" t="s">
        <v>1</v>
      </c>
      <c r="C156" s="52"/>
      <c r="D156" s="52"/>
      <c r="E156" s="52"/>
      <c r="F156" s="52"/>
      <c r="G156" s="52"/>
      <c r="H156" s="52"/>
      <c r="I156" s="52"/>
      <c r="J156" s="53"/>
      <c r="K156" s="315"/>
      <c r="L156" s="353"/>
      <c r="R156" s="70" t="s">
        <v>190</v>
      </c>
      <c r="S156" s="52"/>
      <c r="T156" s="52"/>
      <c r="U156" s="52"/>
      <c r="V156" s="52"/>
      <c r="W156" s="52"/>
      <c r="X156" s="52"/>
      <c r="Y156" s="52"/>
      <c r="Z156" s="52"/>
      <c r="AA156" s="52"/>
      <c r="AB156" s="93"/>
    </row>
    <row r="157" ht="15.75" customHeight="1">
      <c r="A157" s="71" t="s">
        <v>93</v>
      </c>
      <c r="B157" s="110">
        <v>28.0</v>
      </c>
      <c r="C157" s="110">
        <v>30.0</v>
      </c>
      <c r="D157" s="110">
        <v>32.0</v>
      </c>
      <c r="E157" s="110">
        <v>34.0</v>
      </c>
      <c r="F157" s="110">
        <v>36.0</v>
      </c>
      <c r="G157" s="110">
        <v>38.0</v>
      </c>
      <c r="H157" s="110">
        <v>40.0</v>
      </c>
      <c r="I157" s="110"/>
      <c r="J157" s="110"/>
      <c r="K157" s="314"/>
      <c r="L157" s="353"/>
      <c r="R157" s="122"/>
      <c r="S157" s="106" t="s">
        <v>43</v>
      </c>
      <c r="T157" s="52"/>
      <c r="U157" s="52"/>
      <c r="V157" s="52"/>
      <c r="W157" s="52"/>
      <c r="X157" s="52"/>
      <c r="Y157" s="52"/>
      <c r="Z157" s="52"/>
      <c r="AA157" s="53"/>
      <c r="AB157" s="357"/>
    </row>
    <row r="158" ht="15.75" customHeight="1">
      <c r="A158" s="71"/>
      <c r="B158" s="123" t="s">
        <v>4</v>
      </c>
      <c r="C158" s="123" t="s">
        <v>49</v>
      </c>
      <c r="D158" s="123" t="s">
        <v>50</v>
      </c>
      <c r="E158" s="123" t="s">
        <v>51</v>
      </c>
      <c r="F158" s="123" t="s">
        <v>52</v>
      </c>
      <c r="G158" s="123" t="s">
        <v>9</v>
      </c>
      <c r="H158" s="123" t="s">
        <v>10</v>
      </c>
      <c r="I158" s="123" t="s">
        <v>11</v>
      </c>
      <c r="J158" s="123" t="s">
        <v>12</v>
      </c>
      <c r="K158" s="133" t="s">
        <v>53</v>
      </c>
      <c r="L158" s="353"/>
      <c r="R158" s="71" t="s">
        <v>93</v>
      </c>
      <c r="S158" s="110">
        <v>28.0</v>
      </c>
      <c r="T158" s="110">
        <v>30.0</v>
      </c>
      <c r="U158" s="110">
        <v>32.0</v>
      </c>
      <c r="V158" s="110">
        <v>34.0</v>
      </c>
      <c r="W158" s="110">
        <v>36.0</v>
      </c>
      <c r="X158" s="110">
        <v>38.0</v>
      </c>
      <c r="Y158" s="110">
        <v>40.0</v>
      </c>
      <c r="Z158" s="110"/>
      <c r="AA158" s="110"/>
      <c r="AB158" s="357"/>
    </row>
    <row r="159" ht="15.75" customHeight="1">
      <c r="A159" s="71" t="s">
        <v>54</v>
      </c>
      <c r="B159" s="110"/>
      <c r="C159" s="110">
        <f>1</f>
        <v>1</v>
      </c>
      <c r="D159" s="110"/>
      <c r="E159" s="110"/>
      <c r="F159" s="110"/>
      <c r="G159" s="110"/>
      <c r="H159" s="110"/>
      <c r="I159" s="110"/>
      <c r="J159" s="110"/>
      <c r="K159" s="314"/>
      <c r="L159" s="353"/>
      <c r="R159" s="71"/>
      <c r="S159" s="123" t="s">
        <v>4</v>
      </c>
      <c r="T159" s="123" t="s">
        <v>49</v>
      </c>
      <c r="U159" s="123" t="s">
        <v>50</v>
      </c>
      <c r="V159" s="123" t="s">
        <v>51</v>
      </c>
      <c r="W159" s="123" t="s">
        <v>52</v>
      </c>
      <c r="X159" s="123" t="s">
        <v>9</v>
      </c>
      <c r="Y159" s="123" t="s">
        <v>10</v>
      </c>
      <c r="Z159" s="123" t="s">
        <v>11</v>
      </c>
      <c r="AA159" s="123" t="s">
        <v>12</v>
      </c>
      <c r="AB159" s="133" t="s">
        <v>53</v>
      </c>
    </row>
    <row r="160" ht="15.75" customHeight="1">
      <c r="A160" s="71" t="s">
        <v>55</v>
      </c>
      <c r="B160" s="110"/>
      <c r="C160" s="110"/>
      <c r="D160" s="110"/>
      <c r="E160" s="110"/>
      <c r="F160" s="110"/>
      <c r="G160" s="110"/>
      <c r="H160" s="110"/>
      <c r="I160" s="110"/>
      <c r="J160" s="110"/>
      <c r="K160" s="314"/>
      <c r="L160" s="353"/>
      <c r="R160" s="71" t="s">
        <v>148</v>
      </c>
      <c r="S160" s="129"/>
      <c r="T160" s="129"/>
      <c r="U160" s="129"/>
      <c r="V160" s="129"/>
      <c r="W160" s="129">
        <f>1</f>
        <v>1</v>
      </c>
      <c r="X160" s="129"/>
      <c r="Y160" s="129"/>
      <c r="Z160" s="129"/>
      <c r="AA160" s="129"/>
      <c r="AB160" s="129">
        <f t="shared" ref="AB160:AB166" si="31">SUM(S160:AA160)</f>
        <v>1</v>
      </c>
    </row>
    <row r="161" ht="15.75" customHeight="1">
      <c r="A161" s="71" t="s">
        <v>57</v>
      </c>
      <c r="B161" s="110"/>
      <c r="C161" s="110"/>
      <c r="D161" s="110"/>
      <c r="E161" s="110"/>
      <c r="F161" s="110"/>
      <c r="G161" s="110"/>
      <c r="H161" s="110"/>
      <c r="I161" s="110"/>
      <c r="J161" s="110"/>
      <c r="K161" s="314"/>
      <c r="L161" s="353"/>
      <c r="R161" s="71" t="s">
        <v>149</v>
      </c>
      <c r="S161" s="129"/>
      <c r="T161" s="129"/>
      <c r="U161" s="129"/>
      <c r="V161" s="129"/>
      <c r="W161" s="129"/>
      <c r="X161" s="129"/>
      <c r="Y161" s="129"/>
      <c r="Z161" s="129"/>
      <c r="AA161" s="129"/>
      <c r="AB161" s="129">
        <f t="shared" si="31"/>
        <v>0</v>
      </c>
    </row>
    <row r="162" ht="15.75" customHeight="1">
      <c r="L162" s="353"/>
      <c r="R162" s="71" t="s">
        <v>150</v>
      </c>
      <c r="S162" s="129"/>
      <c r="T162" s="129"/>
      <c r="U162" s="129">
        <f>1</f>
        <v>1</v>
      </c>
      <c r="V162" s="129"/>
      <c r="W162" s="129"/>
      <c r="X162" s="129"/>
      <c r="Y162" s="129"/>
      <c r="Z162" s="129"/>
      <c r="AA162" s="129"/>
      <c r="AB162" s="129">
        <f t="shared" si="31"/>
        <v>1</v>
      </c>
    </row>
    <row r="163" ht="15.75" customHeight="1">
      <c r="A163" s="70" t="s">
        <v>189</v>
      </c>
      <c r="B163" s="52"/>
      <c r="C163" s="52"/>
      <c r="D163" s="52"/>
      <c r="E163" s="52"/>
      <c r="F163" s="52"/>
      <c r="G163" s="52"/>
      <c r="H163" s="52"/>
      <c r="I163" s="52"/>
      <c r="J163" s="52"/>
      <c r="K163" s="93"/>
      <c r="L163" s="353"/>
      <c r="R163" s="71" t="s">
        <v>151</v>
      </c>
      <c r="S163" s="129"/>
      <c r="T163" s="129"/>
      <c r="U163" s="129"/>
      <c r="V163" s="129"/>
      <c r="W163" s="129"/>
      <c r="X163" s="129"/>
      <c r="Y163" s="129"/>
      <c r="Z163" s="129"/>
      <c r="AA163" s="129"/>
      <c r="AB163" s="129">
        <f t="shared" si="31"/>
        <v>0</v>
      </c>
    </row>
    <row r="164" ht="15.75" customHeight="1">
      <c r="A164" s="122"/>
      <c r="B164" s="106" t="s">
        <v>2</v>
      </c>
      <c r="C164" s="52"/>
      <c r="D164" s="52"/>
      <c r="E164" s="52"/>
      <c r="F164" s="52"/>
      <c r="G164" s="52"/>
      <c r="H164" s="52"/>
      <c r="I164" s="52"/>
      <c r="J164" s="53"/>
      <c r="K164" s="315"/>
      <c r="L164" s="353"/>
      <c r="R164" s="71" t="s">
        <v>152</v>
      </c>
      <c r="S164" s="129"/>
      <c r="T164" s="129"/>
      <c r="U164" s="129"/>
      <c r="V164" s="129">
        <f>1</f>
        <v>1</v>
      </c>
      <c r="W164" s="129"/>
      <c r="X164" s="129"/>
      <c r="Y164" s="129"/>
      <c r="Z164" s="129"/>
      <c r="AA164" s="129"/>
      <c r="AB164" s="129">
        <f t="shared" si="31"/>
        <v>1</v>
      </c>
    </row>
    <row r="165" ht="15.75" customHeight="1">
      <c r="A165" s="71" t="s">
        <v>93</v>
      </c>
      <c r="B165" s="110">
        <v>28.0</v>
      </c>
      <c r="C165" s="110">
        <v>30.0</v>
      </c>
      <c r="D165" s="110">
        <v>32.0</v>
      </c>
      <c r="E165" s="110">
        <v>34.0</v>
      </c>
      <c r="F165" s="110">
        <v>36.0</v>
      </c>
      <c r="G165" s="110">
        <v>38.0</v>
      </c>
      <c r="H165" s="110">
        <v>40.0</v>
      </c>
      <c r="I165" s="110"/>
      <c r="J165" s="110"/>
      <c r="K165" s="314"/>
      <c r="L165" s="353"/>
      <c r="R165" s="71" t="s">
        <v>153</v>
      </c>
      <c r="S165" s="129">
        <f>1</f>
        <v>1</v>
      </c>
      <c r="T165" s="129"/>
      <c r="U165" s="129"/>
      <c r="V165" s="129"/>
      <c r="W165" s="129"/>
      <c r="X165" s="129"/>
      <c r="Y165" s="129"/>
      <c r="Z165" s="129"/>
      <c r="AA165" s="129"/>
      <c r="AB165" s="129">
        <f t="shared" si="31"/>
        <v>1</v>
      </c>
    </row>
    <row r="166" ht="15.75" customHeight="1">
      <c r="A166" s="71"/>
      <c r="B166" s="123" t="s">
        <v>4</v>
      </c>
      <c r="C166" s="123" t="s">
        <v>49</v>
      </c>
      <c r="D166" s="123" t="s">
        <v>50</v>
      </c>
      <c r="E166" s="123" t="s">
        <v>51</v>
      </c>
      <c r="F166" s="123" t="s">
        <v>52</v>
      </c>
      <c r="G166" s="123" t="s">
        <v>9</v>
      </c>
      <c r="H166" s="123" t="s">
        <v>10</v>
      </c>
      <c r="I166" s="123" t="s">
        <v>11</v>
      </c>
      <c r="J166" s="123" t="s">
        <v>12</v>
      </c>
      <c r="K166" s="133" t="s">
        <v>53</v>
      </c>
      <c r="L166" s="353"/>
      <c r="R166" s="278" t="s">
        <v>154</v>
      </c>
      <c r="S166" s="129"/>
      <c r="T166" s="129"/>
      <c r="U166" s="129"/>
      <c r="V166" s="129"/>
      <c r="W166" s="129"/>
      <c r="X166" s="129"/>
      <c r="Y166" s="129"/>
      <c r="Z166" s="129"/>
      <c r="AA166" s="129"/>
      <c r="AB166" s="129">
        <f t="shared" si="31"/>
        <v>0</v>
      </c>
    </row>
    <row r="167" ht="15.75" customHeight="1">
      <c r="A167" s="71" t="s">
        <v>54</v>
      </c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353"/>
      <c r="AB167" s="351">
        <f>SUM(AB160:AB165)</f>
        <v>4</v>
      </c>
    </row>
    <row r="168" ht="15.75" customHeight="1">
      <c r="A168" s="71" t="s">
        <v>55</v>
      </c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27"/>
    </row>
    <row r="169" ht="15.75" customHeight="1">
      <c r="A169" s="71" t="s">
        <v>18</v>
      </c>
      <c r="B169" s="303"/>
      <c r="C169" s="303"/>
      <c r="D169" s="303"/>
      <c r="E169" s="303"/>
      <c r="F169" s="110"/>
      <c r="G169" s="303"/>
      <c r="H169" s="303"/>
      <c r="I169" s="110"/>
      <c r="J169" s="110"/>
      <c r="K169" s="110"/>
      <c r="L169" s="341">
        <f>SUM(K169,K168,K167,K161,K160,K159)</f>
        <v>0</v>
      </c>
    </row>
    <row r="170" ht="15.75" customHeight="1">
      <c r="H170" s="354">
        <v>1.0</v>
      </c>
    </row>
    <row r="171" ht="15.75" customHeight="1">
      <c r="A171" s="70" t="s">
        <v>191</v>
      </c>
      <c r="B171" s="52"/>
      <c r="C171" s="52"/>
      <c r="D171" s="52"/>
      <c r="E171" s="52"/>
      <c r="F171" s="52"/>
      <c r="G171" s="52"/>
      <c r="H171" s="52"/>
      <c r="I171" s="52"/>
      <c r="J171" s="52"/>
      <c r="K171" s="93"/>
      <c r="L171" s="352" t="s">
        <v>53</v>
      </c>
    </row>
    <row r="172" ht="15.75" customHeight="1">
      <c r="A172" s="71"/>
      <c r="B172" s="106" t="s">
        <v>1</v>
      </c>
      <c r="C172" s="52"/>
      <c r="D172" s="52"/>
      <c r="E172" s="52"/>
      <c r="F172" s="52"/>
      <c r="G172" s="52"/>
      <c r="H172" s="52"/>
      <c r="I172" s="52"/>
      <c r="J172" s="53"/>
      <c r="K172" s="315"/>
      <c r="L172" s="353"/>
    </row>
    <row r="173" ht="15.75" customHeight="1">
      <c r="A173" s="71" t="s">
        <v>93</v>
      </c>
      <c r="B173" s="110">
        <v>28.0</v>
      </c>
      <c r="C173" s="110">
        <v>30.0</v>
      </c>
      <c r="D173" s="110">
        <v>32.0</v>
      </c>
      <c r="E173" s="110">
        <v>34.0</v>
      </c>
      <c r="F173" s="110">
        <v>36.0</v>
      </c>
      <c r="G173" s="110">
        <v>38.0</v>
      </c>
      <c r="H173" s="110">
        <v>40.0</v>
      </c>
      <c r="I173" s="110"/>
      <c r="J173" s="110"/>
      <c r="K173" s="314"/>
      <c r="L173" s="353"/>
    </row>
    <row r="174" ht="15.75" customHeight="1">
      <c r="A174" s="71"/>
      <c r="B174" s="123" t="s">
        <v>4</v>
      </c>
      <c r="C174" s="123" t="s">
        <v>49</v>
      </c>
      <c r="D174" s="123" t="s">
        <v>50</v>
      </c>
      <c r="E174" s="123" t="s">
        <v>51</v>
      </c>
      <c r="F174" s="123" t="s">
        <v>52</v>
      </c>
      <c r="G174" s="123" t="s">
        <v>9</v>
      </c>
      <c r="H174" s="123" t="s">
        <v>10</v>
      </c>
      <c r="I174" s="123" t="s">
        <v>11</v>
      </c>
      <c r="J174" s="123" t="s">
        <v>12</v>
      </c>
      <c r="K174" s="133" t="s">
        <v>53</v>
      </c>
      <c r="L174" s="353"/>
    </row>
    <row r="175" ht="15.75" customHeight="1">
      <c r="A175" s="71" t="s">
        <v>54</v>
      </c>
      <c r="B175" s="110"/>
      <c r="C175" s="110"/>
      <c r="D175" s="110"/>
      <c r="E175" s="110"/>
      <c r="F175" s="110"/>
      <c r="G175" s="110"/>
      <c r="H175" s="110"/>
      <c r="I175" s="110"/>
      <c r="J175" s="110"/>
      <c r="K175" s="314"/>
      <c r="L175" s="353"/>
    </row>
    <row r="176" ht="15.75" customHeight="1">
      <c r="A176" s="71" t="s">
        <v>55</v>
      </c>
      <c r="B176" s="110"/>
      <c r="C176" s="110"/>
      <c r="D176" s="110"/>
      <c r="E176" s="110"/>
      <c r="F176" s="110"/>
      <c r="G176" s="110"/>
      <c r="H176" s="110"/>
      <c r="I176" s="110"/>
      <c r="J176" s="110"/>
      <c r="K176" s="314"/>
      <c r="L176" s="353"/>
    </row>
    <row r="177" ht="15.75" customHeight="1">
      <c r="A177" s="71" t="s">
        <v>44</v>
      </c>
      <c r="B177" s="110"/>
      <c r="C177" s="110"/>
      <c r="D177" s="110"/>
      <c r="E177" s="110"/>
      <c r="F177" s="110"/>
      <c r="G177" s="110"/>
      <c r="H177" s="110"/>
      <c r="I177" s="110"/>
      <c r="J177" s="110"/>
      <c r="K177" s="358"/>
      <c r="L177" s="353"/>
    </row>
    <row r="178" ht="15.75" customHeight="1">
      <c r="A178" s="71" t="s">
        <v>59</v>
      </c>
      <c r="B178" s="110"/>
      <c r="C178" s="110"/>
      <c r="D178" s="110"/>
      <c r="E178" s="110"/>
      <c r="F178" s="110"/>
      <c r="G178" s="110"/>
      <c r="H178" s="110"/>
      <c r="I178" s="110"/>
      <c r="J178" s="110"/>
      <c r="K178" s="314"/>
      <c r="L178" s="353"/>
    </row>
    <row r="179" ht="15.75" customHeight="1">
      <c r="A179" s="71" t="s">
        <v>57</v>
      </c>
      <c r="B179" s="110"/>
      <c r="C179" s="110"/>
      <c r="D179" s="110"/>
      <c r="E179" s="110"/>
      <c r="F179" s="110"/>
      <c r="G179" s="110"/>
      <c r="H179" s="110"/>
      <c r="I179" s="110"/>
      <c r="J179" s="110"/>
      <c r="K179" s="314"/>
      <c r="L179" s="353"/>
    </row>
    <row r="180" ht="15.75" customHeight="1">
      <c r="A180" s="71" t="s">
        <v>60</v>
      </c>
      <c r="B180" s="110"/>
      <c r="C180" s="110"/>
      <c r="D180" s="110"/>
      <c r="E180" s="110"/>
      <c r="F180" s="110"/>
      <c r="G180" s="110"/>
      <c r="H180" s="110"/>
      <c r="I180" s="110"/>
      <c r="J180" s="110"/>
      <c r="K180" s="314"/>
      <c r="L180" s="353"/>
    </row>
    <row r="181" ht="15.75" customHeight="1">
      <c r="A181" s="71" t="s">
        <v>61</v>
      </c>
      <c r="B181" s="110"/>
      <c r="C181" s="110"/>
      <c r="D181" s="110"/>
      <c r="E181" s="110"/>
      <c r="F181" s="110"/>
      <c r="G181" s="110"/>
      <c r="H181" s="110"/>
      <c r="I181" s="110"/>
      <c r="J181" s="110"/>
      <c r="K181" s="314"/>
      <c r="L181" s="353"/>
    </row>
    <row r="182" ht="15.75" customHeight="1">
      <c r="L182" s="353"/>
    </row>
    <row r="183" ht="15.75" customHeight="1">
      <c r="A183" s="70" t="s">
        <v>191</v>
      </c>
      <c r="B183" s="52"/>
      <c r="C183" s="52"/>
      <c r="D183" s="52"/>
      <c r="E183" s="52"/>
      <c r="F183" s="52"/>
      <c r="G183" s="52"/>
      <c r="H183" s="52"/>
      <c r="I183" s="52"/>
      <c r="J183" s="52"/>
      <c r="K183" s="93"/>
      <c r="L183" s="353"/>
    </row>
    <row r="184" ht="15.75" customHeight="1">
      <c r="A184" s="122"/>
      <c r="B184" s="106" t="s">
        <v>2</v>
      </c>
      <c r="C184" s="52"/>
      <c r="D184" s="52"/>
      <c r="E184" s="52"/>
      <c r="F184" s="52"/>
      <c r="G184" s="52"/>
      <c r="H184" s="52"/>
      <c r="I184" s="52"/>
      <c r="J184" s="53"/>
      <c r="K184" s="315"/>
      <c r="L184" s="353"/>
    </row>
    <row r="185" ht="15.75" customHeight="1">
      <c r="A185" s="71" t="s">
        <v>93</v>
      </c>
      <c r="B185" s="110">
        <v>28.0</v>
      </c>
      <c r="C185" s="110">
        <v>30.0</v>
      </c>
      <c r="D185" s="110">
        <v>32.0</v>
      </c>
      <c r="E185" s="110">
        <v>34.0</v>
      </c>
      <c r="F185" s="110">
        <v>36.0</v>
      </c>
      <c r="G185" s="110">
        <v>38.0</v>
      </c>
      <c r="H185" s="110">
        <v>40.0</v>
      </c>
      <c r="I185" s="110"/>
      <c r="J185" s="110"/>
      <c r="K185" s="314"/>
      <c r="L185" s="353"/>
    </row>
    <row r="186" ht="15.75" customHeight="1">
      <c r="A186" s="71"/>
      <c r="B186" s="123" t="s">
        <v>4</v>
      </c>
      <c r="C186" s="123" t="s">
        <v>49</v>
      </c>
      <c r="D186" s="123" t="s">
        <v>50</v>
      </c>
      <c r="E186" s="123" t="s">
        <v>51</v>
      </c>
      <c r="F186" s="123" t="s">
        <v>52</v>
      </c>
      <c r="G186" s="123" t="s">
        <v>9</v>
      </c>
      <c r="H186" s="123" t="s">
        <v>10</v>
      </c>
      <c r="I186" s="123" t="s">
        <v>11</v>
      </c>
      <c r="J186" s="123" t="s">
        <v>12</v>
      </c>
      <c r="K186" s="133" t="s">
        <v>53</v>
      </c>
      <c r="L186" s="353"/>
    </row>
    <row r="187" ht="15.75" customHeight="1">
      <c r="A187" s="71" t="s">
        <v>54</v>
      </c>
      <c r="B187" s="110"/>
      <c r="C187" s="110"/>
      <c r="D187" s="110">
        <f>1</f>
        <v>1</v>
      </c>
      <c r="E187" s="110"/>
      <c r="F187" s="110"/>
      <c r="G187" s="110"/>
      <c r="H187" s="110"/>
      <c r="I187" s="110"/>
      <c r="J187" s="110"/>
      <c r="K187" s="314"/>
      <c r="L187" s="353"/>
    </row>
    <row r="188" ht="15.75" customHeight="1">
      <c r="A188" s="71" t="s">
        <v>55</v>
      </c>
      <c r="B188" s="110"/>
      <c r="C188" s="110"/>
      <c r="D188" s="110"/>
      <c r="E188" s="110"/>
      <c r="F188" s="110"/>
      <c r="G188" s="110"/>
      <c r="H188" s="110"/>
      <c r="I188" s="110"/>
      <c r="J188" s="110"/>
      <c r="K188" s="314"/>
      <c r="L188" s="353"/>
    </row>
    <row r="189" ht="15.75" customHeight="1">
      <c r="A189" s="71" t="s">
        <v>44</v>
      </c>
      <c r="B189" s="110"/>
      <c r="C189" s="110"/>
      <c r="D189" s="110"/>
      <c r="E189" s="110"/>
      <c r="F189" s="110"/>
      <c r="G189" s="110"/>
      <c r="H189" s="110"/>
      <c r="I189" s="110"/>
      <c r="J189" s="110"/>
      <c r="K189" s="314"/>
      <c r="L189" s="353"/>
    </row>
    <row r="190" ht="15.75" customHeight="1">
      <c r="A190" s="71" t="s">
        <v>59</v>
      </c>
      <c r="B190" s="110"/>
      <c r="C190" s="110"/>
      <c r="D190" s="110"/>
      <c r="E190" s="110"/>
      <c r="F190" s="110"/>
      <c r="G190" s="110"/>
      <c r="H190" s="110"/>
      <c r="I190" s="110"/>
      <c r="J190" s="110"/>
      <c r="K190" s="314"/>
      <c r="L190" s="353"/>
    </row>
    <row r="191" ht="15.75" customHeight="1">
      <c r="A191" s="71" t="s">
        <v>18</v>
      </c>
      <c r="B191" s="110"/>
      <c r="C191" s="110"/>
      <c r="D191" s="110"/>
      <c r="E191" s="110"/>
      <c r="F191" s="110"/>
      <c r="G191" s="110"/>
      <c r="H191" s="110"/>
      <c r="I191" s="110"/>
      <c r="J191" s="110"/>
      <c r="K191" s="314"/>
      <c r="L191" s="353"/>
    </row>
    <row r="192" ht="15.75" customHeight="1">
      <c r="A192" s="71" t="s">
        <v>60</v>
      </c>
      <c r="B192" s="110"/>
      <c r="C192" s="110"/>
      <c r="D192" s="110"/>
      <c r="E192" s="110"/>
      <c r="F192" s="110"/>
      <c r="G192" s="110"/>
      <c r="H192" s="110"/>
      <c r="I192" s="110"/>
      <c r="J192" s="110"/>
      <c r="K192" s="314"/>
      <c r="L192" s="127"/>
    </row>
    <row r="193" ht="15.75" customHeight="1">
      <c r="A193" s="71" t="s">
        <v>61</v>
      </c>
      <c r="B193" s="110"/>
      <c r="C193" s="110"/>
      <c r="D193" s="110"/>
      <c r="E193" s="110"/>
      <c r="F193" s="110"/>
      <c r="G193" s="110"/>
      <c r="H193" s="110"/>
      <c r="I193" s="110"/>
      <c r="J193" s="110"/>
      <c r="K193" s="314"/>
      <c r="L193" s="341">
        <f>SUM(K175:K181,K187:K193)</f>
        <v>0</v>
      </c>
    </row>
    <row r="194" ht="15.75" customHeight="1"/>
    <row r="195" ht="15.75" customHeight="1">
      <c r="A195" s="70" t="s">
        <v>192</v>
      </c>
      <c r="B195" s="52"/>
      <c r="C195" s="52"/>
      <c r="D195" s="52"/>
      <c r="E195" s="52"/>
      <c r="F195" s="52"/>
      <c r="G195" s="52"/>
      <c r="H195" s="52"/>
      <c r="I195" s="52"/>
      <c r="J195" s="52"/>
      <c r="K195" s="93"/>
      <c r="L195" s="352" t="s">
        <v>53</v>
      </c>
    </row>
    <row r="196" ht="15.75" customHeight="1">
      <c r="A196" s="71"/>
      <c r="B196" s="106" t="s">
        <v>1</v>
      </c>
      <c r="C196" s="52"/>
      <c r="D196" s="52"/>
      <c r="E196" s="52"/>
      <c r="F196" s="52"/>
      <c r="G196" s="52"/>
      <c r="H196" s="52"/>
      <c r="I196" s="52"/>
      <c r="J196" s="53"/>
      <c r="K196" s="315"/>
      <c r="L196" s="353"/>
    </row>
    <row r="197" ht="15.75" customHeight="1">
      <c r="A197" s="71" t="s">
        <v>93</v>
      </c>
      <c r="B197" s="110">
        <v>28.0</v>
      </c>
      <c r="C197" s="110">
        <v>30.0</v>
      </c>
      <c r="D197" s="110">
        <v>32.0</v>
      </c>
      <c r="E197" s="110">
        <v>34.0</v>
      </c>
      <c r="F197" s="110">
        <v>36.0</v>
      </c>
      <c r="G197" s="110">
        <v>38.0</v>
      </c>
      <c r="H197" s="110">
        <v>40.0</v>
      </c>
      <c r="I197" s="110"/>
      <c r="J197" s="110"/>
      <c r="K197" s="314"/>
      <c r="L197" s="353"/>
    </row>
    <row r="198" ht="15.75" customHeight="1">
      <c r="A198" s="71"/>
      <c r="B198" s="123" t="s">
        <v>4</v>
      </c>
      <c r="C198" s="123" t="s">
        <v>49</v>
      </c>
      <c r="D198" s="123" t="s">
        <v>50</v>
      </c>
      <c r="E198" s="123" t="s">
        <v>51</v>
      </c>
      <c r="F198" s="123" t="s">
        <v>52</v>
      </c>
      <c r="G198" s="123" t="s">
        <v>9</v>
      </c>
      <c r="H198" s="123" t="s">
        <v>10</v>
      </c>
      <c r="I198" s="123" t="s">
        <v>11</v>
      </c>
      <c r="J198" s="123" t="s">
        <v>12</v>
      </c>
      <c r="K198" s="133" t="s">
        <v>53</v>
      </c>
      <c r="L198" s="353"/>
    </row>
    <row r="199" ht="15.75" customHeight="1">
      <c r="A199" s="71" t="s">
        <v>54</v>
      </c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353"/>
    </row>
    <row r="200" ht="15.75" customHeight="1">
      <c r="A200" s="71" t="s">
        <v>55</v>
      </c>
      <c r="B200" s="110"/>
      <c r="C200" s="110"/>
      <c r="D200" s="110">
        <f>1</f>
        <v>1</v>
      </c>
      <c r="E200" s="110"/>
      <c r="F200" s="110"/>
      <c r="G200" s="110"/>
      <c r="H200" s="110"/>
      <c r="I200" s="110"/>
      <c r="J200" s="110"/>
      <c r="K200" s="110"/>
      <c r="L200" s="353"/>
    </row>
    <row r="201" ht="15.75" customHeight="1">
      <c r="L201" s="353"/>
    </row>
    <row r="202" ht="15.75" customHeight="1">
      <c r="A202" s="70" t="s">
        <v>192</v>
      </c>
      <c r="B202" s="52"/>
      <c r="C202" s="52"/>
      <c r="D202" s="52"/>
      <c r="E202" s="52"/>
      <c r="F202" s="52"/>
      <c r="G202" s="52"/>
      <c r="H202" s="52"/>
      <c r="I202" s="52"/>
      <c r="J202" s="52"/>
      <c r="K202" s="93"/>
      <c r="L202" s="353"/>
    </row>
    <row r="203" ht="15.75" customHeight="1">
      <c r="A203" s="122"/>
      <c r="B203" s="106" t="s">
        <v>2</v>
      </c>
      <c r="C203" s="52"/>
      <c r="D203" s="52"/>
      <c r="E203" s="52"/>
      <c r="F203" s="52"/>
      <c r="G203" s="52"/>
      <c r="H203" s="52"/>
      <c r="I203" s="52"/>
      <c r="J203" s="53"/>
      <c r="K203" s="315"/>
      <c r="L203" s="353"/>
    </row>
    <row r="204" ht="15.75" customHeight="1">
      <c r="A204" s="71" t="s">
        <v>93</v>
      </c>
      <c r="B204" s="110">
        <v>28.0</v>
      </c>
      <c r="C204" s="110">
        <v>30.0</v>
      </c>
      <c r="D204" s="110">
        <v>32.0</v>
      </c>
      <c r="E204" s="110">
        <v>34.0</v>
      </c>
      <c r="F204" s="110">
        <v>36.0</v>
      </c>
      <c r="G204" s="110">
        <v>38.0</v>
      </c>
      <c r="H204" s="110">
        <v>40.0</v>
      </c>
      <c r="I204" s="110"/>
      <c r="J204" s="110"/>
      <c r="K204" s="314"/>
      <c r="L204" s="353"/>
    </row>
    <row r="205" ht="15.75" customHeight="1">
      <c r="A205" s="71"/>
      <c r="B205" s="123" t="s">
        <v>4</v>
      </c>
      <c r="C205" s="123" t="s">
        <v>49</v>
      </c>
      <c r="D205" s="123" t="s">
        <v>50</v>
      </c>
      <c r="E205" s="123" t="s">
        <v>51</v>
      </c>
      <c r="F205" s="123" t="s">
        <v>52</v>
      </c>
      <c r="G205" s="123" t="s">
        <v>9</v>
      </c>
      <c r="H205" s="123" t="s">
        <v>10</v>
      </c>
      <c r="I205" s="123" t="s">
        <v>11</v>
      </c>
      <c r="J205" s="123" t="s">
        <v>12</v>
      </c>
      <c r="K205" s="133" t="s">
        <v>53</v>
      </c>
      <c r="L205" s="353"/>
    </row>
    <row r="206" ht="15.75" customHeight="1">
      <c r="A206" s="71" t="s">
        <v>54</v>
      </c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27"/>
    </row>
    <row r="207" ht="15.75" customHeight="1">
      <c r="A207" s="71" t="s">
        <v>55</v>
      </c>
      <c r="B207" s="110"/>
      <c r="C207" s="110"/>
      <c r="D207" s="110"/>
      <c r="E207" s="111"/>
      <c r="F207" s="110"/>
      <c r="G207" s="110"/>
      <c r="H207" s="110"/>
      <c r="I207" s="110"/>
      <c r="J207" s="110"/>
      <c r="K207" s="110"/>
      <c r="L207" s="341">
        <f>SUM(K207,K206)</f>
        <v>0</v>
      </c>
    </row>
    <row r="208" ht="15.75" customHeight="1"/>
    <row r="209" ht="15.75" customHeight="1"/>
    <row r="210" ht="15.75" customHeight="1">
      <c r="A210" s="70" t="s">
        <v>193</v>
      </c>
      <c r="B210" s="52"/>
      <c r="C210" s="52"/>
      <c r="D210" s="52"/>
      <c r="E210" s="52"/>
      <c r="F210" s="52"/>
      <c r="G210" s="52"/>
      <c r="H210" s="52"/>
      <c r="I210" s="52"/>
      <c r="J210" s="52"/>
      <c r="K210" s="53"/>
      <c r="L210" s="359" t="s">
        <v>53</v>
      </c>
    </row>
    <row r="211" ht="15.75" customHeight="1">
      <c r="A211" s="122"/>
      <c r="B211" s="106" t="s">
        <v>43</v>
      </c>
      <c r="C211" s="52"/>
      <c r="D211" s="52"/>
      <c r="E211" s="52"/>
      <c r="F211" s="52"/>
      <c r="G211" s="52"/>
      <c r="H211" s="52"/>
      <c r="I211" s="52"/>
      <c r="J211" s="53"/>
      <c r="K211" s="123"/>
      <c r="L211" s="353"/>
    </row>
    <row r="212" ht="15.75" customHeight="1">
      <c r="A212" s="71" t="s">
        <v>93</v>
      </c>
      <c r="B212" s="110">
        <v>28.0</v>
      </c>
      <c r="C212" s="110">
        <v>30.0</v>
      </c>
      <c r="D212" s="110">
        <v>32.0</v>
      </c>
      <c r="E212" s="110">
        <v>34.0</v>
      </c>
      <c r="F212" s="110">
        <v>36.0</v>
      </c>
      <c r="G212" s="110">
        <v>38.0</v>
      </c>
      <c r="H212" s="110">
        <v>40.0</v>
      </c>
      <c r="I212" s="110"/>
      <c r="J212" s="110"/>
      <c r="K212" s="110"/>
      <c r="L212" s="353"/>
    </row>
    <row r="213" ht="15.75" customHeight="1">
      <c r="A213" s="71"/>
      <c r="B213" s="123" t="s">
        <v>4</v>
      </c>
      <c r="C213" s="123" t="s">
        <v>49</v>
      </c>
      <c r="D213" s="123" t="s">
        <v>50</v>
      </c>
      <c r="E213" s="123" t="s">
        <v>51</v>
      </c>
      <c r="F213" s="123" t="s">
        <v>52</v>
      </c>
      <c r="G213" s="123" t="s">
        <v>9</v>
      </c>
      <c r="H213" s="123" t="s">
        <v>10</v>
      </c>
      <c r="I213" s="123" t="s">
        <v>11</v>
      </c>
      <c r="J213" s="123" t="s">
        <v>12</v>
      </c>
      <c r="K213" s="109" t="s">
        <v>53</v>
      </c>
      <c r="L213" s="353"/>
    </row>
    <row r="214" ht="15.75" customHeight="1">
      <c r="A214" s="71" t="s">
        <v>54</v>
      </c>
      <c r="B214" s="110"/>
      <c r="C214" s="110"/>
      <c r="D214" s="110">
        <f>1</f>
        <v>1</v>
      </c>
      <c r="E214" s="110"/>
      <c r="F214" s="110"/>
      <c r="G214" s="110"/>
      <c r="H214" s="110"/>
      <c r="I214" s="110"/>
      <c r="J214" s="110"/>
      <c r="K214" s="356"/>
      <c r="L214" s="127"/>
    </row>
    <row r="215" ht="15.75" customHeight="1">
      <c r="A215" s="71" t="s">
        <v>55</v>
      </c>
      <c r="B215" s="110"/>
      <c r="C215" s="110"/>
      <c r="D215" s="110"/>
      <c r="E215" s="110"/>
      <c r="F215" s="110"/>
      <c r="G215" s="110"/>
      <c r="H215" s="111"/>
      <c r="I215" s="110"/>
      <c r="J215" s="110"/>
      <c r="K215" s="356"/>
      <c r="L215" s="360">
        <f>SUM(K215,K214)</f>
        <v>0</v>
      </c>
    </row>
    <row r="216" ht="15.75" customHeight="1"/>
    <row r="217" ht="15.75" customHeight="1">
      <c r="A217" s="361" t="s">
        <v>194</v>
      </c>
      <c r="B217" s="227"/>
      <c r="C217" s="227"/>
      <c r="D217" s="227"/>
      <c r="E217" s="227"/>
      <c r="F217" s="227"/>
      <c r="G217" s="227"/>
      <c r="H217" s="227"/>
      <c r="I217" s="227"/>
      <c r="J217" s="227"/>
      <c r="K217" s="227"/>
      <c r="L217" s="227"/>
    </row>
    <row r="218" ht="15.75" customHeight="1">
      <c r="A218" s="70" t="s">
        <v>195</v>
      </c>
      <c r="B218" s="52"/>
      <c r="C218" s="52"/>
      <c r="D218" s="52"/>
      <c r="E218" s="52"/>
      <c r="F218" s="52"/>
      <c r="G218" s="52"/>
      <c r="H218" s="52"/>
      <c r="I218" s="52"/>
      <c r="J218" s="52"/>
      <c r="K218" s="93"/>
      <c r="L218" s="362" t="s">
        <v>53</v>
      </c>
    </row>
    <row r="219" ht="15.75" customHeight="1">
      <c r="A219" s="71"/>
      <c r="B219" s="106" t="s">
        <v>1</v>
      </c>
      <c r="C219" s="52"/>
      <c r="D219" s="52"/>
      <c r="E219" s="52"/>
      <c r="F219" s="52"/>
      <c r="G219" s="52"/>
      <c r="H219" s="52"/>
      <c r="I219" s="52"/>
      <c r="J219" s="53"/>
      <c r="K219" s="357"/>
      <c r="L219" s="353"/>
    </row>
    <row r="220" ht="15.75" customHeight="1">
      <c r="A220" s="71" t="s">
        <v>93</v>
      </c>
      <c r="B220" s="110">
        <v>28.0</v>
      </c>
      <c r="C220" s="110">
        <v>30.0</v>
      </c>
      <c r="D220" s="110">
        <v>32.0</v>
      </c>
      <c r="E220" s="110">
        <v>34.0</v>
      </c>
      <c r="F220" s="110">
        <v>36.0</v>
      </c>
      <c r="G220" s="110">
        <v>38.0</v>
      </c>
      <c r="H220" s="110">
        <v>40.0</v>
      </c>
      <c r="I220" s="110"/>
      <c r="J220" s="110"/>
      <c r="K220" s="357"/>
      <c r="L220" s="353"/>
    </row>
    <row r="221" ht="15.75" customHeight="1">
      <c r="A221" s="73"/>
      <c r="B221" s="333" t="s">
        <v>4</v>
      </c>
      <c r="C221" s="333" t="s">
        <v>49</v>
      </c>
      <c r="D221" s="333" t="s">
        <v>50</v>
      </c>
      <c r="E221" s="333" t="s">
        <v>51</v>
      </c>
      <c r="F221" s="333" t="s">
        <v>52</v>
      </c>
      <c r="G221" s="333" t="s">
        <v>9</v>
      </c>
      <c r="H221" s="333" t="s">
        <v>10</v>
      </c>
      <c r="I221" s="333" t="s">
        <v>11</v>
      </c>
      <c r="J221" s="333" t="s">
        <v>12</v>
      </c>
      <c r="K221" s="355" t="s">
        <v>53</v>
      </c>
      <c r="L221" s="353"/>
    </row>
    <row r="222" ht="15.75" customHeight="1">
      <c r="A222" s="71" t="s">
        <v>54</v>
      </c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353"/>
    </row>
    <row r="223" ht="15.75" customHeight="1">
      <c r="A223" s="71" t="s">
        <v>55</v>
      </c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353"/>
    </row>
    <row r="224" ht="15.75" customHeight="1">
      <c r="L224" s="353"/>
    </row>
    <row r="225" ht="15.75" customHeight="1">
      <c r="A225" s="70" t="s">
        <v>196</v>
      </c>
      <c r="B225" s="52"/>
      <c r="C225" s="52"/>
      <c r="D225" s="52"/>
      <c r="E225" s="52"/>
      <c r="F225" s="52"/>
      <c r="G225" s="52"/>
      <c r="H225" s="52"/>
      <c r="I225" s="52"/>
      <c r="J225" s="52"/>
      <c r="K225" s="93"/>
      <c r="L225" s="353"/>
    </row>
    <row r="226" ht="15.75" customHeight="1">
      <c r="A226" s="122"/>
      <c r="B226" s="106" t="s">
        <v>2</v>
      </c>
      <c r="C226" s="52"/>
      <c r="D226" s="52"/>
      <c r="E226" s="52"/>
      <c r="F226" s="52"/>
      <c r="G226" s="52"/>
      <c r="H226" s="52"/>
      <c r="I226" s="52"/>
      <c r="J226" s="53"/>
      <c r="K226" s="357"/>
      <c r="L226" s="353"/>
    </row>
    <row r="227" ht="15.75" customHeight="1">
      <c r="A227" s="71" t="s">
        <v>93</v>
      </c>
      <c r="B227" s="110">
        <v>28.0</v>
      </c>
      <c r="C227" s="110">
        <v>30.0</v>
      </c>
      <c r="D227" s="110">
        <v>32.0</v>
      </c>
      <c r="E227" s="110">
        <v>34.0</v>
      </c>
      <c r="F227" s="110">
        <v>36.0</v>
      </c>
      <c r="G227" s="110">
        <v>38.0</v>
      </c>
      <c r="H227" s="110">
        <v>40.0</v>
      </c>
      <c r="I227" s="110"/>
      <c r="J227" s="110"/>
      <c r="K227" s="357"/>
      <c r="L227" s="353"/>
    </row>
    <row r="228" ht="15.75" customHeight="1">
      <c r="A228" s="71"/>
      <c r="B228" s="123" t="s">
        <v>4</v>
      </c>
      <c r="C228" s="123" t="s">
        <v>49</v>
      </c>
      <c r="D228" s="123" t="s">
        <v>50</v>
      </c>
      <c r="E228" s="123" t="s">
        <v>51</v>
      </c>
      <c r="F228" s="123" t="s">
        <v>52</v>
      </c>
      <c r="G228" s="123" t="s">
        <v>9</v>
      </c>
      <c r="H228" s="123" t="s">
        <v>10</v>
      </c>
      <c r="I228" s="123" t="s">
        <v>11</v>
      </c>
      <c r="J228" s="123" t="s">
        <v>12</v>
      </c>
      <c r="K228" s="133" t="s">
        <v>53</v>
      </c>
      <c r="L228" s="353"/>
    </row>
    <row r="229" ht="15.75" customHeight="1">
      <c r="A229" s="71" t="s">
        <v>54</v>
      </c>
      <c r="B229" s="110"/>
      <c r="C229" s="110"/>
      <c r="D229" s="110">
        <f>1</f>
        <v>1</v>
      </c>
      <c r="E229" s="110"/>
      <c r="F229" s="110"/>
      <c r="G229" s="110"/>
      <c r="H229" s="110"/>
      <c r="I229" s="110"/>
      <c r="J229" s="110"/>
      <c r="K229" s="110"/>
      <c r="L229" s="127"/>
    </row>
    <row r="230" ht="15.75" customHeight="1">
      <c r="A230" s="71" t="s">
        <v>55</v>
      </c>
      <c r="B230" s="110"/>
      <c r="C230" s="110"/>
      <c r="D230" s="110"/>
      <c r="E230" s="110"/>
      <c r="F230" s="110"/>
      <c r="G230" s="111"/>
      <c r="H230" s="110"/>
      <c r="I230" s="110"/>
      <c r="J230" s="110"/>
      <c r="K230" s="110"/>
      <c r="L230" s="342">
        <f>SUM(K222:K223,K229:K230)</f>
        <v>0</v>
      </c>
    </row>
    <row r="231" ht="15.75" customHeight="1"/>
    <row r="232" ht="15.75" customHeight="1">
      <c r="A232" s="70" t="s">
        <v>197</v>
      </c>
      <c r="B232" s="52"/>
      <c r="C232" s="52"/>
      <c r="D232" s="52"/>
      <c r="E232" s="52"/>
      <c r="F232" s="52"/>
      <c r="G232" s="52"/>
      <c r="H232" s="52"/>
      <c r="I232" s="52"/>
      <c r="J232" s="52"/>
      <c r="K232" s="93"/>
      <c r="L232" s="352" t="s">
        <v>53</v>
      </c>
    </row>
    <row r="233" ht="15.75" customHeight="1">
      <c r="A233" s="71"/>
      <c r="B233" s="106" t="s">
        <v>1</v>
      </c>
      <c r="C233" s="52"/>
      <c r="D233" s="52"/>
      <c r="E233" s="52"/>
      <c r="F233" s="52"/>
      <c r="G233" s="52"/>
      <c r="H233" s="52"/>
      <c r="I233" s="52"/>
      <c r="J233" s="53"/>
      <c r="K233" s="357"/>
      <c r="L233" s="353"/>
    </row>
    <row r="234" ht="15.75" customHeight="1">
      <c r="A234" s="71" t="s">
        <v>93</v>
      </c>
      <c r="B234" s="110">
        <v>28.0</v>
      </c>
      <c r="C234" s="110">
        <v>30.0</v>
      </c>
      <c r="D234" s="110">
        <v>32.0</v>
      </c>
      <c r="E234" s="110">
        <v>34.0</v>
      </c>
      <c r="F234" s="110">
        <v>36.0</v>
      </c>
      <c r="G234" s="110">
        <v>38.0</v>
      </c>
      <c r="H234" s="110">
        <v>40.0</v>
      </c>
      <c r="I234" s="110"/>
      <c r="J234" s="110"/>
      <c r="K234" s="357"/>
      <c r="L234" s="353"/>
    </row>
    <row r="235" ht="15.75" customHeight="1">
      <c r="A235" s="71"/>
      <c r="B235" s="123" t="s">
        <v>4</v>
      </c>
      <c r="C235" s="123" t="s">
        <v>49</v>
      </c>
      <c r="D235" s="123" t="s">
        <v>50</v>
      </c>
      <c r="E235" s="123" t="s">
        <v>51</v>
      </c>
      <c r="F235" s="123" t="s">
        <v>52</v>
      </c>
      <c r="G235" s="123" t="s">
        <v>9</v>
      </c>
      <c r="H235" s="123" t="s">
        <v>10</v>
      </c>
      <c r="I235" s="123" t="s">
        <v>11</v>
      </c>
      <c r="J235" s="123" t="s">
        <v>12</v>
      </c>
      <c r="K235" s="133" t="s">
        <v>53</v>
      </c>
      <c r="L235" s="353"/>
    </row>
    <row r="236" ht="15.75" customHeight="1">
      <c r="A236" s="71" t="s">
        <v>54</v>
      </c>
      <c r="B236" s="110">
        <f>1</f>
        <v>1</v>
      </c>
      <c r="C236" s="110"/>
      <c r="D236" s="111"/>
      <c r="E236" s="110"/>
      <c r="F236" s="110"/>
      <c r="G236" s="110"/>
      <c r="H236" s="110"/>
      <c r="I236" s="110"/>
      <c r="J236" s="110"/>
      <c r="K236" s="110"/>
      <c r="L236" s="353"/>
    </row>
    <row r="237" ht="15.75" customHeight="1">
      <c r="A237" s="71" t="s">
        <v>55</v>
      </c>
      <c r="B237" s="110"/>
      <c r="C237" s="110"/>
      <c r="D237" s="110"/>
      <c r="E237" s="111"/>
      <c r="F237" s="110"/>
      <c r="G237" s="110"/>
      <c r="H237" s="110"/>
      <c r="I237" s="110"/>
      <c r="J237" s="110"/>
      <c r="K237" s="110"/>
      <c r="L237" s="353"/>
    </row>
    <row r="238" ht="15.75" customHeight="1">
      <c r="A238" s="71" t="s">
        <v>57</v>
      </c>
      <c r="B238" s="110"/>
      <c r="C238" s="110"/>
      <c r="D238" s="303"/>
      <c r="E238" s="110"/>
      <c r="F238" s="303"/>
      <c r="G238" s="303"/>
      <c r="H238" s="110"/>
      <c r="I238" s="110"/>
      <c r="J238" s="110"/>
      <c r="K238" s="110"/>
      <c r="L238" s="353"/>
    </row>
    <row r="239" ht="15.75" customHeight="1">
      <c r="G239" s="112"/>
      <c r="L239" s="353"/>
    </row>
    <row r="240" ht="15.75" customHeight="1">
      <c r="A240" s="70" t="s">
        <v>197</v>
      </c>
      <c r="B240" s="52"/>
      <c r="C240" s="52"/>
      <c r="D240" s="52"/>
      <c r="E240" s="52"/>
      <c r="F240" s="52"/>
      <c r="G240" s="52"/>
      <c r="H240" s="52"/>
      <c r="I240" s="52"/>
      <c r="J240" s="52"/>
      <c r="K240" s="93"/>
      <c r="L240" s="353"/>
    </row>
    <row r="241" ht="15.75" customHeight="1">
      <c r="A241" s="122"/>
      <c r="B241" s="106" t="s">
        <v>2</v>
      </c>
      <c r="C241" s="52"/>
      <c r="D241" s="52"/>
      <c r="E241" s="52"/>
      <c r="F241" s="52"/>
      <c r="G241" s="52"/>
      <c r="H241" s="52"/>
      <c r="I241" s="52"/>
      <c r="J241" s="53"/>
      <c r="K241" s="357"/>
      <c r="L241" s="353"/>
    </row>
    <row r="242" ht="15.75" customHeight="1">
      <c r="A242" s="71" t="s">
        <v>93</v>
      </c>
      <c r="B242" s="110">
        <v>28.0</v>
      </c>
      <c r="C242" s="110">
        <v>30.0</v>
      </c>
      <c r="D242" s="110">
        <v>32.0</v>
      </c>
      <c r="E242" s="110">
        <v>34.0</v>
      </c>
      <c r="F242" s="110">
        <v>36.0</v>
      </c>
      <c r="G242" s="110">
        <v>38.0</v>
      </c>
      <c r="H242" s="110">
        <v>40.0</v>
      </c>
      <c r="I242" s="110"/>
      <c r="J242" s="110"/>
      <c r="K242" s="357"/>
      <c r="L242" s="353"/>
    </row>
    <row r="243" ht="15.75" customHeight="1">
      <c r="A243" s="71"/>
      <c r="B243" s="123" t="s">
        <v>4</v>
      </c>
      <c r="C243" s="123" t="s">
        <v>49</v>
      </c>
      <c r="D243" s="123" t="s">
        <v>50</v>
      </c>
      <c r="E243" s="123" t="s">
        <v>51</v>
      </c>
      <c r="F243" s="123" t="s">
        <v>52</v>
      </c>
      <c r="G243" s="123" t="s">
        <v>9</v>
      </c>
      <c r="H243" s="123" t="s">
        <v>10</v>
      </c>
      <c r="I243" s="123" t="s">
        <v>11</v>
      </c>
      <c r="J243" s="123" t="s">
        <v>12</v>
      </c>
      <c r="K243" s="133" t="s">
        <v>53</v>
      </c>
      <c r="L243" s="353"/>
    </row>
    <row r="244" ht="15.75" customHeight="1">
      <c r="A244" s="71" t="s">
        <v>54</v>
      </c>
      <c r="B244" s="110"/>
      <c r="C244" s="110"/>
      <c r="D244" s="110"/>
      <c r="E244" s="110"/>
      <c r="F244" s="110"/>
      <c r="G244" s="110"/>
      <c r="H244" s="110"/>
      <c r="I244" s="110"/>
      <c r="J244" s="110"/>
      <c r="K244" s="110">
        <f t="shared" ref="K244:K246" si="32">SUM(B244:J244)</f>
        <v>0</v>
      </c>
      <c r="L244" s="353"/>
    </row>
    <row r="245" ht="15.75" customHeight="1">
      <c r="A245" s="71" t="s">
        <v>55</v>
      </c>
      <c r="B245" s="110"/>
      <c r="C245" s="110"/>
      <c r="D245" s="110"/>
      <c r="E245" s="110"/>
      <c r="F245" s="110"/>
      <c r="G245" s="110"/>
      <c r="H245" s="110"/>
      <c r="I245" s="110"/>
      <c r="J245" s="110"/>
      <c r="K245" s="110">
        <f t="shared" si="32"/>
        <v>0</v>
      </c>
      <c r="L245" s="127"/>
    </row>
    <row r="246" ht="15.75" customHeight="1">
      <c r="A246" s="71" t="s">
        <v>18</v>
      </c>
      <c r="B246" s="303"/>
      <c r="C246" s="303"/>
      <c r="D246" s="303"/>
      <c r="E246" s="303"/>
      <c r="F246" s="110"/>
      <c r="G246" s="303"/>
      <c r="H246" s="110"/>
      <c r="I246" s="111"/>
      <c r="J246" s="110"/>
      <c r="K246" s="110">
        <f t="shared" si="32"/>
        <v>0</v>
      </c>
      <c r="L246" s="342">
        <f>SUM(K236:K238,K244:K246)</f>
        <v>0</v>
      </c>
    </row>
    <row r="247" ht="15.75" customHeight="1">
      <c r="K247" s="363"/>
    </row>
    <row r="248" ht="15.75" customHeight="1">
      <c r="A248" s="70" t="s">
        <v>198</v>
      </c>
      <c r="B248" s="52"/>
      <c r="C248" s="52"/>
      <c r="D248" s="52"/>
      <c r="E248" s="52"/>
      <c r="F248" s="52"/>
      <c r="G248" s="52"/>
      <c r="H248" s="52"/>
      <c r="I248" s="52"/>
      <c r="J248" s="52"/>
      <c r="K248" s="93"/>
      <c r="L248" s="352" t="s">
        <v>53</v>
      </c>
    </row>
    <row r="249" ht="15.75" customHeight="1">
      <c r="A249" s="71"/>
      <c r="B249" s="106" t="s">
        <v>1</v>
      </c>
      <c r="C249" s="52"/>
      <c r="D249" s="52"/>
      <c r="E249" s="52"/>
      <c r="F249" s="52"/>
      <c r="G249" s="52"/>
      <c r="H249" s="52"/>
      <c r="I249" s="52"/>
      <c r="J249" s="53"/>
      <c r="K249" s="357"/>
      <c r="L249" s="353"/>
    </row>
    <row r="250" ht="15.75" customHeight="1">
      <c r="A250" s="71" t="s">
        <v>93</v>
      </c>
      <c r="B250" s="110">
        <v>28.0</v>
      </c>
      <c r="C250" s="110">
        <v>30.0</v>
      </c>
      <c r="D250" s="110">
        <v>32.0</v>
      </c>
      <c r="E250" s="110">
        <v>34.0</v>
      </c>
      <c r="F250" s="110">
        <v>36.0</v>
      </c>
      <c r="G250" s="110">
        <v>38.0</v>
      </c>
      <c r="H250" s="110">
        <v>40.0</v>
      </c>
      <c r="I250" s="110"/>
      <c r="J250" s="110"/>
      <c r="K250" s="357"/>
      <c r="L250" s="353"/>
    </row>
    <row r="251" ht="15.75" customHeight="1">
      <c r="A251" s="71"/>
      <c r="B251" s="123" t="s">
        <v>4</v>
      </c>
      <c r="C251" s="123" t="s">
        <v>49</v>
      </c>
      <c r="D251" s="123" t="s">
        <v>50</v>
      </c>
      <c r="E251" s="95" t="s">
        <v>51</v>
      </c>
      <c r="F251" s="123" t="s">
        <v>52</v>
      </c>
      <c r="G251" s="123" t="s">
        <v>9</v>
      </c>
      <c r="H251" s="123" t="s">
        <v>10</v>
      </c>
      <c r="I251" s="123" t="s">
        <v>11</v>
      </c>
      <c r="J251" s="123" t="s">
        <v>12</v>
      </c>
      <c r="K251" s="133" t="s">
        <v>53</v>
      </c>
      <c r="L251" s="353"/>
    </row>
    <row r="252" ht="15.75" customHeight="1">
      <c r="A252" s="71" t="s">
        <v>54</v>
      </c>
      <c r="B252" s="110"/>
      <c r="C252" s="110"/>
      <c r="D252" s="110"/>
      <c r="E252" s="110"/>
      <c r="F252" s="110"/>
      <c r="G252" s="110"/>
      <c r="H252" s="110"/>
      <c r="I252" s="110"/>
      <c r="J252" s="110"/>
      <c r="K252" s="110"/>
      <c r="L252" s="353"/>
    </row>
    <row r="253" ht="15.75" customHeight="1">
      <c r="A253" s="71" t="s">
        <v>55</v>
      </c>
      <c r="B253" s="110"/>
      <c r="C253" s="110"/>
      <c r="D253" s="110"/>
      <c r="E253" s="110"/>
      <c r="F253" s="110"/>
      <c r="G253" s="110"/>
      <c r="H253" s="110"/>
      <c r="I253" s="110"/>
      <c r="J253" s="110"/>
      <c r="K253" s="110"/>
      <c r="L253" s="353"/>
    </row>
    <row r="254" ht="15.75" customHeight="1">
      <c r="A254" s="71" t="s">
        <v>57</v>
      </c>
      <c r="B254" s="110"/>
      <c r="C254" s="110"/>
      <c r="D254" s="110">
        <f>1-1</f>
        <v>0</v>
      </c>
      <c r="E254" s="110"/>
      <c r="F254" s="110"/>
      <c r="G254" s="110"/>
      <c r="H254" s="110"/>
      <c r="I254" s="110"/>
      <c r="J254" s="110"/>
      <c r="K254" s="110"/>
      <c r="L254" s="353"/>
    </row>
    <row r="255" ht="15.75" customHeight="1">
      <c r="A255" s="71" t="s">
        <v>59</v>
      </c>
      <c r="B255" s="110"/>
      <c r="C255" s="110"/>
      <c r="D255" s="110"/>
      <c r="E255" s="110"/>
      <c r="F255" s="110"/>
      <c r="G255" s="110"/>
      <c r="H255" s="110"/>
      <c r="I255" s="110"/>
      <c r="J255" s="110"/>
      <c r="K255" s="110"/>
      <c r="L255" s="353"/>
    </row>
    <row r="256" ht="15.75" customHeight="1">
      <c r="A256" s="71"/>
      <c r="B256" s="110"/>
      <c r="C256" s="110"/>
      <c r="D256" s="110"/>
      <c r="E256" s="110"/>
      <c r="F256" s="110"/>
      <c r="G256" s="110"/>
      <c r="H256" s="110"/>
      <c r="I256" s="110"/>
      <c r="J256" s="110"/>
      <c r="K256" s="357"/>
      <c r="L256" s="353"/>
    </row>
    <row r="257" ht="15.75" customHeight="1">
      <c r="A257" s="71"/>
      <c r="B257" s="110"/>
      <c r="C257" s="110"/>
      <c r="D257" s="110"/>
      <c r="E257" s="110"/>
      <c r="F257" s="110"/>
      <c r="G257" s="110"/>
      <c r="H257" s="110"/>
      <c r="I257" s="110"/>
      <c r="J257" s="110"/>
      <c r="K257" s="357"/>
      <c r="L257" s="353"/>
    </row>
    <row r="258" ht="15.75" customHeight="1">
      <c r="A258" s="71"/>
      <c r="B258" s="110"/>
      <c r="C258" s="110"/>
      <c r="D258" s="110"/>
      <c r="E258" s="110"/>
      <c r="F258" s="110"/>
      <c r="G258" s="110"/>
      <c r="H258" s="110"/>
      <c r="I258" s="110"/>
      <c r="J258" s="110"/>
      <c r="K258" s="357"/>
      <c r="L258" s="353"/>
    </row>
    <row r="259" ht="15.75" customHeight="1">
      <c r="L259" s="353"/>
    </row>
    <row r="260" ht="15.75" customHeight="1">
      <c r="A260" s="70" t="s">
        <v>198</v>
      </c>
      <c r="B260" s="52"/>
      <c r="C260" s="52"/>
      <c r="D260" s="52"/>
      <c r="E260" s="52"/>
      <c r="F260" s="52"/>
      <c r="G260" s="52"/>
      <c r="H260" s="52"/>
      <c r="I260" s="52"/>
      <c r="J260" s="52"/>
      <c r="K260" s="93"/>
      <c r="L260" s="353"/>
    </row>
    <row r="261" ht="15.75" customHeight="1">
      <c r="A261" s="122"/>
      <c r="B261" s="106" t="s">
        <v>2</v>
      </c>
      <c r="C261" s="52"/>
      <c r="D261" s="52"/>
      <c r="E261" s="52"/>
      <c r="F261" s="52"/>
      <c r="G261" s="52"/>
      <c r="H261" s="52"/>
      <c r="I261" s="52"/>
      <c r="J261" s="53"/>
      <c r="K261" s="357"/>
      <c r="L261" s="353"/>
    </row>
    <row r="262" ht="15.75" customHeight="1">
      <c r="A262" s="71" t="s">
        <v>93</v>
      </c>
      <c r="B262" s="110">
        <v>28.0</v>
      </c>
      <c r="C262" s="110">
        <v>30.0</v>
      </c>
      <c r="D262" s="110">
        <v>32.0</v>
      </c>
      <c r="E262" s="110">
        <v>34.0</v>
      </c>
      <c r="F262" s="110">
        <v>36.0</v>
      </c>
      <c r="G262" s="110">
        <v>38.0</v>
      </c>
      <c r="H262" s="110">
        <v>40.0</v>
      </c>
      <c r="I262" s="110"/>
      <c r="J262" s="110"/>
      <c r="K262" s="357"/>
      <c r="L262" s="353"/>
    </row>
    <row r="263" ht="15.75" customHeight="1">
      <c r="A263" s="71"/>
      <c r="B263" s="123" t="s">
        <v>4</v>
      </c>
      <c r="C263" s="123" t="s">
        <v>49</v>
      </c>
      <c r="D263" s="123" t="s">
        <v>50</v>
      </c>
      <c r="E263" s="123" t="s">
        <v>51</v>
      </c>
      <c r="F263" s="123" t="s">
        <v>52</v>
      </c>
      <c r="G263" s="123" t="s">
        <v>9</v>
      </c>
      <c r="H263" s="123" t="s">
        <v>10</v>
      </c>
      <c r="I263" s="123" t="s">
        <v>11</v>
      </c>
      <c r="J263" s="123" t="s">
        <v>12</v>
      </c>
      <c r="K263" s="133" t="s">
        <v>53</v>
      </c>
      <c r="L263" s="353"/>
    </row>
    <row r="264" ht="15.75" customHeight="1">
      <c r="A264" s="71" t="s">
        <v>54</v>
      </c>
      <c r="B264" s="110"/>
      <c r="C264" s="110"/>
      <c r="D264" s="110"/>
      <c r="E264" s="110">
        <f>1</f>
        <v>1</v>
      </c>
      <c r="F264" s="110"/>
      <c r="G264" s="110"/>
      <c r="H264" s="110"/>
      <c r="I264" s="110"/>
      <c r="J264" s="110"/>
      <c r="K264" s="110"/>
      <c r="L264" s="353"/>
    </row>
    <row r="265" ht="15.75" customHeight="1">
      <c r="A265" s="71" t="s">
        <v>55</v>
      </c>
      <c r="B265" s="110"/>
      <c r="C265" s="110"/>
      <c r="D265" s="110"/>
      <c r="E265" s="110"/>
      <c r="F265" s="110"/>
      <c r="G265" s="110"/>
      <c r="H265" s="110"/>
      <c r="I265" s="110"/>
      <c r="J265" s="110"/>
      <c r="K265" s="110"/>
      <c r="L265" s="353"/>
    </row>
    <row r="266" ht="15.75" customHeight="1">
      <c r="A266" s="71" t="s">
        <v>18</v>
      </c>
      <c r="B266" s="110"/>
      <c r="C266" s="110"/>
      <c r="D266" s="110"/>
      <c r="E266" s="110"/>
      <c r="F266" s="110"/>
      <c r="G266" s="110"/>
      <c r="H266" s="110"/>
      <c r="I266" s="110"/>
      <c r="J266" s="110"/>
      <c r="K266" s="110"/>
      <c r="L266" s="353"/>
    </row>
    <row r="267" ht="15.75" customHeight="1">
      <c r="A267" s="364" t="s">
        <v>59</v>
      </c>
      <c r="B267" s="110"/>
      <c r="C267" s="110"/>
      <c r="D267" s="110"/>
      <c r="E267" s="110"/>
      <c r="F267" s="110"/>
      <c r="G267" s="110"/>
      <c r="H267" s="110"/>
      <c r="I267" s="110"/>
      <c r="J267" s="110"/>
      <c r="K267" s="110"/>
      <c r="L267" s="353"/>
    </row>
    <row r="268" ht="15.75" customHeight="1">
      <c r="A268" s="71"/>
      <c r="B268" s="110"/>
      <c r="C268" s="110"/>
      <c r="D268" s="110"/>
      <c r="E268" s="110"/>
      <c r="F268" s="110"/>
      <c r="G268" s="110"/>
      <c r="H268" s="110"/>
      <c r="I268" s="110"/>
      <c r="J268" s="110"/>
      <c r="K268" s="357"/>
      <c r="L268" s="353"/>
    </row>
    <row r="269" ht="15.75" customHeight="1">
      <c r="A269" s="71"/>
      <c r="B269" s="110"/>
      <c r="C269" s="110"/>
      <c r="D269" s="110"/>
      <c r="E269" s="110"/>
      <c r="F269" s="110"/>
      <c r="G269" s="110"/>
      <c r="H269" s="110"/>
      <c r="I269" s="110"/>
      <c r="J269" s="110"/>
      <c r="K269" s="357"/>
      <c r="L269" s="127"/>
    </row>
    <row r="270" ht="15.75" customHeight="1">
      <c r="A270" s="71"/>
      <c r="B270" s="110"/>
      <c r="C270" s="110"/>
      <c r="D270" s="110"/>
      <c r="E270" s="110"/>
      <c r="F270" s="110"/>
      <c r="G270" s="110"/>
      <c r="H270" s="110"/>
      <c r="I270" s="110"/>
      <c r="J270" s="110"/>
      <c r="K270" s="357"/>
      <c r="L270" s="342">
        <f>SUM(K252:K258,K264:K270)</f>
        <v>0</v>
      </c>
    </row>
    <row r="271" ht="15.75" customHeight="1"/>
    <row r="272" ht="15.75" customHeight="1">
      <c r="A272" s="70" t="s">
        <v>199</v>
      </c>
      <c r="B272" s="52"/>
      <c r="C272" s="52"/>
      <c r="D272" s="52"/>
      <c r="E272" s="52"/>
      <c r="F272" s="52"/>
      <c r="G272" s="52"/>
      <c r="H272" s="52"/>
      <c r="I272" s="52"/>
      <c r="J272" s="52"/>
      <c r="K272" s="93"/>
      <c r="L272" s="352" t="s">
        <v>53</v>
      </c>
    </row>
    <row r="273" ht="15.75" customHeight="1">
      <c r="A273" s="71"/>
      <c r="B273" s="106" t="s">
        <v>1</v>
      </c>
      <c r="C273" s="52"/>
      <c r="D273" s="52"/>
      <c r="E273" s="52"/>
      <c r="F273" s="52"/>
      <c r="G273" s="52"/>
      <c r="H273" s="52"/>
      <c r="I273" s="52"/>
      <c r="J273" s="53"/>
      <c r="K273" s="357"/>
      <c r="L273" s="353"/>
    </row>
    <row r="274" ht="15.75" customHeight="1">
      <c r="A274" s="71" t="s">
        <v>93</v>
      </c>
      <c r="B274" s="110">
        <v>28.0</v>
      </c>
      <c r="C274" s="110">
        <v>30.0</v>
      </c>
      <c r="D274" s="110">
        <v>32.0</v>
      </c>
      <c r="E274" s="110">
        <v>34.0</v>
      </c>
      <c r="F274" s="110">
        <v>36.0</v>
      </c>
      <c r="G274" s="110">
        <v>38.0</v>
      </c>
      <c r="H274" s="110">
        <v>40.0</v>
      </c>
      <c r="I274" s="110"/>
      <c r="J274" s="110"/>
      <c r="K274" s="357"/>
      <c r="L274" s="353"/>
    </row>
    <row r="275" ht="15.75" customHeight="1">
      <c r="A275" s="71"/>
      <c r="B275" s="123" t="s">
        <v>4</v>
      </c>
      <c r="C275" s="123" t="s">
        <v>49</v>
      </c>
      <c r="D275" s="123" t="s">
        <v>50</v>
      </c>
      <c r="E275" s="123" t="s">
        <v>51</v>
      </c>
      <c r="F275" s="123" t="s">
        <v>52</v>
      </c>
      <c r="G275" s="123" t="s">
        <v>9</v>
      </c>
      <c r="H275" s="123" t="s">
        <v>10</v>
      </c>
      <c r="I275" s="123" t="s">
        <v>11</v>
      </c>
      <c r="J275" s="123" t="s">
        <v>12</v>
      </c>
      <c r="K275" s="133" t="s">
        <v>53</v>
      </c>
      <c r="L275" s="353"/>
    </row>
    <row r="276" ht="15.75" customHeight="1">
      <c r="A276" s="71" t="s">
        <v>54</v>
      </c>
      <c r="B276" s="110"/>
      <c r="C276" s="110"/>
      <c r="D276" s="110"/>
      <c r="E276" s="110"/>
      <c r="F276" s="110"/>
      <c r="G276" s="110"/>
      <c r="H276" s="110"/>
      <c r="I276" s="110"/>
      <c r="J276" s="110"/>
      <c r="K276" s="110"/>
      <c r="L276" s="353"/>
    </row>
    <row r="277" ht="15.75" customHeight="1">
      <c r="A277" s="71" t="s">
        <v>55</v>
      </c>
      <c r="B277" s="110"/>
      <c r="C277" s="110"/>
      <c r="D277" s="110"/>
      <c r="E277" s="110"/>
      <c r="F277" s="110"/>
      <c r="G277" s="110"/>
      <c r="H277" s="110"/>
      <c r="I277" s="110"/>
      <c r="J277" s="110"/>
      <c r="K277" s="110"/>
      <c r="L277" s="353"/>
    </row>
    <row r="278" ht="15.75" customHeight="1">
      <c r="L278" s="353"/>
    </row>
    <row r="279" ht="15.75" customHeight="1">
      <c r="A279" s="70" t="s">
        <v>199</v>
      </c>
      <c r="B279" s="52"/>
      <c r="C279" s="52"/>
      <c r="D279" s="52"/>
      <c r="E279" s="52"/>
      <c r="F279" s="52"/>
      <c r="G279" s="52"/>
      <c r="H279" s="52"/>
      <c r="I279" s="52"/>
      <c r="J279" s="52"/>
      <c r="K279" s="93"/>
      <c r="L279" s="353"/>
    </row>
    <row r="280" ht="15.75" customHeight="1">
      <c r="A280" s="122"/>
      <c r="B280" s="106" t="s">
        <v>2</v>
      </c>
      <c r="C280" s="52"/>
      <c r="D280" s="52"/>
      <c r="E280" s="52"/>
      <c r="F280" s="52"/>
      <c r="G280" s="52"/>
      <c r="H280" s="52"/>
      <c r="I280" s="52"/>
      <c r="J280" s="53"/>
      <c r="K280" s="357"/>
      <c r="L280" s="353"/>
    </row>
    <row r="281" ht="15.75" customHeight="1">
      <c r="A281" s="71" t="s">
        <v>93</v>
      </c>
      <c r="B281" s="110">
        <v>28.0</v>
      </c>
      <c r="C281" s="110">
        <v>30.0</v>
      </c>
      <c r="D281" s="110">
        <v>32.0</v>
      </c>
      <c r="E281" s="110">
        <v>34.0</v>
      </c>
      <c r="F281" s="110">
        <v>36.0</v>
      </c>
      <c r="G281" s="110">
        <v>38.0</v>
      </c>
      <c r="H281" s="110">
        <v>40.0</v>
      </c>
      <c r="I281" s="110"/>
      <c r="J281" s="110"/>
      <c r="K281" s="357"/>
      <c r="L281" s="353"/>
    </row>
    <row r="282" ht="15.75" customHeight="1">
      <c r="A282" s="71"/>
      <c r="B282" s="123" t="s">
        <v>4</v>
      </c>
      <c r="C282" s="123" t="s">
        <v>49</v>
      </c>
      <c r="D282" s="123" t="s">
        <v>50</v>
      </c>
      <c r="E282" s="123" t="s">
        <v>51</v>
      </c>
      <c r="F282" s="123" t="s">
        <v>52</v>
      </c>
      <c r="G282" s="123" t="s">
        <v>9</v>
      </c>
      <c r="H282" s="123" t="s">
        <v>10</v>
      </c>
      <c r="I282" s="123" t="s">
        <v>11</v>
      </c>
      <c r="J282" s="123" t="s">
        <v>12</v>
      </c>
      <c r="K282" s="133" t="s">
        <v>53</v>
      </c>
      <c r="L282" s="353"/>
    </row>
    <row r="283" ht="15.75" customHeight="1">
      <c r="A283" s="71" t="s">
        <v>54</v>
      </c>
      <c r="B283" s="110"/>
      <c r="C283" s="110"/>
      <c r="D283" s="110"/>
      <c r="E283" s="110"/>
      <c r="F283" s="110"/>
      <c r="G283" s="110"/>
      <c r="H283" s="110"/>
      <c r="I283" s="110"/>
      <c r="J283" s="110"/>
      <c r="K283" s="110"/>
      <c r="L283" s="127"/>
    </row>
    <row r="284" ht="15.75" customHeight="1">
      <c r="A284" s="71" t="s">
        <v>55</v>
      </c>
      <c r="B284" s="110"/>
      <c r="C284" s="110"/>
      <c r="D284" s="110">
        <f>1</f>
        <v>1</v>
      </c>
      <c r="E284" s="110"/>
      <c r="F284" s="110"/>
      <c r="G284" s="110"/>
      <c r="H284" s="110"/>
      <c r="I284" s="110"/>
      <c r="J284" s="110"/>
      <c r="K284" s="110"/>
      <c r="L284" s="342">
        <f>SUM(K284,K283,K277,K276)</f>
        <v>0</v>
      </c>
    </row>
    <row r="285" ht="15.75" customHeight="1"/>
    <row r="286" ht="15.75" customHeight="1">
      <c r="A286" s="70" t="s">
        <v>200</v>
      </c>
      <c r="B286" s="52"/>
      <c r="C286" s="52"/>
      <c r="D286" s="52"/>
      <c r="E286" s="52"/>
      <c r="F286" s="52"/>
      <c r="G286" s="52"/>
      <c r="H286" s="52"/>
      <c r="I286" s="52"/>
      <c r="J286" s="52"/>
      <c r="K286" s="93"/>
      <c r="L286" s="359" t="s">
        <v>53</v>
      </c>
    </row>
    <row r="287" ht="15.75" customHeight="1">
      <c r="A287" s="122"/>
      <c r="B287" s="106" t="s">
        <v>43</v>
      </c>
      <c r="C287" s="52"/>
      <c r="D287" s="52"/>
      <c r="E287" s="52"/>
      <c r="F287" s="52"/>
      <c r="G287" s="52"/>
      <c r="H287" s="52"/>
      <c r="I287" s="52"/>
      <c r="J287" s="53"/>
      <c r="K287" s="357"/>
      <c r="L287" s="353"/>
    </row>
    <row r="288" ht="15.75" customHeight="1">
      <c r="A288" s="71" t="s">
        <v>93</v>
      </c>
      <c r="B288" s="110">
        <v>28.0</v>
      </c>
      <c r="C288" s="110">
        <v>30.0</v>
      </c>
      <c r="D288" s="110">
        <v>32.0</v>
      </c>
      <c r="E288" s="110">
        <v>34.0</v>
      </c>
      <c r="F288" s="110">
        <v>36.0</v>
      </c>
      <c r="G288" s="110">
        <v>38.0</v>
      </c>
      <c r="H288" s="110">
        <v>40.0</v>
      </c>
      <c r="I288" s="110"/>
      <c r="J288" s="110"/>
      <c r="K288" s="357"/>
      <c r="L288" s="353"/>
    </row>
    <row r="289" ht="15.75" customHeight="1">
      <c r="A289" s="71"/>
      <c r="B289" s="123" t="s">
        <v>4</v>
      </c>
      <c r="C289" s="123" t="s">
        <v>49</v>
      </c>
      <c r="D289" s="123" t="s">
        <v>50</v>
      </c>
      <c r="E289" s="123" t="s">
        <v>51</v>
      </c>
      <c r="F289" s="123" t="s">
        <v>52</v>
      </c>
      <c r="G289" s="123" t="s">
        <v>9</v>
      </c>
      <c r="H289" s="123" t="s">
        <v>10</v>
      </c>
      <c r="I289" s="123" t="s">
        <v>11</v>
      </c>
      <c r="J289" s="123" t="s">
        <v>12</v>
      </c>
      <c r="K289" s="133" t="s">
        <v>53</v>
      </c>
      <c r="L289" s="353"/>
    </row>
    <row r="290" ht="15.75" customHeight="1">
      <c r="A290" s="71" t="s">
        <v>54</v>
      </c>
      <c r="B290" s="110">
        <f t="shared" ref="B290:B291" si="33">1</f>
        <v>1</v>
      </c>
      <c r="C290" s="110"/>
      <c r="D290" s="110"/>
      <c r="E290" s="110"/>
      <c r="F290" s="110"/>
      <c r="G290" s="110"/>
      <c r="H290" s="110"/>
      <c r="I290" s="110"/>
      <c r="J290" s="110"/>
      <c r="K290" s="110"/>
      <c r="L290" s="127"/>
    </row>
    <row r="291" ht="15.75" customHeight="1">
      <c r="A291" s="71" t="s">
        <v>55</v>
      </c>
      <c r="B291" s="110">
        <f t="shared" si="33"/>
        <v>1</v>
      </c>
      <c r="C291" s="110"/>
      <c r="D291" s="110"/>
      <c r="E291" s="110"/>
      <c r="F291" s="110"/>
      <c r="G291" s="110"/>
      <c r="H291" s="110"/>
      <c r="I291" s="110"/>
      <c r="J291" s="110"/>
      <c r="K291" s="110"/>
      <c r="L291" s="342">
        <f>SUM(K290:K291)</f>
        <v>0</v>
      </c>
    </row>
    <row r="292" ht="15.75" customHeight="1">
      <c r="E292" s="354" t="s">
        <v>201</v>
      </c>
    </row>
    <row r="293" ht="15.75" customHeight="1">
      <c r="A293" s="70" t="s">
        <v>202</v>
      </c>
      <c r="B293" s="52"/>
      <c r="C293" s="52"/>
      <c r="D293" s="52"/>
      <c r="E293" s="52"/>
      <c r="F293" s="52"/>
      <c r="G293" s="52"/>
      <c r="H293" s="52"/>
      <c r="I293" s="52"/>
      <c r="J293" s="52"/>
      <c r="K293" s="93"/>
      <c r="L293" s="352" t="s">
        <v>53</v>
      </c>
    </row>
    <row r="294" ht="15.75" customHeight="1">
      <c r="A294" s="122"/>
      <c r="B294" s="106" t="s">
        <v>43</v>
      </c>
      <c r="C294" s="52"/>
      <c r="D294" s="52"/>
      <c r="E294" s="52"/>
      <c r="F294" s="52"/>
      <c r="G294" s="52"/>
      <c r="H294" s="52"/>
      <c r="I294" s="52"/>
      <c r="J294" s="53"/>
      <c r="K294" s="357"/>
      <c r="L294" s="353"/>
    </row>
    <row r="295" ht="15.75" customHeight="1">
      <c r="A295" s="71" t="s">
        <v>93</v>
      </c>
      <c r="B295" s="110">
        <v>42.0</v>
      </c>
      <c r="C295" s="110">
        <v>44.0</v>
      </c>
      <c r="D295" s="110">
        <v>46.0</v>
      </c>
      <c r="E295" s="110">
        <v>48.0</v>
      </c>
      <c r="F295" s="110">
        <v>50.0</v>
      </c>
      <c r="G295" s="110">
        <v>52.0</v>
      </c>
      <c r="H295" s="110">
        <v>54.0</v>
      </c>
      <c r="I295" s="110"/>
      <c r="J295" s="110"/>
      <c r="K295" s="357"/>
      <c r="L295" s="353"/>
    </row>
    <row r="296" ht="15.75" customHeight="1">
      <c r="A296" s="71"/>
      <c r="B296" s="123" t="s">
        <v>4</v>
      </c>
      <c r="C296" s="123" t="s">
        <v>49</v>
      </c>
      <c r="D296" s="123" t="s">
        <v>50</v>
      </c>
      <c r="E296" s="123" t="s">
        <v>51</v>
      </c>
      <c r="F296" s="123" t="s">
        <v>52</v>
      </c>
      <c r="G296" s="123" t="s">
        <v>9</v>
      </c>
      <c r="H296" s="123" t="s">
        <v>10</v>
      </c>
      <c r="I296" s="123" t="s">
        <v>11</v>
      </c>
      <c r="J296" s="123" t="s">
        <v>12</v>
      </c>
      <c r="K296" s="133" t="s">
        <v>53</v>
      </c>
      <c r="L296" s="353"/>
    </row>
    <row r="297" ht="15.75" customHeight="1">
      <c r="A297" s="128" t="s">
        <v>54</v>
      </c>
      <c r="B297" s="129"/>
      <c r="C297" s="129"/>
      <c r="D297" s="129"/>
      <c r="E297" s="129"/>
      <c r="F297" s="129"/>
      <c r="G297" s="129"/>
      <c r="H297" s="129"/>
      <c r="I297" s="129"/>
      <c r="J297" s="129"/>
      <c r="K297" s="110"/>
      <c r="L297" s="353"/>
    </row>
    <row r="298" ht="15.75" customHeight="1">
      <c r="A298" s="128" t="s">
        <v>55</v>
      </c>
      <c r="B298" s="129"/>
      <c r="C298" s="129"/>
      <c r="D298" s="129">
        <f>1</f>
        <v>1</v>
      </c>
      <c r="E298" s="129"/>
      <c r="F298" s="129"/>
      <c r="G298" s="129"/>
      <c r="H298" s="129"/>
      <c r="I298" s="129"/>
      <c r="J298" s="129"/>
      <c r="K298" s="110"/>
      <c r="L298" s="353"/>
    </row>
    <row r="299" ht="15.75" customHeight="1">
      <c r="A299" s="128" t="s">
        <v>74</v>
      </c>
      <c r="B299" s="129"/>
      <c r="C299" s="129"/>
      <c r="D299" s="129"/>
      <c r="E299" s="129"/>
      <c r="F299" s="129"/>
      <c r="G299" s="129"/>
      <c r="H299" s="129"/>
      <c r="I299" s="129"/>
      <c r="J299" s="129"/>
      <c r="K299" s="110"/>
      <c r="L299" s="353"/>
    </row>
    <row r="300" ht="15.75" customHeight="1">
      <c r="A300" s="128" t="s">
        <v>44</v>
      </c>
      <c r="B300" s="129"/>
      <c r="C300" s="129"/>
      <c r="D300" s="129"/>
      <c r="E300" s="129"/>
      <c r="F300" s="129"/>
      <c r="G300" s="129"/>
      <c r="H300" s="129"/>
      <c r="I300" s="129"/>
      <c r="J300" s="129"/>
      <c r="K300" s="110"/>
      <c r="L300" s="127"/>
    </row>
    <row r="301" ht="15.75" customHeight="1">
      <c r="A301" s="128" t="s">
        <v>18</v>
      </c>
      <c r="B301" s="129"/>
      <c r="C301" s="129"/>
      <c r="D301" s="129"/>
      <c r="E301" s="129"/>
      <c r="F301" s="129"/>
      <c r="G301" s="129"/>
      <c r="H301" s="129"/>
      <c r="I301" s="129"/>
      <c r="J301" s="129"/>
      <c r="K301" s="110"/>
      <c r="L301" s="342">
        <f>SUM(K297:K301)</f>
        <v>0</v>
      </c>
    </row>
    <row r="302" ht="15.75" customHeight="1"/>
    <row r="303" ht="15.75" customHeight="1">
      <c r="A303" s="70" t="s">
        <v>203</v>
      </c>
      <c r="B303" s="52"/>
      <c r="C303" s="52"/>
      <c r="D303" s="52"/>
      <c r="E303" s="52"/>
      <c r="F303" s="52"/>
      <c r="G303" s="52"/>
      <c r="H303" s="52"/>
      <c r="I303" s="52"/>
      <c r="J303" s="52"/>
      <c r="K303" s="93"/>
      <c r="L303" s="359" t="s">
        <v>53</v>
      </c>
    </row>
    <row r="304" ht="15.75" customHeight="1">
      <c r="A304" s="122"/>
      <c r="B304" s="106" t="s">
        <v>1</v>
      </c>
      <c r="C304" s="52"/>
      <c r="D304" s="52"/>
      <c r="E304" s="52"/>
      <c r="F304" s="52"/>
      <c r="G304" s="52"/>
      <c r="H304" s="52"/>
      <c r="I304" s="52"/>
      <c r="J304" s="53"/>
      <c r="K304" s="357"/>
      <c r="L304" s="353"/>
    </row>
    <row r="305" ht="15.75" customHeight="1">
      <c r="A305" s="71" t="s">
        <v>93</v>
      </c>
      <c r="B305" s="110">
        <v>28.0</v>
      </c>
      <c r="C305" s="110">
        <v>30.0</v>
      </c>
      <c r="D305" s="110">
        <v>32.0</v>
      </c>
      <c r="E305" s="110">
        <v>34.0</v>
      </c>
      <c r="F305" s="110">
        <v>36.0</v>
      </c>
      <c r="G305" s="110">
        <v>38.0</v>
      </c>
      <c r="H305" s="110">
        <v>40.0</v>
      </c>
      <c r="I305" s="110"/>
      <c r="J305" s="110"/>
      <c r="K305" s="357"/>
      <c r="L305" s="353"/>
    </row>
    <row r="306" ht="15.75" customHeight="1">
      <c r="A306" s="71"/>
      <c r="B306" s="123" t="s">
        <v>4</v>
      </c>
      <c r="C306" s="123" t="s">
        <v>49</v>
      </c>
      <c r="D306" s="123" t="s">
        <v>50</v>
      </c>
      <c r="E306" s="123" t="s">
        <v>51</v>
      </c>
      <c r="F306" s="123" t="s">
        <v>52</v>
      </c>
      <c r="G306" s="123" t="s">
        <v>9</v>
      </c>
      <c r="H306" s="123" t="s">
        <v>10</v>
      </c>
      <c r="I306" s="123" t="s">
        <v>11</v>
      </c>
      <c r="J306" s="123" t="s">
        <v>12</v>
      </c>
      <c r="K306" s="133" t="s">
        <v>53</v>
      </c>
      <c r="L306" s="353"/>
    </row>
    <row r="307" ht="15.75" customHeight="1">
      <c r="A307" s="71" t="s">
        <v>54</v>
      </c>
      <c r="B307" s="110"/>
      <c r="C307" s="110"/>
      <c r="D307" s="110"/>
      <c r="E307" s="110"/>
      <c r="F307" s="110"/>
      <c r="G307" s="110"/>
      <c r="H307" s="110"/>
      <c r="I307" s="110"/>
      <c r="J307" s="110"/>
      <c r="K307" s="110"/>
      <c r="L307" s="127"/>
    </row>
    <row r="308" ht="15.75" customHeight="1">
      <c r="A308" s="71" t="s">
        <v>55</v>
      </c>
      <c r="B308" s="110"/>
      <c r="C308" s="110">
        <f>1</f>
        <v>1</v>
      </c>
      <c r="D308" s="110"/>
      <c r="E308" s="110"/>
      <c r="F308" s="110"/>
      <c r="G308" s="110"/>
      <c r="H308" s="110"/>
      <c r="I308" s="110"/>
      <c r="J308" s="110"/>
      <c r="K308" s="110"/>
      <c r="L308" s="342">
        <f>SUM(K307:K308)</f>
        <v>0</v>
      </c>
    </row>
    <row r="309" ht="15.75" customHeight="1"/>
    <row r="310" ht="15.75" customHeight="1">
      <c r="A310" s="70" t="s">
        <v>203</v>
      </c>
      <c r="B310" s="52"/>
      <c r="C310" s="52"/>
      <c r="D310" s="52"/>
      <c r="E310" s="52"/>
      <c r="F310" s="52"/>
      <c r="G310" s="52"/>
      <c r="H310" s="52"/>
      <c r="I310" s="52"/>
      <c r="J310" s="52"/>
      <c r="K310" s="53"/>
      <c r="L310" s="359" t="s">
        <v>53</v>
      </c>
    </row>
    <row r="311" ht="15.75" customHeight="1">
      <c r="A311" s="122"/>
      <c r="B311" s="106" t="s">
        <v>2</v>
      </c>
      <c r="C311" s="52"/>
      <c r="D311" s="52"/>
      <c r="E311" s="52"/>
      <c r="F311" s="52"/>
      <c r="G311" s="52"/>
      <c r="H311" s="52"/>
      <c r="I311" s="52"/>
      <c r="J311" s="53"/>
      <c r="K311" s="122"/>
      <c r="L311" s="353"/>
    </row>
    <row r="312" ht="15.75" customHeight="1">
      <c r="A312" s="71" t="s">
        <v>93</v>
      </c>
      <c r="B312" s="110">
        <v>28.0</v>
      </c>
      <c r="C312" s="110">
        <v>30.0</v>
      </c>
      <c r="D312" s="110">
        <v>32.0</v>
      </c>
      <c r="E312" s="110">
        <v>34.0</v>
      </c>
      <c r="F312" s="110">
        <v>36.0</v>
      </c>
      <c r="G312" s="110">
        <v>38.0</v>
      </c>
      <c r="H312" s="110">
        <v>40.0</v>
      </c>
      <c r="I312" s="110"/>
      <c r="J312" s="110"/>
      <c r="K312" s="122"/>
      <c r="L312" s="353"/>
    </row>
    <row r="313" ht="15.75" customHeight="1">
      <c r="A313" s="71"/>
      <c r="B313" s="123" t="s">
        <v>4</v>
      </c>
      <c r="C313" s="123" t="s">
        <v>49</v>
      </c>
      <c r="D313" s="123" t="s">
        <v>50</v>
      </c>
      <c r="E313" s="123" t="s">
        <v>51</v>
      </c>
      <c r="F313" s="123" t="s">
        <v>52</v>
      </c>
      <c r="G313" s="123" t="s">
        <v>9</v>
      </c>
      <c r="H313" s="123" t="s">
        <v>10</v>
      </c>
      <c r="I313" s="123" t="s">
        <v>11</v>
      </c>
      <c r="J313" s="123" t="s">
        <v>12</v>
      </c>
      <c r="K313" s="109" t="s">
        <v>53</v>
      </c>
      <c r="L313" s="353"/>
    </row>
    <row r="314" ht="15.75" customHeight="1">
      <c r="A314" s="71" t="s">
        <v>54</v>
      </c>
      <c r="B314" s="110"/>
      <c r="C314" s="110"/>
      <c r="D314" s="110"/>
      <c r="E314" s="110"/>
      <c r="F314" s="110"/>
      <c r="G314" s="110"/>
      <c r="H314" s="110"/>
      <c r="I314" s="110"/>
      <c r="J314" s="110"/>
      <c r="K314" s="110"/>
      <c r="L314" s="127"/>
    </row>
    <row r="315" ht="15.75" customHeight="1">
      <c r="A315" s="71" t="s">
        <v>55</v>
      </c>
      <c r="B315" s="110"/>
      <c r="C315" s="110"/>
      <c r="D315" s="110"/>
      <c r="E315" s="110"/>
      <c r="F315" s="110"/>
      <c r="G315" s="110"/>
      <c r="H315" s="110"/>
      <c r="I315" s="110"/>
      <c r="J315" s="110"/>
      <c r="K315" s="110"/>
      <c r="L315" s="342">
        <f>SUM(K314:K315)</f>
        <v>0</v>
      </c>
    </row>
    <row r="316" ht="15.75" customHeight="1">
      <c r="A316" s="112"/>
      <c r="B316" s="112"/>
      <c r="C316" s="119"/>
      <c r="D316" s="112"/>
      <c r="E316" s="112"/>
      <c r="F316" s="112"/>
      <c r="G316" s="112"/>
      <c r="H316" s="112"/>
      <c r="I316" s="112"/>
      <c r="J316" s="112"/>
      <c r="K316" s="112"/>
      <c r="L316" s="112"/>
    </row>
    <row r="317" ht="15.75" customHeight="1">
      <c r="L317" s="359" t="s">
        <v>53</v>
      </c>
    </row>
    <row r="318" ht="15.75" customHeight="1">
      <c r="A318" s="115" t="s">
        <v>75</v>
      </c>
      <c r="B318" s="52"/>
      <c r="C318" s="52"/>
      <c r="D318" s="52"/>
      <c r="E318" s="52"/>
      <c r="F318" s="52"/>
      <c r="G318" s="52"/>
      <c r="H318" s="52"/>
      <c r="I318" s="52"/>
      <c r="J318" s="52"/>
      <c r="K318" s="93"/>
      <c r="L318" s="353"/>
    </row>
    <row r="319" ht="15.75" customHeight="1">
      <c r="A319" s="122"/>
      <c r="B319" s="106" t="s">
        <v>2</v>
      </c>
      <c r="C319" s="52"/>
      <c r="D319" s="52"/>
      <c r="E319" s="52"/>
      <c r="F319" s="52"/>
      <c r="G319" s="52"/>
      <c r="H319" s="52"/>
      <c r="I319" s="52"/>
      <c r="J319" s="53"/>
      <c r="K319" s="357"/>
      <c r="L319" s="353"/>
    </row>
    <row r="320" ht="15.75" customHeight="1">
      <c r="A320" s="71" t="s">
        <v>93</v>
      </c>
      <c r="B320" s="110">
        <v>28.0</v>
      </c>
      <c r="C320" s="110">
        <v>30.0</v>
      </c>
      <c r="D320" s="110">
        <v>32.0</v>
      </c>
      <c r="E320" s="110">
        <v>34.0</v>
      </c>
      <c r="F320" s="110">
        <v>36.0</v>
      </c>
      <c r="G320" s="110">
        <v>38.0</v>
      </c>
      <c r="H320" s="110">
        <v>40.0</v>
      </c>
      <c r="I320" s="110"/>
      <c r="J320" s="110"/>
      <c r="K320" s="357"/>
      <c r="L320" s="353"/>
    </row>
    <row r="321" ht="15.75" customHeight="1">
      <c r="A321" s="71"/>
      <c r="B321" s="123" t="s">
        <v>4</v>
      </c>
      <c r="C321" s="123" t="s">
        <v>49</v>
      </c>
      <c r="D321" s="123" t="s">
        <v>50</v>
      </c>
      <c r="E321" s="123" t="s">
        <v>51</v>
      </c>
      <c r="F321" s="123" t="s">
        <v>52</v>
      </c>
      <c r="G321" s="123" t="s">
        <v>9</v>
      </c>
      <c r="H321" s="123" t="s">
        <v>10</v>
      </c>
      <c r="I321" s="123" t="s">
        <v>11</v>
      </c>
      <c r="J321" s="123" t="s">
        <v>12</v>
      </c>
      <c r="K321" s="133" t="s">
        <v>53</v>
      </c>
      <c r="L321" s="127"/>
    </row>
    <row r="322" ht="15.75" customHeight="1">
      <c r="A322" s="71" t="s">
        <v>54</v>
      </c>
      <c r="B322" s="110"/>
      <c r="C322" s="110"/>
      <c r="D322" s="110"/>
      <c r="E322" s="110"/>
      <c r="F322" s="110"/>
      <c r="G322" s="110"/>
      <c r="H322" s="110"/>
      <c r="I322" s="110"/>
      <c r="J322" s="110"/>
      <c r="K322" s="110"/>
      <c r="L322" s="342">
        <f>SUM(K322)</f>
        <v>0</v>
      </c>
    </row>
    <row r="323" ht="15.75" customHeight="1"/>
    <row r="324" ht="15.75" customHeight="1"/>
    <row r="325" ht="15.75" customHeight="1"/>
    <row r="326" ht="15.75" customHeight="1">
      <c r="A326" s="354"/>
      <c r="B326" s="354"/>
      <c r="C326" s="354"/>
      <c r="D326" s="354"/>
      <c r="E326" s="354"/>
      <c r="F326" s="354"/>
      <c r="G326" s="354"/>
      <c r="H326" s="354"/>
      <c r="I326" s="354"/>
      <c r="J326" s="354"/>
      <c r="K326" s="354"/>
      <c r="L326" s="354"/>
    </row>
    <row r="327" ht="15.75" customHeight="1">
      <c r="A327" s="354"/>
      <c r="B327" s="354"/>
      <c r="C327" s="354"/>
      <c r="D327" s="354"/>
      <c r="E327" s="354"/>
      <c r="F327" s="354"/>
      <c r="G327" s="354"/>
      <c r="H327" s="354"/>
      <c r="I327" s="354"/>
      <c r="J327" s="354"/>
      <c r="K327" s="354"/>
      <c r="L327" s="354"/>
    </row>
    <row r="328" ht="15.75" customHeight="1">
      <c r="A328" s="354"/>
      <c r="B328" s="354"/>
      <c r="C328" s="354"/>
      <c r="D328" s="354"/>
      <c r="E328" s="354"/>
      <c r="F328" s="354"/>
      <c r="G328" s="354"/>
      <c r="H328" s="354"/>
      <c r="I328" s="354"/>
      <c r="J328" s="354"/>
      <c r="K328" s="354"/>
      <c r="L328" s="354"/>
    </row>
    <row r="329" ht="15.75" customHeight="1">
      <c r="A329" s="354"/>
      <c r="B329" s="354"/>
      <c r="C329" s="354"/>
      <c r="D329" s="354"/>
      <c r="E329" s="354"/>
      <c r="F329" s="354"/>
      <c r="G329" s="354"/>
      <c r="H329" s="354"/>
      <c r="I329" s="354"/>
      <c r="J329" s="354"/>
      <c r="K329" s="354"/>
      <c r="L329" s="354"/>
    </row>
    <row r="330" ht="15.75" customHeight="1"/>
    <row r="331" ht="15.75" customHeight="1"/>
    <row r="332" ht="15.75" customHeight="1">
      <c r="A332" s="150" t="s">
        <v>77</v>
      </c>
      <c r="B332" s="52"/>
      <c r="C332" s="52"/>
      <c r="D332" s="52"/>
      <c r="E332" s="52"/>
      <c r="F332" s="52"/>
      <c r="G332" s="52"/>
      <c r="H332" s="52"/>
      <c r="I332" s="52"/>
      <c r="J332" s="52"/>
      <c r="K332" s="53"/>
    </row>
    <row r="333" ht="15.75" customHeight="1">
      <c r="A333" s="258"/>
      <c r="B333" s="72" t="s">
        <v>204</v>
      </c>
      <c r="C333" s="52"/>
      <c r="D333" s="52"/>
      <c r="E333" s="52"/>
      <c r="F333" s="52"/>
      <c r="G333" s="52"/>
      <c r="H333" s="52"/>
      <c r="I333" s="52"/>
      <c r="J333" s="53"/>
      <c r="K333" s="143"/>
    </row>
    <row r="334" ht="15.75" customHeight="1">
      <c r="A334" s="258" t="s">
        <v>93</v>
      </c>
      <c r="B334" s="110">
        <v>28.0</v>
      </c>
      <c r="C334" s="110">
        <v>30.0</v>
      </c>
      <c r="D334" s="110">
        <v>32.0</v>
      </c>
      <c r="E334" s="110">
        <v>34.0</v>
      </c>
      <c r="F334" s="110">
        <v>36.0</v>
      </c>
      <c r="G334" s="110">
        <v>38.0</v>
      </c>
      <c r="H334" s="110">
        <v>40.0</v>
      </c>
      <c r="I334" s="303" t="s">
        <v>125</v>
      </c>
      <c r="J334" s="314"/>
      <c r="K334" s="143"/>
    </row>
    <row r="335" ht="15.75" customHeight="1">
      <c r="A335" s="258"/>
      <c r="B335" s="123" t="s">
        <v>4</v>
      </c>
      <c r="C335" s="123" t="s">
        <v>49</v>
      </c>
      <c r="D335" s="123" t="s">
        <v>50</v>
      </c>
      <c r="E335" s="123" t="s">
        <v>51</v>
      </c>
      <c r="F335" s="123" t="s">
        <v>52</v>
      </c>
      <c r="G335" s="123" t="s">
        <v>9</v>
      </c>
      <c r="H335" s="123" t="s">
        <v>10</v>
      </c>
      <c r="I335" s="123" t="s">
        <v>11</v>
      </c>
      <c r="J335" s="315" t="s">
        <v>12</v>
      </c>
      <c r="K335" s="109" t="s">
        <v>53</v>
      </c>
    </row>
    <row r="336" ht="15.75" customHeight="1">
      <c r="A336" s="258" t="s">
        <v>28</v>
      </c>
      <c r="B336" s="110"/>
      <c r="C336" s="110"/>
      <c r="D336" s="110"/>
      <c r="E336" s="110"/>
      <c r="F336" s="110"/>
      <c r="G336" s="110"/>
      <c r="H336" s="110"/>
      <c r="I336" s="365">
        <v>1.0</v>
      </c>
      <c r="J336" s="314"/>
      <c r="K336" s="145">
        <f t="shared" ref="K336:K341" si="34">SUM(B336:J336)</f>
        <v>1</v>
      </c>
    </row>
    <row r="337" ht="15.75" customHeight="1">
      <c r="A337" s="258" t="s">
        <v>23</v>
      </c>
      <c r="B337" s="110"/>
      <c r="C337" s="110"/>
      <c r="D337" s="110"/>
      <c r="E337" s="110"/>
      <c r="F337" s="110"/>
      <c r="G337" s="110"/>
      <c r="H337" s="110"/>
      <c r="I337" s="365"/>
      <c r="J337" s="314"/>
      <c r="K337" s="145">
        <f t="shared" si="34"/>
        <v>0</v>
      </c>
    </row>
    <row r="338" ht="15.75" customHeight="1">
      <c r="A338" s="258" t="s">
        <v>80</v>
      </c>
      <c r="B338" s="110"/>
      <c r="C338" s="110"/>
      <c r="D338" s="110"/>
      <c r="E338" s="110"/>
      <c r="F338" s="110"/>
      <c r="G338" s="110"/>
      <c r="H338" s="110"/>
      <c r="I338" s="365"/>
      <c r="J338" s="314"/>
      <c r="K338" s="145">
        <f t="shared" si="34"/>
        <v>0</v>
      </c>
    </row>
    <row r="339" ht="15.75" customHeight="1">
      <c r="A339" s="258" t="s">
        <v>15</v>
      </c>
      <c r="B339" s="110"/>
      <c r="C339" s="110"/>
      <c r="D339" s="110"/>
      <c r="E339" s="110"/>
      <c r="F339" s="110"/>
      <c r="G339" s="110"/>
      <c r="H339" s="110"/>
      <c r="I339" s="365"/>
      <c r="J339" s="314"/>
      <c r="K339" s="145">
        <f t="shared" si="34"/>
        <v>0</v>
      </c>
    </row>
    <row r="340" ht="15.75" customHeight="1">
      <c r="A340" s="148" t="s">
        <v>81</v>
      </c>
      <c r="B340" s="110"/>
      <c r="C340" s="110"/>
      <c r="D340" s="110"/>
      <c r="E340" s="110"/>
      <c r="F340" s="110"/>
      <c r="G340" s="110"/>
      <c r="H340" s="110"/>
      <c r="I340" s="365"/>
      <c r="J340" s="314"/>
      <c r="K340" s="145">
        <f t="shared" si="34"/>
        <v>0</v>
      </c>
    </row>
    <row r="341" ht="15.75" customHeight="1">
      <c r="A341" s="148" t="s">
        <v>17</v>
      </c>
      <c r="B341" s="110"/>
      <c r="C341" s="110"/>
      <c r="D341" s="110"/>
      <c r="E341" s="110"/>
      <c r="F341" s="110"/>
      <c r="G341" s="110"/>
      <c r="H341" s="110"/>
      <c r="I341" s="365"/>
      <c r="J341" s="314"/>
      <c r="K341" s="145">
        <f t="shared" si="34"/>
        <v>0</v>
      </c>
    </row>
    <row r="342" ht="15.75" customHeight="1">
      <c r="A342" s="148" t="s">
        <v>59</v>
      </c>
      <c r="B342" s="110"/>
      <c r="C342" s="110"/>
      <c r="D342" s="110"/>
      <c r="E342" s="110"/>
      <c r="F342" s="110"/>
      <c r="G342" s="110"/>
      <c r="H342" s="110"/>
      <c r="I342" s="365"/>
      <c r="J342" s="110"/>
      <c r="K342" s="145"/>
    </row>
    <row r="343" ht="15.75" customHeight="1">
      <c r="A343" s="148" t="s">
        <v>82</v>
      </c>
      <c r="B343" s="110"/>
      <c r="C343" s="110"/>
      <c r="D343" s="110"/>
      <c r="E343" s="110"/>
      <c r="F343" s="110"/>
      <c r="G343" s="110"/>
      <c r="H343" s="110"/>
      <c r="I343" s="365"/>
      <c r="J343" s="314"/>
      <c r="K343" s="145">
        <f t="shared" ref="K343:K346" si="35">SUM(B343:J343)</f>
        <v>0</v>
      </c>
    </row>
    <row r="344" ht="15.75" customHeight="1">
      <c r="A344" s="148" t="s">
        <v>83</v>
      </c>
      <c r="B344" s="110"/>
      <c r="C344" s="110"/>
      <c r="D344" s="110"/>
      <c r="E344" s="110"/>
      <c r="F344" s="110"/>
      <c r="G344" s="110"/>
      <c r="H344" s="110"/>
      <c r="I344" s="365"/>
      <c r="J344" s="314"/>
      <c r="K344" s="145">
        <f t="shared" si="35"/>
        <v>0</v>
      </c>
    </row>
    <row r="345" ht="15.75" customHeight="1">
      <c r="A345" s="148" t="s">
        <v>84</v>
      </c>
      <c r="B345" s="110"/>
      <c r="C345" s="110"/>
      <c r="D345" s="110"/>
      <c r="E345" s="110"/>
      <c r="F345" s="110"/>
      <c r="G345" s="110"/>
      <c r="H345" s="110"/>
      <c r="I345" s="365"/>
      <c r="J345" s="314"/>
      <c r="K345" s="145">
        <f t="shared" si="35"/>
        <v>0</v>
      </c>
    </row>
    <row r="346" ht="15.75" customHeight="1">
      <c r="A346" s="71" t="s">
        <v>18</v>
      </c>
      <c r="B346" s="110"/>
      <c r="C346" s="110"/>
      <c r="D346" s="110"/>
      <c r="E346" s="110"/>
      <c r="F346" s="110"/>
      <c r="G346" s="110"/>
      <c r="H346" s="110"/>
      <c r="I346" s="365"/>
      <c r="J346" s="314"/>
      <c r="K346" s="145">
        <f t="shared" si="35"/>
        <v>0</v>
      </c>
    </row>
    <row r="347" ht="15.75" customHeight="1">
      <c r="A347" s="7"/>
      <c r="B347" s="119"/>
      <c r="C347" s="119"/>
      <c r="D347" s="119"/>
      <c r="E347" s="119"/>
      <c r="F347" s="119"/>
      <c r="G347" s="119"/>
      <c r="H347" s="119"/>
      <c r="I347" s="119"/>
      <c r="J347" s="119"/>
      <c r="K347" s="342">
        <f>SUM(K336:K346)</f>
        <v>1</v>
      </c>
    </row>
    <row r="348" ht="15.75" customHeight="1"/>
    <row r="349" ht="15.75" customHeight="1">
      <c r="A349" s="150" t="s">
        <v>77</v>
      </c>
      <c r="B349" s="52"/>
      <c r="C349" s="52"/>
      <c r="D349" s="52"/>
      <c r="E349" s="52"/>
      <c r="F349" s="52"/>
      <c r="G349" s="52"/>
      <c r="H349" s="52"/>
      <c r="I349" s="52"/>
      <c r="J349" s="52"/>
      <c r="K349" s="53"/>
    </row>
    <row r="350" ht="15.75" customHeight="1">
      <c r="A350" s="258"/>
      <c r="B350" s="106" t="s">
        <v>85</v>
      </c>
      <c r="C350" s="52"/>
      <c r="D350" s="52"/>
      <c r="E350" s="52"/>
      <c r="F350" s="52"/>
      <c r="G350" s="52"/>
      <c r="H350" s="52"/>
      <c r="I350" s="52"/>
      <c r="J350" s="53"/>
      <c r="K350" s="143"/>
    </row>
    <row r="351" ht="15.75" customHeight="1">
      <c r="A351" s="258" t="s">
        <v>93</v>
      </c>
      <c r="B351" s="110">
        <v>28.0</v>
      </c>
      <c r="C351" s="110">
        <v>30.0</v>
      </c>
      <c r="D351" s="110">
        <v>32.0</v>
      </c>
      <c r="E351" s="110">
        <v>34.0</v>
      </c>
      <c r="F351" s="110">
        <v>36.0</v>
      </c>
      <c r="G351" s="110">
        <v>38.0</v>
      </c>
      <c r="H351" s="110">
        <v>40.0</v>
      </c>
      <c r="I351" s="110"/>
      <c r="J351" s="314"/>
      <c r="K351" s="143"/>
    </row>
    <row r="352" ht="15.75" customHeight="1">
      <c r="A352" s="258"/>
      <c r="B352" s="123" t="s">
        <v>4</v>
      </c>
      <c r="C352" s="123" t="s">
        <v>49</v>
      </c>
      <c r="D352" s="123" t="s">
        <v>50</v>
      </c>
      <c r="E352" s="123" t="s">
        <v>51</v>
      </c>
      <c r="F352" s="123" t="s">
        <v>52</v>
      </c>
      <c r="G352" s="123" t="s">
        <v>9</v>
      </c>
      <c r="H352" s="123" t="s">
        <v>10</v>
      </c>
      <c r="I352" s="123" t="s">
        <v>11</v>
      </c>
      <c r="J352" s="315" t="s">
        <v>12</v>
      </c>
      <c r="K352" s="109" t="s">
        <v>53</v>
      </c>
    </row>
    <row r="353" ht="15.75" customHeight="1">
      <c r="A353" s="148" t="s">
        <v>23</v>
      </c>
      <c r="B353" s="110"/>
      <c r="C353" s="110"/>
      <c r="D353" s="110"/>
      <c r="E353" s="110"/>
      <c r="F353" s="110"/>
      <c r="G353" s="110">
        <f>1-1</f>
        <v>0</v>
      </c>
      <c r="H353" s="110">
        <f>1</f>
        <v>1</v>
      </c>
      <c r="I353" s="110"/>
      <c r="J353" s="110"/>
      <c r="K353" s="145"/>
    </row>
    <row r="354" ht="15.75" customHeight="1">
      <c r="A354" s="148" t="s">
        <v>15</v>
      </c>
      <c r="B354" s="110"/>
      <c r="C354" s="110"/>
      <c r="D354" s="110"/>
      <c r="E354" s="110"/>
      <c r="F354" s="110"/>
      <c r="G354" s="111"/>
      <c r="H354" s="110"/>
      <c r="I354" s="110"/>
      <c r="J354" s="110"/>
      <c r="K354" s="145"/>
    </row>
    <row r="355" ht="15.75" customHeight="1">
      <c r="A355" s="71" t="s">
        <v>28</v>
      </c>
      <c r="B355" s="110"/>
      <c r="C355" s="110"/>
      <c r="D355" s="110"/>
      <c r="E355" s="110"/>
      <c r="F355" s="110"/>
      <c r="G355" s="110"/>
      <c r="H355" s="111"/>
      <c r="I355" s="110"/>
      <c r="J355" s="110"/>
      <c r="K355" s="145"/>
    </row>
    <row r="356" ht="15.75" customHeight="1">
      <c r="A356" s="7"/>
      <c r="B356" s="119"/>
      <c r="C356" s="119"/>
      <c r="D356" s="119"/>
      <c r="E356" s="119"/>
      <c r="F356" s="119"/>
      <c r="G356" s="119"/>
      <c r="H356" s="119"/>
      <c r="I356" s="119"/>
      <c r="J356" s="119"/>
      <c r="K356" s="342">
        <f>SUM(K353:K355)</f>
        <v>0</v>
      </c>
    </row>
    <row r="357" ht="15.75" customHeight="1"/>
    <row r="358" ht="15.75" customHeight="1"/>
    <row r="359" ht="15.75" customHeight="1"/>
    <row r="360" ht="15.75" customHeight="1">
      <c r="A360" s="150" t="s">
        <v>77</v>
      </c>
      <c r="B360" s="52"/>
      <c r="C360" s="52"/>
      <c r="D360" s="52"/>
      <c r="E360" s="52"/>
      <c r="F360" s="52"/>
      <c r="G360" s="52"/>
      <c r="H360" s="52"/>
      <c r="I360" s="52"/>
      <c r="J360" s="52"/>
      <c r="K360" s="53"/>
    </row>
    <row r="361" ht="15.75" customHeight="1">
      <c r="A361" s="258"/>
      <c r="B361" s="106" t="s">
        <v>87</v>
      </c>
      <c r="C361" s="52"/>
      <c r="D361" s="52"/>
      <c r="E361" s="52"/>
      <c r="F361" s="52"/>
      <c r="G361" s="52"/>
      <c r="H361" s="52"/>
      <c r="I361" s="52"/>
      <c r="J361" s="53"/>
      <c r="K361" s="143"/>
    </row>
    <row r="362" ht="15.75" customHeight="1">
      <c r="A362" s="258" t="s">
        <v>93</v>
      </c>
      <c r="B362" s="110">
        <v>28.0</v>
      </c>
      <c r="C362" s="110">
        <v>30.0</v>
      </c>
      <c r="D362" s="110">
        <v>32.0</v>
      </c>
      <c r="E362" s="110">
        <v>34.0</v>
      </c>
      <c r="F362" s="110">
        <v>36.0</v>
      </c>
      <c r="G362" s="110">
        <v>38.0</v>
      </c>
      <c r="H362" s="110">
        <v>40.0</v>
      </c>
      <c r="I362" s="303" t="s">
        <v>125</v>
      </c>
      <c r="J362" s="314"/>
      <c r="K362" s="143"/>
    </row>
    <row r="363" ht="15.75" customHeight="1">
      <c r="A363" s="258"/>
      <c r="B363" s="123" t="s">
        <v>4</v>
      </c>
      <c r="C363" s="123" t="s">
        <v>49</v>
      </c>
      <c r="D363" s="123" t="s">
        <v>50</v>
      </c>
      <c r="E363" s="123" t="s">
        <v>51</v>
      </c>
      <c r="F363" s="123" t="s">
        <v>52</v>
      </c>
      <c r="G363" s="123" t="s">
        <v>9</v>
      </c>
      <c r="H363" s="123" t="s">
        <v>10</v>
      </c>
      <c r="I363" s="123" t="s">
        <v>11</v>
      </c>
      <c r="J363" s="315" t="s">
        <v>12</v>
      </c>
      <c r="K363" s="109" t="s">
        <v>53</v>
      </c>
    </row>
    <row r="364" ht="15.75" customHeight="1">
      <c r="A364" s="148" t="s">
        <v>23</v>
      </c>
      <c r="B364" s="110"/>
      <c r="C364" s="110"/>
      <c r="D364" s="110"/>
      <c r="E364" s="110"/>
      <c r="F364" s="110"/>
      <c r="G364" s="110"/>
      <c r="H364" s="110"/>
      <c r="I364" s="110"/>
      <c r="J364" s="110"/>
      <c r="K364" s="145">
        <f>1</f>
        <v>1</v>
      </c>
    </row>
    <row r="365" ht="18.0" customHeight="1">
      <c r="A365" s="71" t="s">
        <v>28</v>
      </c>
      <c r="B365" s="110"/>
      <c r="C365" s="110"/>
      <c r="D365" s="110"/>
      <c r="E365" s="110"/>
      <c r="F365" s="110"/>
      <c r="G365" s="110"/>
      <c r="H365" s="110"/>
      <c r="I365" s="110"/>
      <c r="J365" s="110"/>
      <c r="K365" s="145"/>
    </row>
    <row r="366" ht="15.75" customHeight="1">
      <c r="A366" s="7"/>
      <c r="B366" s="119"/>
      <c r="C366" s="119"/>
      <c r="D366" s="119"/>
      <c r="E366" s="119"/>
      <c r="F366" s="119"/>
      <c r="G366" s="119"/>
      <c r="H366" s="119"/>
      <c r="I366" s="119"/>
      <c r="J366" s="119"/>
      <c r="K366" s="342">
        <f>SUM(K364:K365)</f>
        <v>1</v>
      </c>
    </row>
    <row r="367" ht="15.75" customHeight="1"/>
    <row r="368" ht="15.75" customHeight="1"/>
    <row r="369" ht="15.75" customHeight="1"/>
    <row r="370" ht="15.75" customHeight="1">
      <c r="A370" s="150" t="s">
        <v>77</v>
      </c>
      <c r="B370" s="52"/>
      <c r="C370" s="52"/>
      <c r="D370" s="52"/>
      <c r="E370" s="52"/>
      <c r="F370" s="52"/>
      <c r="G370" s="52"/>
      <c r="H370" s="52"/>
      <c r="I370" s="52"/>
      <c r="J370" s="52"/>
      <c r="K370" s="53"/>
    </row>
    <row r="371" ht="15.75" customHeight="1">
      <c r="A371" s="258"/>
      <c r="B371" s="106" t="s">
        <v>115</v>
      </c>
      <c r="C371" s="52"/>
      <c r="D371" s="52"/>
      <c r="E371" s="52"/>
      <c r="F371" s="52"/>
      <c r="G371" s="52"/>
      <c r="H371" s="52"/>
      <c r="I371" s="52"/>
      <c r="J371" s="53"/>
      <c r="K371" s="151"/>
    </row>
    <row r="372" ht="15.75" customHeight="1">
      <c r="A372" s="258" t="s">
        <v>93</v>
      </c>
      <c r="B372" s="110">
        <v>28.0</v>
      </c>
      <c r="C372" s="110">
        <v>30.0</v>
      </c>
      <c r="D372" s="110">
        <v>32.0</v>
      </c>
      <c r="E372" s="110">
        <v>34.0</v>
      </c>
      <c r="F372" s="110">
        <v>36.0</v>
      </c>
      <c r="G372" s="110">
        <v>38.0</v>
      </c>
      <c r="H372" s="110">
        <v>40.0</v>
      </c>
      <c r="I372" s="110"/>
      <c r="J372" s="314"/>
      <c r="K372" s="151"/>
    </row>
    <row r="373" ht="15.75" customHeight="1">
      <c r="A373" s="258"/>
      <c r="B373" s="123" t="s">
        <v>4</v>
      </c>
      <c r="C373" s="123" t="s">
        <v>49</v>
      </c>
      <c r="D373" s="123" t="s">
        <v>50</v>
      </c>
      <c r="E373" s="123" t="s">
        <v>51</v>
      </c>
      <c r="F373" s="123" t="s">
        <v>52</v>
      </c>
      <c r="G373" s="123" t="s">
        <v>9</v>
      </c>
      <c r="H373" s="123" t="s">
        <v>10</v>
      </c>
      <c r="I373" s="123" t="s">
        <v>11</v>
      </c>
      <c r="J373" s="315" t="s">
        <v>12</v>
      </c>
      <c r="K373" s="288" t="s">
        <v>53</v>
      </c>
    </row>
    <row r="374" ht="15.75" customHeight="1">
      <c r="A374" s="148" t="s">
        <v>114</v>
      </c>
      <c r="B374" s="110">
        <f>1</f>
        <v>1</v>
      </c>
      <c r="C374" s="110"/>
      <c r="D374" s="110"/>
      <c r="E374" s="110"/>
      <c r="F374" s="110"/>
      <c r="G374" s="110"/>
      <c r="H374" s="110"/>
      <c r="I374" s="110"/>
      <c r="J374" s="110"/>
      <c r="K374" s="151">
        <f>SUM(B374:J374)</f>
        <v>1</v>
      </c>
    </row>
    <row r="375" ht="15.75" customHeight="1">
      <c r="A375" s="7"/>
      <c r="B375" s="119"/>
      <c r="C375" s="119"/>
      <c r="D375" s="119"/>
      <c r="E375" s="119"/>
      <c r="F375" s="119"/>
      <c r="G375" s="119"/>
      <c r="H375" s="119"/>
      <c r="I375" s="119"/>
      <c r="J375" s="119" t="s">
        <v>116</v>
      </c>
      <c r="K375" s="303">
        <f>SUM(K374)</f>
        <v>1</v>
      </c>
    </row>
    <row r="376" ht="15.75" customHeight="1"/>
    <row r="377" ht="15.75" customHeight="1">
      <c r="K377" s="253"/>
    </row>
    <row r="378" ht="15.75" customHeight="1">
      <c r="A378" s="366" t="s">
        <v>129</v>
      </c>
      <c r="B378" s="52"/>
      <c r="C378" s="52"/>
      <c r="D378" s="52"/>
      <c r="E378" s="52"/>
      <c r="F378" s="52"/>
      <c r="G378" s="52"/>
      <c r="H378" s="52"/>
      <c r="I378" s="52"/>
      <c r="J378" s="52"/>
      <c r="K378" s="53"/>
    </row>
    <row r="379" ht="15.75" customHeight="1">
      <c r="B379" s="123" t="s">
        <v>4</v>
      </c>
      <c r="C379" s="123" t="s">
        <v>49</v>
      </c>
      <c r="D379" s="123" t="s">
        <v>50</v>
      </c>
      <c r="E379" s="123" t="s">
        <v>51</v>
      </c>
      <c r="F379" s="123" t="s">
        <v>52</v>
      </c>
      <c r="G379" s="123" t="s">
        <v>9</v>
      </c>
      <c r="H379" s="123" t="s">
        <v>10</v>
      </c>
      <c r="I379" s="123" t="s">
        <v>11</v>
      </c>
      <c r="J379" s="315" t="s">
        <v>12</v>
      </c>
      <c r="K379" s="288" t="s">
        <v>53</v>
      </c>
    </row>
    <row r="380" ht="15.75" customHeight="1">
      <c r="B380" s="110">
        <f>0+B381</f>
        <v>0</v>
      </c>
      <c r="C380" s="110">
        <f t="shared" ref="C380:D380" si="36">0</f>
        <v>0</v>
      </c>
      <c r="D380" s="110">
        <f t="shared" si="36"/>
        <v>0</v>
      </c>
      <c r="E380" s="110">
        <f>0+1+1</f>
        <v>2</v>
      </c>
      <c r="F380" s="110">
        <f t="shared" ref="F380:J380" si="37">0</f>
        <v>0</v>
      </c>
      <c r="G380" s="110">
        <f t="shared" si="37"/>
        <v>0</v>
      </c>
      <c r="H380" s="110">
        <f t="shared" si="37"/>
        <v>0</v>
      </c>
      <c r="I380" s="110">
        <f t="shared" si="37"/>
        <v>0</v>
      </c>
      <c r="J380" s="110">
        <f t="shared" si="37"/>
        <v>0</v>
      </c>
      <c r="K380" s="345">
        <f>SUM(B380:J380)</f>
        <v>2</v>
      </c>
    </row>
    <row r="381" ht="15.75" customHeight="1">
      <c r="K381" s="253"/>
    </row>
    <row r="382" ht="15.75" customHeight="1">
      <c r="A382" s="366" t="s">
        <v>130</v>
      </c>
      <c r="B382" s="52"/>
      <c r="C382" s="52"/>
      <c r="D382" s="52"/>
      <c r="E382" s="52"/>
      <c r="F382" s="52"/>
      <c r="G382" s="52"/>
      <c r="H382" s="52"/>
      <c r="I382" s="52"/>
      <c r="J382" s="52"/>
      <c r="K382" s="53"/>
    </row>
    <row r="383" ht="15.75" customHeight="1">
      <c r="B383" s="123" t="s">
        <v>4</v>
      </c>
      <c r="C383" s="123" t="s">
        <v>49</v>
      </c>
      <c r="D383" s="123" t="s">
        <v>50</v>
      </c>
      <c r="E383" s="123" t="s">
        <v>51</v>
      </c>
      <c r="F383" s="123" t="s">
        <v>52</v>
      </c>
      <c r="G383" s="123" t="s">
        <v>9</v>
      </c>
      <c r="H383" s="123" t="s">
        <v>10</v>
      </c>
      <c r="I383" s="123" t="s">
        <v>11</v>
      </c>
      <c r="J383" s="315" t="s">
        <v>12</v>
      </c>
      <c r="K383" s="288" t="s">
        <v>53</v>
      </c>
    </row>
    <row r="384" ht="15.75" customHeight="1">
      <c r="B384" s="110">
        <f>0+1</f>
        <v>1</v>
      </c>
      <c r="C384" s="110">
        <f t="shared" ref="C384:D384" si="38">0</f>
        <v>0</v>
      </c>
      <c r="D384" s="110">
        <f t="shared" si="38"/>
        <v>0</v>
      </c>
      <c r="E384" s="110">
        <f>0+1-1</f>
        <v>0</v>
      </c>
      <c r="F384" s="110">
        <f t="shared" ref="F384:I384" si="39">0</f>
        <v>0</v>
      </c>
      <c r="G384" s="110">
        <f t="shared" si="39"/>
        <v>0</v>
      </c>
      <c r="H384" s="110">
        <f t="shared" si="39"/>
        <v>0</v>
      </c>
      <c r="I384" s="110">
        <f t="shared" si="39"/>
        <v>0</v>
      </c>
      <c r="J384" s="77"/>
      <c r="K384" s="345">
        <f>SUM(B384:J384)</f>
        <v>1</v>
      </c>
    </row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3">
    <mergeCell ref="A1:K1"/>
    <mergeCell ref="B2:J2"/>
    <mergeCell ref="A8:K8"/>
    <mergeCell ref="S8:AJ8"/>
    <mergeCell ref="B9:J9"/>
    <mergeCell ref="S9:AA9"/>
    <mergeCell ref="AB9:AJ9"/>
    <mergeCell ref="A26:K26"/>
    <mergeCell ref="B27:J27"/>
    <mergeCell ref="S38:AJ38"/>
    <mergeCell ref="S39:AA39"/>
    <mergeCell ref="AB39:AJ39"/>
    <mergeCell ref="A45:J45"/>
    <mergeCell ref="A46:K46"/>
    <mergeCell ref="B47:J47"/>
    <mergeCell ref="S50:AJ50"/>
    <mergeCell ref="S51:AA51"/>
    <mergeCell ref="A56:K56"/>
    <mergeCell ref="B57:J57"/>
    <mergeCell ref="AB59:AC59"/>
    <mergeCell ref="R65:AB65"/>
    <mergeCell ref="S66:AA66"/>
    <mergeCell ref="A67:K67"/>
    <mergeCell ref="B68:J68"/>
    <mergeCell ref="R73:AB73"/>
    <mergeCell ref="A74:K74"/>
    <mergeCell ref="S74:AA74"/>
    <mergeCell ref="B75:J75"/>
    <mergeCell ref="R81:AB81"/>
    <mergeCell ref="A82:K82"/>
    <mergeCell ref="S82:AA82"/>
    <mergeCell ref="B83:J83"/>
    <mergeCell ref="R89:AB89"/>
    <mergeCell ref="A92:K92"/>
    <mergeCell ref="B93:J93"/>
    <mergeCell ref="L141:L152"/>
    <mergeCell ref="L155:L168"/>
    <mergeCell ref="B156:J156"/>
    <mergeCell ref="A163:K163"/>
    <mergeCell ref="B164:J164"/>
    <mergeCell ref="A171:K171"/>
    <mergeCell ref="R143:AB143"/>
    <mergeCell ref="R156:AB156"/>
    <mergeCell ref="S157:AA157"/>
    <mergeCell ref="S90:AA90"/>
    <mergeCell ref="R98:AB98"/>
    <mergeCell ref="S99:AA99"/>
    <mergeCell ref="R107:AB107"/>
    <mergeCell ref="R116:AB116"/>
    <mergeCell ref="R123:AB123"/>
    <mergeCell ref="R133:AB133"/>
    <mergeCell ref="B280:J280"/>
    <mergeCell ref="A286:K286"/>
    <mergeCell ref="A248:K248"/>
    <mergeCell ref="B249:J249"/>
    <mergeCell ref="A260:K260"/>
    <mergeCell ref="B261:J261"/>
    <mergeCell ref="A272:K272"/>
    <mergeCell ref="B273:J273"/>
    <mergeCell ref="A279:K279"/>
    <mergeCell ref="L286:L290"/>
    <mergeCell ref="L293:L300"/>
    <mergeCell ref="L303:L307"/>
    <mergeCell ref="L310:L314"/>
    <mergeCell ref="L317:L321"/>
    <mergeCell ref="L171:L192"/>
    <mergeCell ref="L195:L206"/>
    <mergeCell ref="L210:L214"/>
    <mergeCell ref="L218:L229"/>
    <mergeCell ref="L232:L245"/>
    <mergeCell ref="L248:L269"/>
    <mergeCell ref="L272:L283"/>
    <mergeCell ref="B361:J361"/>
    <mergeCell ref="A370:K370"/>
    <mergeCell ref="B371:J371"/>
    <mergeCell ref="A378:K378"/>
    <mergeCell ref="A382:K382"/>
    <mergeCell ref="A318:K318"/>
    <mergeCell ref="B319:J319"/>
    <mergeCell ref="A332:K332"/>
    <mergeCell ref="B333:J333"/>
    <mergeCell ref="A349:K349"/>
    <mergeCell ref="B350:J350"/>
    <mergeCell ref="A360:K360"/>
    <mergeCell ref="A103:K103"/>
    <mergeCell ref="B104:J104"/>
    <mergeCell ref="A111:K111"/>
    <mergeCell ref="B112:J112"/>
    <mergeCell ref="A120:K120"/>
    <mergeCell ref="B121:J121"/>
    <mergeCell ref="A129:K129"/>
    <mergeCell ref="A155:K155"/>
    <mergeCell ref="B172:J172"/>
    <mergeCell ref="A183:K183"/>
    <mergeCell ref="B184:J184"/>
    <mergeCell ref="B130:J130"/>
    <mergeCell ref="A140:L140"/>
    <mergeCell ref="A141:K141"/>
    <mergeCell ref="B142:J142"/>
    <mergeCell ref="A148:K148"/>
    <mergeCell ref="B149:J149"/>
    <mergeCell ref="A195:K195"/>
    <mergeCell ref="B196:J196"/>
    <mergeCell ref="A202:K202"/>
    <mergeCell ref="B203:J203"/>
    <mergeCell ref="A210:K210"/>
    <mergeCell ref="B211:J211"/>
    <mergeCell ref="A217:L217"/>
    <mergeCell ref="A218:K218"/>
    <mergeCell ref="B219:J219"/>
    <mergeCell ref="A225:K225"/>
    <mergeCell ref="B226:J226"/>
    <mergeCell ref="A232:K232"/>
    <mergeCell ref="B233:J233"/>
    <mergeCell ref="A240:K240"/>
    <mergeCell ref="B241:J241"/>
    <mergeCell ref="B287:J287"/>
    <mergeCell ref="A293:K293"/>
    <mergeCell ref="B294:J294"/>
    <mergeCell ref="A303:K303"/>
    <mergeCell ref="B304:J304"/>
    <mergeCell ref="A310:K310"/>
    <mergeCell ref="B311:J311"/>
  </mergeCells>
  <conditionalFormatting sqref="B22:J24 B353:K355">
    <cfRule type="cellIs" dxfId="1" priority="1" operator="lessThanOrEqual">
      <formula>3</formula>
    </cfRule>
  </conditionalFormatting>
  <conditionalFormatting sqref="B5:K5 B12:K24 B30:K42 B60:K64 B145:K146 B322:K322 B374:K374 B380:J380 B384:J384 S53:AB58 S160:AB166">
    <cfRule type="cellIs" dxfId="0" priority="2" operator="lessThan">
      <formula>3</formula>
    </cfRule>
  </conditionalFormatting>
  <printOptions/>
  <pageMargins bottom="0.75" footer="0.0" header="0.0" left="0.7" right="0.7" top="0.75"/>
  <pageSetup orientation="landscape"/>
  <drawing r:id="rId1"/>
</worksheet>
</file>