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224"/>
  <workbookPr/>
  <mc:AlternateContent xmlns:mc="http://schemas.openxmlformats.org/markup-compatibility/2006">
    <mc:Choice Requires="x15">
      <x15ac:absPath xmlns:x15ac="http://schemas.microsoft.com/office/spreadsheetml/2010/11/ac" url="https://prezenza-my.sharepoint.com/personal/admin_prezenza_onmicrosoft_com/Documents/Escritorio/BODEGA 60/101125/"/>
    </mc:Choice>
  </mc:AlternateContent>
  <xr:revisionPtr revIDLastSave="0" documentId="8_{6F366B3D-96E7-4A17-A6FC-F8853C0D7ABC}" xr6:coauthVersionLast="47" xr6:coauthVersionMax="47" xr10:uidLastSave="{00000000-0000-0000-0000-000000000000}"/>
  <bookViews>
    <workbookView xWindow="-120" yWindow="-120" windowWidth="29040" windowHeight="15720" tabRatio="653" xr2:uid="{4A6F192F-B288-44F1-9703-19810C8FD598}"/>
  </bookViews>
  <sheets>
    <sheet name="141125" sheetId="1" r:id="rId1"/>
    <sheet name="Hoja2" sheetId="3" r:id="rId2"/>
    <sheet name="Hoja1" sheetId="2" state="hidden" r:id="rId3"/>
  </sheets>
  <definedNames>
    <definedName name="_xlnm.Print_Area" localSheetId="0">'141125'!$A$1:$U$332</definedName>
  </definedNames>
  <calcPr calcId="191028" calcCompleted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352" i="1" l="1"/>
  <c r="G338" i="1"/>
  <c r="P64" i="1"/>
  <c r="O64" i="1"/>
  <c r="N64" i="1"/>
  <c r="M64" i="1"/>
  <c r="L137" i="1"/>
  <c r="L134" i="1"/>
  <c r="O142" i="1"/>
  <c r="F352" i="1"/>
  <c r="E352" i="1"/>
  <c r="O33" i="1"/>
  <c r="E8" i="1"/>
  <c r="D8" i="1"/>
  <c r="B136" i="1"/>
  <c r="L193" i="1"/>
  <c r="E64" i="1"/>
  <c r="D61" i="1"/>
  <c r="O60" i="1"/>
  <c r="N60" i="1"/>
  <c r="M60" i="1"/>
  <c r="L60" i="1"/>
  <c r="F60" i="1"/>
  <c r="E60" i="1"/>
  <c r="D60" i="1"/>
  <c r="C60" i="1"/>
  <c r="C175" i="1"/>
  <c r="M9" i="1"/>
  <c r="L10" i="1"/>
  <c r="G32" i="1"/>
  <c r="M33" i="1"/>
  <c r="N144" i="1"/>
  <c r="O141" i="1"/>
  <c r="N141" i="1"/>
  <c r="N137" i="1"/>
  <c r="N135" i="1"/>
  <c r="N134" i="1"/>
  <c r="N138" i="1"/>
  <c r="L154" i="1"/>
  <c r="C155" i="1"/>
  <c r="F155" i="1"/>
  <c r="N143" i="1"/>
  <c r="D143" i="1"/>
  <c r="C137" i="1"/>
  <c r="C133" i="1"/>
  <c r="O140" i="1"/>
  <c r="N156" i="1"/>
  <c r="C138" i="1"/>
  <c r="L133" i="1"/>
  <c r="L138" i="1"/>
  <c r="N302" i="1"/>
  <c r="K302" i="1"/>
  <c r="P193" i="1"/>
  <c r="O193" i="1"/>
  <c r="C141" i="1"/>
  <c r="M141" i="1"/>
  <c r="M136" i="1"/>
  <c r="D136" i="1"/>
  <c r="D133" i="1"/>
  <c r="C40" i="1"/>
  <c r="M40" i="1"/>
  <c r="D141" i="1"/>
  <c r="K133" i="1"/>
  <c r="C134" i="1"/>
  <c r="P134" i="1"/>
  <c r="O134" i="1"/>
  <c r="L141" i="1"/>
  <c r="H141" i="1"/>
  <c r="P144" i="1"/>
  <c r="G193" i="1"/>
  <c r="F193" i="1"/>
  <c r="E193" i="1"/>
  <c r="D193" i="1"/>
  <c r="N193" i="1"/>
  <c r="M193" i="1"/>
  <c r="N8" i="1"/>
  <c r="M143" i="1"/>
  <c r="M140" i="1"/>
  <c r="M138" i="1"/>
  <c r="M8" i="1"/>
  <c r="P163" i="1"/>
  <c r="N163" i="1"/>
  <c r="M163" i="1"/>
  <c r="M175" i="1"/>
  <c r="L175" i="1"/>
  <c r="D175" i="1"/>
  <c r="G352" i="1"/>
  <c r="C65" i="1"/>
  <c r="D156" i="1"/>
  <c r="L176" i="1"/>
  <c r="M164" i="1"/>
  <c r="O175" i="1"/>
  <c r="D165" i="1"/>
  <c r="P165" i="1"/>
  <c r="O165" i="1"/>
  <c r="M165" i="1"/>
  <c r="D163" i="1"/>
  <c r="O163" i="1"/>
  <c r="L103" i="1"/>
  <c r="E182" i="1"/>
  <c r="O182" i="1"/>
  <c r="N182" i="1"/>
  <c r="M182" i="1"/>
  <c r="J50" i="1"/>
  <c r="K138" i="1"/>
  <c r="Q136" i="1"/>
  <c r="P136" i="1"/>
  <c r="O136" i="1"/>
  <c r="N136" i="1"/>
  <c r="L136" i="1"/>
  <c r="E136" i="1"/>
  <c r="E144" i="1"/>
  <c r="D144" i="1"/>
  <c r="C144" i="1"/>
  <c r="Q185" i="1"/>
  <c r="P185" i="1"/>
  <c r="O185" i="1"/>
  <c r="N185" i="1"/>
  <c r="K185" i="1"/>
  <c r="N93" i="1"/>
  <c r="B92" i="1"/>
  <c r="C92" i="1"/>
  <c r="D92" i="1"/>
  <c r="E92" i="1"/>
  <c r="F92" i="1"/>
  <c r="N92" i="1"/>
  <c r="Q187" i="1"/>
  <c r="P187" i="1"/>
  <c r="O187" i="1"/>
  <c r="N187" i="1"/>
  <c r="M187" i="1"/>
  <c r="L187" i="1"/>
  <c r="K187" i="1"/>
  <c r="G60" i="1"/>
  <c r="B60" i="1"/>
  <c r="K60" i="1"/>
  <c r="H185" i="1"/>
  <c r="G185" i="1"/>
  <c r="F185" i="1"/>
  <c r="E185" i="1"/>
  <c r="D185" i="1"/>
  <c r="C185" i="1"/>
  <c r="B185" i="1"/>
  <c r="H144" i="1"/>
  <c r="G144" i="1"/>
  <c r="F144" i="1"/>
  <c r="D118" i="1"/>
  <c r="C118" i="1"/>
  <c r="O173" i="1"/>
  <c r="E139" i="1"/>
  <c r="E133" i="1"/>
  <c r="E138" i="1"/>
  <c r="E142" i="1"/>
  <c r="M133" i="1"/>
  <c r="H145" i="1"/>
  <c r="H138" i="1"/>
  <c r="P133" i="1"/>
  <c r="P33" i="1"/>
  <c r="N222" i="1"/>
  <c r="H222" i="1"/>
  <c r="J146" i="1"/>
  <c r="H135" i="1"/>
  <c r="R144" i="1"/>
  <c r="M144" i="1"/>
  <c r="L144" i="1"/>
  <c r="K144" i="1"/>
  <c r="F134" i="1"/>
  <c r="E134" i="1"/>
  <c r="D134" i="1"/>
  <c r="M134" i="1"/>
  <c r="G138" i="1"/>
  <c r="F138" i="1"/>
  <c r="D138" i="1"/>
  <c r="R138" i="1"/>
  <c r="Q138" i="1"/>
  <c r="O207" i="1"/>
  <c r="Q133" i="1"/>
  <c r="Q139" i="1"/>
  <c r="E175" i="1"/>
  <c r="S133" i="1"/>
  <c r="S140" i="1"/>
  <c r="I118" i="1"/>
  <c r="H118" i="1"/>
  <c r="G118" i="1"/>
  <c r="F118" i="1"/>
  <c r="E118" i="1"/>
  <c r="B118" i="1"/>
  <c r="E156" i="1"/>
  <c r="O183" i="1"/>
  <c r="M183" i="1"/>
  <c r="G64" i="1"/>
  <c r="F64" i="1"/>
  <c r="C64" i="1"/>
  <c r="L64" i="1"/>
  <c r="P61" i="1"/>
  <c r="G9" i="1"/>
  <c r="F9" i="1"/>
  <c r="E9" i="1"/>
  <c r="D9" i="1"/>
  <c r="C10" i="1"/>
  <c r="Q9" i="1"/>
  <c r="O9" i="1"/>
  <c r="N9" i="1"/>
  <c r="L9" i="1"/>
  <c r="H163" i="1"/>
  <c r="E163" i="1"/>
  <c r="N103" i="1"/>
  <c r="L182" i="1"/>
  <c r="M174" i="1"/>
  <c r="M176" i="1"/>
  <c r="R60" i="1"/>
  <c r="N61" i="1"/>
  <c r="F141" i="1"/>
  <c r="B141" i="1"/>
  <c r="F133" i="1"/>
  <c r="B133" i="1"/>
  <c r="F139" i="1"/>
  <c r="D139" i="1"/>
  <c r="C139" i="1"/>
  <c r="B139" i="1"/>
  <c r="F140" i="1"/>
  <c r="D140" i="1"/>
  <c r="C140" i="1"/>
  <c r="B140" i="1"/>
  <c r="B134" i="1"/>
  <c r="B138" i="1"/>
  <c r="N33" i="1"/>
  <c r="L33" i="1"/>
  <c r="F33" i="1"/>
  <c r="E33" i="1"/>
  <c r="D33" i="1"/>
  <c r="C33" i="1"/>
  <c r="C257" i="1"/>
  <c r="O133" i="1"/>
  <c r="N133" i="1"/>
  <c r="B193" i="1"/>
  <c r="E164" i="1"/>
  <c r="D164" i="1"/>
  <c r="C164" i="1"/>
  <c r="C163" i="1"/>
  <c r="O144" i="1"/>
  <c r="G11" i="1"/>
  <c r="O103" i="1"/>
  <c r="M104" i="1"/>
  <c r="L104" i="1"/>
  <c r="K104" i="1"/>
  <c r="J104" i="1"/>
  <c r="E137" i="1"/>
  <c r="D137" i="1"/>
  <c r="B137" i="1"/>
  <c r="P137" i="1"/>
  <c r="M137" i="1"/>
  <c r="P141" i="1"/>
  <c r="S141" i="1"/>
  <c r="N140" i="1"/>
  <c r="H133" i="1"/>
  <c r="G133" i="1"/>
  <c r="R133" i="1"/>
  <c r="E141" i="1"/>
  <c r="G142" i="1"/>
  <c r="F175" i="1"/>
  <c r="N175" i="1"/>
  <c r="H61" i="1"/>
  <c r="H64" i="1"/>
  <c r="H9" i="1"/>
  <c r="R9" i="1"/>
  <c r="P10" i="1"/>
  <c r="S61" i="1"/>
  <c r="M61" i="1"/>
  <c r="Q61" i="1"/>
  <c r="Q302" i="1"/>
  <c r="P302" i="1"/>
  <c r="O200" i="1"/>
  <c r="M200" i="1"/>
  <c r="L200" i="1"/>
  <c r="M207" i="1"/>
  <c r="L207" i="1"/>
  <c r="O176" i="1"/>
  <c r="M173" i="1"/>
  <c r="L173" i="1"/>
  <c r="F200" i="1"/>
  <c r="E200" i="1"/>
  <c r="D200" i="1"/>
  <c r="C200" i="1"/>
  <c r="F207" i="1"/>
  <c r="E207" i="1"/>
  <c r="D207" i="1"/>
  <c r="C207" i="1"/>
  <c r="F176" i="1"/>
  <c r="E176" i="1"/>
  <c r="D176" i="1"/>
  <c r="C176" i="1"/>
  <c r="F173" i="1"/>
  <c r="E173" i="1"/>
  <c r="D173" i="1"/>
  <c r="C173" i="1"/>
  <c r="O230" i="1"/>
  <c r="N230" i="1"/>
  <c r="M230" i="1"/>
  <c r="L230" i="1"/>
  <c r="K230" i="1"/>
  <c r="J230" i="1"/>
  <c r="J176" i="1"/>
  <c r="I176" i="1"/>
  <c r="H176" i="1"/>
  <c r="G176" i="1"/>
  <c r="B176" i="1"/>
  <c r="P176" i="1"/>
  <c r="N176" i="1"/>
  <c r="H200" i="1"/>
  <c r="G200" i="1"/>
  <c r="R200" i="1"/>
  <c r="Q200" i="1"/>
  <c r="P200" i="1"/>
  <c r="N200" i="1"/>
  <c r="R199" i="1"/>
  <c r="Q199" i="1"/>
  <c r="P199" i="1"/>
  <c r="O199" i="1"/>
  <c r="N199" i="1"/>
  <c r="M199" i="1"/>
  <c r="L199" i="1"/>
  <c r="R155" i="1"/>
  <c r="Q155" i="1"/>
  <c r="N155" i="1"/>
  <c r="M155" i="1"/>
  <c r="L155" i="1"/>
  <c r="I138" i="1"/>
  <c r="G141" i="1"/>
  <c r="F137" i="1"/>
  <c r="G143" i="1"/>
  <c r="F143" i="1"/>
  <c r="E143" i="1"/>
  <c r="C143" i="1"/>
  <c r="G134" i="1"/>
  <c r="G136" i="1"/>
  <c r="F136" i="1"/>
  <c r="C136" i="1"/>
  <c r="P139" i="1"/>
  <c r="N139" i="1"/>
  <c r="L139" i="1"/>
  <c r="L183" i="1"/>
  <c r="D183" i="1"/>
  <c r="C183" i="1"/>
  <c r="B183" i="1"/>
  <c r="O155" i="1"/>
  <c r="O135" i="1"/>
  <c r="M135" i="1"/>
  <c r="O137" i="1"/>
  <c r="O156" i="1"/>
  <c r="M156" i="1"/>
  <c r="L156" i="1"/>
  <c r="F71" i="1"/>
  <c r="E71" i="1"/>
  <c r="C71" i="1"/>
  <c r="P71" i="1"/>
  <c r="O71" i="1"/>
  <c r="N71" i="1"/>
  <c r="G40" i="1"/>
  <c r="F40" i="1"/>
  <c r="E40" i="1"/>
  <c r="D40" i="1"/>
  <c r="P40" i="1"/>
  <c r="O40" i="1"/>
  <c r="N40" i="1"/>
  <c r="K141" i="1"/>
  <c r="K136" i="1"/>
  <c r="H137" i="1"/>
  <c r="P231" i="1"/>
  <c r="H143" i="1"/>
  <c r="E135" i="1"/>
  <c r="E147" i="1"/>
  <c r="G145" i="1"/>
  <c r="F145" i="1"/>
  <c r="E145" i="1"/>
  <c r="D145" i="1"/>
  <c r="C145" i="1"/>
  <c r="Q137" i="1"/>
  <c r="Q141" i="1"/>
  <c r="P143" i="1"/>
  <c r="L143" i="1"/>
  <c r="N142" i="1"/>
  <c r="E165" i="1"/>
  <c r="P8" i="1"/>
  <c r="O8" i="1"/>
  <c r="C154" i="1"/>
  <c r="R142" i="1"/>
  <c r="R136" i="1"/>
  <c r="N18" i="1"/>
  <c r="M92" i="1"/>
  <c r="G135" i="1"/>
  <c r="D135" i="1"/>
  <c r="P135" i="1"/>
  <c r="Q134" i="1"/>
  <c r="J163" i="1"/>
  <c r="I163" i="1"/>
  <c r="S163" i="1"/>
  <c r="R163" i="1"/>
  <c r="Q163" i="1"/>
  <c r="O61" i="1"/>
  <c r="O231" i="1"/>
  <c r="R8" i="1"/>
  <c r="L8" i="1"/>
  <c r="F8" i="1"/>
  <c r="C8" i="1"/>
  <c r="S9" i="1"/>
  <c r="S60" i="1"/>
  <c r="H60" i="1"/>
  <c r="Q64" i="1"/>
  <c r="K64" i="1"/>
  <c r="D64" i="1"/>
  <c r="K231" i="1"/>
  <c r="J231" i="1"/>
  <c r="I9" i="1"/>
  <c r="O139" i="1"/>
  <c r="M139" i="1"/>
  <c r="K139" i="1"/>
  <c r="H139" i="1"/>
  <c r="G139" i="1"/>
  <c r="K9" i="1"/>
  <c r="H147" i="1"/>
  <c r="G147" i="1"/>
  <c r="D147" i="1"/>
  <c r="C147" i="1"/>
  <c r="J352" i="1"/>
  <c r="B145" i="1"/>
  <c r="Q8" i="1"/>
  <c r="L32" i="1"/>
  <c r="H164" i="1"/>
  <c r="F164" i="1"/>
  <c r="P164" i="1"/>
  <c r="O164" i="1"/>
  <c r="N164" i="1"/>
  <c r="L164" i="1"/>
  <c r="F163" i="1"/>
  <c r="L163" i="1"/>
  <c r="O50" i="1"/>
  <c r="N50" i="1"/>
  <c r="P60" i="1"/>
  <c r="K163" i="1"/>
  <c r="G163" i="1"/>
  <c r="B163" i="1"/>
  <c r="P174" i="1"/>
  <c r="O174" i="1"/>
  <c r="N174" i="1"/>
  <c r="L174" i="1"/>
  <c r="I135" i="1"/>
  <c r="F135" i="1"/>
  <c r="C135" i="1"/>
  <c r="B135" i="1"/>
  <c r="R139" i="1"/>
  <c r="R137" i="1"/>
  <c r="K137" i="1"/>
  <c r="R141" i="1"/>
  <c r="G19" i="1"/>
  <c r="C117" i="1"/>
  <c r="K277" i="1"/>
  <c r="E86" i="1"/>
  <c r="D87" i="1"/>
  <c r="O10" i="1"/>
  <c r="B10" i="1"/>
  <c r="I137" i="1"/>
  <c r="Q93" i="1"/>
  <c r="O93" i="1"/>
  <c r="L92" i="1"/>
  <c r="E199" i="1"/>
  <c r="Q60" i="1"/>
  <c r="J133" i="1"/>
  <c r="I133" i="1"/>
  <c r="L231" i="1"/>
  <c r="K175" i="1"/>
  <c r="P138" i="1"/>
  <c r="L140" i="1"/>
  <c r="G137" i="1"/>
  <c r="N165" i="1"/>
  <c r="L165" i="1"/>
  <c r="D199" i="1"/>
  <c r="K50" i="1"/>
  <c r="C86" i="1"/>
  <c r="C174" i="1"/>
  <c r="P175" i="1"/>
  <c r="P173" i="1"/>
  <c r="N173" i="1"/>
  <c r="C63" i="1"/>
  <c r="Q165" i="1"/>
  <c r="C165" i="1"/>
  <c r="E140" i="1"/>
  <c r="P182" i="1"/>
  <c r="S72" i="1"/>
  <c r="R72" i="1"/>
  <c r="Q72" i="1"/>
  <c r="P72" i="1"/>
  <c r="O72" i="1"/>
  <c r="N72" i="1"/>
  <c r="M72" i="1"/>
  <c r="L72" i="1"/>
  <c r="K72" i="1"/>
  <c r="J72" i="1"/>
  <c r="H72" i="1"/>
  <c r="G72" i="1"/>
  <c r="F72" i="1"/>
  <c r="C72" i="1"/>
  <c r="G8" i="1"/>
  <c r="E166" i="1"/>
  <c r="D78" i="1"/>
  <c r="N154" i="1"/>
  <c r="L302" i="1"/>
  <c r="S10" i="1"/>
  <c r="I72" i="1"/>
  <c r="O222" i="1"/>
  <c r="F222" i="1"/>
  <c r="F85" i="1"/>
  <c r="D85" i="1"/>
  <c r="P142" i="1"/>
  <c r="M142" i="1"/>
  <c r="B64" i="1"/>
  <c r="Q145" i="1"/>
  <c r="P145" i="1"/>
  <c r="O145" i="1"/>
  <c r="N145" i="1"/>
  <c r="M145" i="1"/>
  <c r="L145" i="1"/>
  <c r="J145" i="1"/>
  <c r="I145" i="1"/>
  <c r="R145" i="1"/>
  <c r="K145" i="1"/>
  <c r="O87" i="1"/>
  <c r="M87" i="1"/>
  <c r="H87" i="1"/>
  <c r="G87" i="1"/>
  <c r="F87" i="1"/>
  <c r="C87" i="1"/>
  <c r="B87" i="1"/>
  <c r="L142" i="1"/>
  <c r="L184" i="1"/>
  <c r="S183" i="1"/>
  <c r="Q183" i="1"/>
  <c r="P183" i="1"/>
  <c r="N183" i="1"/>
  <c r="K183" i="1"/>
  <c r="J184" i="1"/>
  <c r="I184" i="1"/>
  <c r="H184" i="1"/>
  <c r="G184" i="1"/>
  <c r="F184" i="1"/>
  <c r="E184" i="1"/>
  <c r="D184" i="1"/>
  <c r="C184" i="1"/>
  <c r="B184" i="1"/>
  <c r="S135" i="1"/>
  <c r="R135" i="1"/>
  <c r="Q135" i="1"/>
  <c r="L135" i="1"/>
  <c r="K135" i="1"/>
  <c r="J135" i="1"/>
  <c r="H142" i="1"/>
  <c r="F142" i="1"/>
  <c r="D142" i="1"/>
  <c r="C142" i="1"/>
  <c r="B142" i="1"/>
  <c r="Q142" i="1"/>
  <c r="K142" i="1"/>
  <c r="G173" i="1"/>
  <c r="B143" i="1"/>
  <c r="J147" i="1"/>
  <c r="O18" i="1"/>
  <c r="M18" i="1"/>
  <c r="K143" i="1"/>
  <c r="N41" i="1"/>
  <c r="L71" i="1"/>
  <c r="K182" i="1"/>
  <c r="N167" i="1"/>
  <c r="M167" i="1"/>
  <c r="P9" i="1"/>
  <c r="C250" i="1"/>
  <c r="C78" i="1"/>
  <c r="S78" i="1"/>
  <c r="M78" i="1"/>
  <c r="K134" i="1"/>
  <c r="R63" i="1"/>
  <c r="L61" i="1"/>
  <c r="K61" i="1"/>
  <c r="I61" i="1"/>
  <c r="G61" i="1"/>
  <c r="E61" i="1"/>
  <c r="C24" i="1"/>
  <c r="F165" i="1"/>
  <c r="L87" i="1"/>
  <c r="Q176" i="1"/>
  <c r="G117" i="1"/>
  <c r="K293" i="1"/>
  <c r="B293" i="1"/>
  <c r="E146" i="1"/>
  <c r="Q143" i="1"/>
  <c r="O143" i="1"/>
  <c r="Q144" i="1"/>
  <c r="Q147" i="1"/>
  <c r="P147" i="1"/>
  <c r="O147" i="1"/>
  <c r="N147" i="1"/>
  <c r="M147" i="1"/>
  <c r="L147" i="1"/>
  <c r="K147" i="1"/>
  <c r="H134" i="1"/>
  <c r="F147" i="1"/>
  <c r="B147" i="1"/>
  <c r="B144" i="1"/>
  <c r="N23" i="1"/>
  <c r="Q18" i="1"/>
  <c r="P18" i="1"/>
  <c r="D11" i="1"/>
  <c r="S138" i="1"/>
  <c r="L78" i="1"/>
  <c r="Q17" i="1"/>
  <c r="E119" i="1"/>
  <c r="M277" i="1"/>
  <c r="L277" i="1"/>
  <c r="G164" i="1"/>
  <c r="O184" i="1"/>
  <c r="H175" i="1"/>
  <c r="Q140" i="1"/>
  <c r="O32" i="1"/>
  <c r="N32" i="1"/>
  <c r="M32" i="1"/>
  <c r="H136" i="1"/>
  <c r="I230" i="1"/>
  <c r="N207" i="1"/>
  <c r="I103" i="1"/>
  <c r="M154" i="1"/>
  <c r="P154" i="1"/>
  <c r="P156" i="1"/>
  <c r="P155" i="1"/>
  <c r="M94" i="1"/>
  <c r="N19" i="1"/>
  <c r="R134" i="1"/>
  <c r="R140" i="1"/>
  <c r="P140" i="1"/>
  <c r="I134" i="1"/>
  <c r="I140" i="1"/>
  <c r="L206" i="1"/>
  <c r="F206" i="1"/>
  <c r="E206" i="1"/>
  <c r="D206" i="1"/>
  <c r="C206" i="1"/>
  <c r="G175" i="1"/>
  <c r="Q175" i="1"/>
  <c r="O6" i="3"/>
  <c r="C6" i="3"/>
  <c r="B6" i="3"/>
  <c r="O332" i="1"/>
  <c r="M332" i="1"/>
  <c r="C332" i="1"/>
  <c r="D332" i="1"/>
  <c r="B332" i="1"/>
  <c r="M41" i="1"/>
  <c r="M222" i="1"/>
  <c r="L222" i="1"/>
  <c r="K10" i="1"/>
  <c r="H17" i="1"/>
  <c r="M231" i="1"/>
  <c r="Q182" i="1"/>
  <c r="F119" i="1"/>
  <c r="D119" i="1"/>
  <c r="C119" i="1"/>
  <c r="G140" i="1"/>
  <c r="K199" i="1"/>
  <c r="H352" i="1"/>
  <c r="S136" i="1"/>
  <c r="S8" i="1"/>
  <c r="K8" i="1"/>
  <c r="J8" i="1"/>
  <c r="I8" i="1"/>
  <c r="H8" i="1"/>
  <c r="B8" i="1"/>
  <c r="O138" i="1"/>
  <c r="S6" i="3"/>
  <c r="S332" i="1"/>
  <c r="P332" i="1"/>
  <c r="N332" i="1"/>
  <c r="E332" i="1"/>
  <c r="P6" i="3"/>
  <c r="N6" i="3"/>
  <c r="E6" i="3"/>
  <c r="F6" i="3"/>
  <c r="K176" i="1"/>
  <c r="Q222" i="1"/>
  <c r="K222" i="1"/>
  <c r="B121" i="1"/>
  <c r="O78" i="1"/>
  <c r="N208" i="1"/>
  <c r="M208" i="1"/>
  <c r="S134" i="1"/>
  <c r="J134" i="1"/>
  <c r="B41" i="1"/>
  <c r="L41" i="1"/>
  <c r="J187" i="1"/>
  <c r="B182" i="1"/>
  <c r="J302" i="1"/>
  <c r="B117" i="1"/>
  <c r="I173" i="1"/>
  <c r="H173" i="1"/>
  <c r="B173" i="1"/>
  <c r="S173" i="1"/>
  <c r="R173" i="1"/>
  <c r="Q173" i="1"/>
  <c r="K173" i="1"/>
  <c r="S137" i="1"/>
  <c r="E183" i="1"/>
  <c r="M184" i="1"/>
  <c r="P186" i="1"/>
  <c r="M185" i="1"/>
  <c r="F174" i="1"/>
  <c r="E174" i="1"/>
  <c r="D174" i="1"/>
  <c r="B175" i="1"/>
  <c r="P222" i="1"/>
  <c r="L65" i="1"/>
  <c r="H65" i="1"/>
  <c r="C85" i="1"/>
  <c r="Q85" i="1"/>
  <c r="P85" i="1"/>
  <c r="O85" i="1"/>
  <c r="N85" i="1"/>
  <c r="M85" i="1"/>
  <c r="F156" i="1"/>
  <c r="J154" i="1"/>
  <c r="D154" i="1"/>
  <c r="H155" i="1"/>
  <c r="B155" i="1"/>
  <c r="E17" i="1"/>
  <c r="D17" i="1"/>
  <c r="E187" i="1"/>
  <c r="B187" i="1"/>
  <c r="J103" i="1"/>
  <c r="N78" i="1"/>
  <c r="H140" i="1"/>
  <c r="K103" i="1"/>
  <c r="J175" i="1"/>
  <c r="I175" i="1"/>
  <c r="J144" i="1"/>
  <c r="I92" i="1"/>
  <c r="G92" i="1"/>
  <c r="K140" i="1"/>
  <c r="H206" i="1"/>
  <c r="C256" i="1"/>
  <c r="C261" i="1"/>
  <c r="L94" i="1"/>
  <c r="P166" i="1"/>
  <c r="O166" i="1"/>
  <c r="N166" i="1"/>
  <c r="D166" i="1"/>
  <c r="I147" i="1"/>
  <c r="K200" i="1"/>
  <c r="B200" i="1"/>
  <c r="S175" i="1"/>
  <c r="R175" i="1"/>
  <c r="K154" i="1"/>
  <c r="K156" i="1"/>
  <c r="K155" i="1"/>
  <c r="K238" i="1"/>
  <c r="D94" i="1"/>
  <c r="J137" i="1"/>
  <c r="N79" i="1"/>
  <c r="B154" i="1"/>
  <c r="S331" i="1"/>
  <c r="Q331" i="1"/>
  <c r="Q103" i="1"/>
  <c r="J164" i="1"/>
  <c r="B164" i="1"/>
  <c r="K164" i="1"/>
  <c r="J173" i="1"/>
  <c r="F183" i="1"/>
  <c r="D112" i="1"/>
  <c r="O154" i="1"/>
  <c r="Q19" i="1"/>
  <c r="E32" i="1"/>
  <c r="C9" i="1"/>
  <c r="B9" i="1"/>
  <c r="E167" i="1"/>
  <c r="B207" i="1"/>
  <c r="P207" i="1"/>
  <c r="P93" i="1"/>
  <c r="Q92" i="1"/>
  <c r="K92" i="1"/>
  <c r="H92" i="1"/>
  <c r="N65" i="1"/>
  <c r="B61" i="1"/>
  <c r="J143" i="1"/>
  <c r="O86" i="1"/>
  <c r="N86" i="1"/>
  <c r="L86" i="1"/>
  <c r="B85" i="1"/>
  <c r="J60" i="1"/>
  <c r="S147" i="1"/>
  <c r="R147" i="1"/>
  <c r="S164" i="1"/>
  <c r="B165" i="1"/>
  <c r="E208" i="1"/>
  <c r="C19" i="1"/>
  <c r="D117" i="1"/>
  <c r="G207" i="1"/>
  <c r="H208" i="1"/>
  <c r="S199" i="1"/>
  <c r="J199" i="1"/>
  <c r="I199" i="1"/>
  <c r="I136" i="1"/>
  <c r="S156" i="1"/>
  <c r="R156" i="1"/>
  <c r="S154" i="1"/>
  <c r="R154" i="1"/>
  <c r="K49" i="1"/>
  <c r="F19" i="1"/>
  <c r="E19" i="1"/>
  <c r="D19" i="1"/>
  <c r="P19" i="1"/>
  <c r="O19" i="1"/>
  <c r="M19" i="1"/>
  <c r="L19" i="1"/>
  <c r="G165" i="1"/>
  <c r="N11" i="1"/>
  <c r="D182" i="1"/>
  <c r="C182" i="1"/>
  <c r="L278" i="1"/>
  <c r="K278" i="1"/>
  <c r="J138" i="1"/>
  <c r="S139" i="1"/>
  <c r="J139" i="1"/>
  <c r="I139" i="1"/>
  <c r="J136" i="1"/>
  <c r="B286" i="1"/>
  <c r="J92" i="1"/>
  <c r="J78" i="1"/>
  <c r="G78" i="1"/>
  <c r="E78" i="1"/>
  <c r="P78" i="1"/>
  <c r="S92" i="1"/>
  <c r="H183" i="1"/>
  <c r="H117" i="1"/>
  <c r="F117" i="1"/>
  <c r="E117" i="1"/>
  <c r="R92" i="1"/>
  <c r="P92" i="1"/>
  <c r="O92" i="1"/>
  <c r="T93" i="1"/>
  <c r="F166" i="1"/>
  <c r="C166" i="1"/>
  <c r="M166" i="1"/>
  <c r="L166" i="1"/>
  <c r="M103" i="1"/>
  <c r="D345" i="1"/>
  <c r="F345" i="1"/>
  <c r="E345" i="1"/>
  <c r="D71" i="1"/>
  <c r="L24" i="1"/>
  <c r="Q10" i="1"/>
  <c r="G166" i="1"/>
  <c r="B166" i="1"/>
  <c r="M79" i="1"/>
  <c r="G183" i="1"/>
  <c r="S146" i="1"/>
  <c r="R19" i="1"/>
  <c r="H19" i="1"/>
  <c r="K146" i="1"/>
  <c r="B71" i="1"/>
  <c r="K166" i="1"/>
  <c r="M65" i="1"/>
  <c r="G345" i="1"/>
  <c r="K33" i="1"/>
  <c r="H165" i="1"/>
  <c r="H278" i="1"/>
  <c r="H277" i="1"/>
  <c r="L21" i="1"/>
  <c r="S142" i="1"/>
  <c r="D65" i="1"/>
  <c r="H182" i="1"/>
  <c r="P11" i="1"/>
  <c r="D208" i="1"/>
  <c r="G119" i="1"/>
  <c r="O105" i="1"/>
  <c r="C199" i="1"/>
  <c r="I60" i="1"/>
  <c r="R165" i="1"/>
  <c r="K165" i="1"/>
  <c r="R164" i="1"/>
  <c r="Q164" i="1"/>
  <c r="S32" i="1"/>
  <c r="S33" i="1"/>
  <c r="H345" i="1"/>
  <c r="I174" i="1"/>
  <c r="R174" i="1"/>
  <c r="I345" i="1"/>
  <c r="L13" i="3"/>
  <c r="K13" i="3"/>
  <c r="M13" i="3" s="1"/>
  <c r="C112" i="1"/>
  <c r="C258" i="1"/>
  <c r="L167" i="1"/>
  <c r="L85" i="1"/>
  <c r="N184" i="1"/>
  <c r="P32" i="1"/>
  <c r="C302" i="1"/>
  <c r="C255" i="1"/>
  <c r="L268" i="1"/>
  <c r="M268" i="1"/>
  <c r="O65" i="1"/>
  <c r="E65" i="1"/>
  <c r="M11" i="1"/>
  <c r="G182" i="1"/>
  <c r="F182" i="1"/>
  <c r="H167" i="1"/>
  <c r="F167" i="1"/>
  <c r="D167" i="1"/>
  <c r="C167" i="1"/>
  <c r="B167" i="1"/>
  <c r="P330" i="1"/>
  <c r="E20" i="1"/>
  <c r="M331" i="1"/>
  <c r="G154" i="1"/>
  <c r="F154" i="1"/>
  <c r="E154" i="1"/>
  <c r="U193" i="1"/>
  <c r="J193" i="1"/>
  <c r="I193" i="1"/>
  <c r="Q193" i="1"/>
  <c r="B146" i="1"/>
  <c r="J345" i="1"/>
  <c r="P65" i="1"/>
  <c r="H217" i="1"/>
  <c r="G217" i="1"/>
  <c r="F217" i="1"/>
  <c r="E217" i="1"/>
  <c r="D217" i="1"/>
  <c r="C217" i="1"/>
  <c r="B217" i="1"/>
  <c r="R146" i="1"/>
  <c r="O186" i="1"/>
  <c r="K186" i="1"/>
  <c r="I182" i="1"/>
  <c r="K193" i="1"/>
  <c r="D352" i="1"/>
  <c r="O206" i="1"/>
  <c r="K78" i="1"/>
  <c r="E11" i="1"/>
  <c r="D32" i="1"/>
  <c r="C259" i="1"/>
  <c r="J119" i="1"/>
  <c r="H119" i="1"/>
  <c r="B119" i="1"/>
  <c r="I143" i="1"/>
  <c r="T64" i="1"/>
  <c r="N49" i="1"/>
  <c r="N278" i="1"/>
  <c r="I278" i="1"/>
  <c r="Q104" i="1"/>
  <c r="N232" i="1"/>
  <c r="C260" i="1"/>
  <c r="G156" i="1"/>
  <c r="I155" i="1"/>
  <c r="R18" i="1"/>
  <c r="M49" i="1"/>
  <c r="Q166" i="1"/>
  <c r="Q207" i="1"/>
  <c r="T85" i="1"/>
  <c r="S85" i="1"/>
  <c r="R85" i="1"/>
  <c r="J85" i="1"/>
  <c r="I85" i="1"/>
  <c r="H85" i="1"/>
  <c r="E85" i="1"/>
  <c r="G121" i="1"/>
  <c r="N10" i="1"/>
  <c r="G17" i="1"/>
  <c r="C41" i="1"/>
  <c r="L345" i="1"/>
  <c r="G155" i="1"/>
  <c r="D155" i="1"/>
  <c r="N231" i="1"/>
  <c r="I141" i="1"/>
  <c r="H10" i="1"/>
  <c r="T9" i="1"/>
  <c r="I144" i="1"/>
  <c r="H18" i="1"/>
  <c r="G18" i="1"/>
  <c r="F18" i="1"/>
  <c r="E18" i="1"/>
  <c r="D18" i="1"/>
  <c r="R61" i="1"/>
  <c r="B285" i="1"/>
  <c r="P23" i="1"/>
  <c r="I142" i="1"/>
  <c r="L17" i="1"/>
  <c r="G85" i="1"/>
  <c r="H338" i="1"/>
  <c r="I338" i="1"/>
  <c r="D86" i="1"/>
  <c r="L49" i="1"/>
  <c r="J49" i="1"/>
  <c r="C121" i="1"/>
  <c r="J278" i="1"/>
  <c r="E112" i="1"/>
  <c r="E121" i="1"/>
  <c r="T87" i="1"/>
  <c r="R87" i="1"/>
  <c r="S87" i="1"/>
  <c r="R86" i="1"/>
  <c r="Q86" i="1"/>
  <c r="P87" i="1"/>
  <c r="P86" i="1"/>
  <c r="N87" i="1"/>
  <c r="M86" i="1"/>
  <c r="J86" i="1"/>
  <c r="I86" i="1"/>
  <c r="H86" i="1"/>
  <c r="G86" i="1"/>
  <c r="M278" i="1"/>
  <c r="F86" i="1"/>
  <c r="E87" i="1"/>
  <c r="U87" i="1" s="1"/>
  <c r="B86" i="1"/>
  <c r="Q186" i="1"/>
  <c r="P79" i="1"/>
  <c r="N146" i="1"/>
  <c r="M146" i="1"/>
  <c r="G167" i="1"/>
  <c r="P20" i="1"/>
  <c r="K41" i="1"/>
  <c r="O41" i="1"/>
  <c r="D10" i="1"/>
  <c r="M10" i="1"/>
  <c r="J277" i="1"/>
  <c r="I277" i="1"/>
  <c r="F61" i="1"/>
  <c r="F10" i="1"/>
  <c r="J142" i="1"/>
  <c r="I50" i="1"/>
  <c r="R176" i="1"/>
  <c r="N206" i="1"/>
  <c r="C193" i="1"/>
  <c r="S65" i="1"/>
  <c r="R65" i="1"/>
  <c r="Q65" i="1"/>
  <c r="K65" i="1"/>
  <c r="J65" i="1"/>
  <c r="I65" i="1"/>
  <c r="G65" i="1"/>
  <c r="F65" i="1"/>
  <c r="B65" i="1"/>
  <c r="J61" i="1"/>
  <c r="S11" i="1"/>
  <c r="R11" i="1"/>
  <c r="L11" i="1"/>
  <c r="K11" i="1"/>
  <c r="J11" i="1"/>
  <c r="I11" i="1"/>
  <c r="H11" i="1"/>
  <c r="F11" i="1"/>
  <c r="B11" i="1"/>
  <c r="J10" i="1"/>
  <c r="S145" i="1"/>
  <c r="S144" i="1"/>
  <c r="S143" i="1"/>
  <c r="R143" i="1"/>
  <c r="Q156" i="1"/>
  <c r="J156" i="1"/>
  <c r="I156" i="1"/>
  <c r="H156" i="1"/>
  <c r="C156" i="1"/>
  <c r="B156" i="1"/>
  <c r="S155" i="1"/>
  <c r="J155" i="1"/>
  <c r="E155" i="1"/>
  <c r="Q154" i="1"/>
  <c r="I154" i="1"/>
  <c r="H154" i="1"/>
  <c r="H94" i="1"/>
  <c r="S18" i="1"/>
  <c r="I119" i="1"/>
  <c r="F32" i="1"/>
  <c r="B32" i="1"/>
  <c r="L79" i="1"/>
  <c r="F79" i="1"/>
  <c r="E79" i="1"/>
  <c r="D79" i="1"/>
  <c r="B79" i="1"/>
  <c r="D120" i="1"/>
  <c r="J182" i="1"/>
  <c r="S182" i="1"/>
  <c r="K345" i="1"/>
  <c r="I166" i="1"/>
  <c r="C32" i="1"/>
  <c r="H166" i="1"/>
  <c r="O94" i="1"/>
  <c r="K18" i="1"/>
  <c r="K167" i="1"/>
  <c r="C61" i="1"/>
  <c r="M50" i="1"/>
  <c r="L50" i="1"/>
  <c r="I18" i="1"/>
  <c r="F17" i="1"/>
  <c r="L208" i="1"/>
  <c r="C208" i="1"/>
  <c r="I146" i="1"/>
  <c r="C11" i="1"/>
  <c r="I10" i="1"/>
  <c r="G10" i="1"/>
  <c r="E10" i="1"/>
  <c r="P184" i="1"/>
  <c r="K174" i="1"/>
  <c r="R94" i="1"/>
  <c r="F199" i="1"/>
  <c r="C187" i="1"/>
  <c r="H207" i="1"/>
  <c r="G208" i="1"/>
  <c r="F208" i="1"/>
  <c r="B208" i="1"/>
  <c r="Q184" i="1"/>
  <c r="L146" i="1"/>
  <c r="D146" i="1"/>
  <c r="J141" i="1"/>
  <c r="P50" i="1"/>
  <c r="O208" i="1"/>
  <c r="Q94" i="1"/>
  <c r="C79" i="1"/>
  <c r="Q41" i="1"/>
  <c r="Q40" i="1"/>
  <c r="Q71" i="1"/>
  <c r="E63" i="1"/>
  <c r="K331" i="1"/>
  <c r="E94" i="1"/>
  <c r="P146" i="1"/>
  <c r="O146" i="1"/>
  <c r="R183" i="1"/>
  <c r="D121" i="1"/>
  <c r="C222" i="1"/>
  <c r="J105" i="1"/>
  <c r="S208" i="1"/>
  <c r="R208" i="1"/>
  <c r="S19" i="1"/>
  <c r="C146" i="1"/>
  <c r="L40" i="1"/>
  <c r="D222" i="1"/>
  <c r="G206" i="1"/>
  <c r="J232" i="1"/>
  <c r="J118" i="1"/>
  <c r="E72" i="1"/>
  <c r="F78" i="1"/>
  <c r="G199" i="1"/>
  <c r="S330" i="1"/>
  <c r="Q330" i="1"/>
  <c r="N330" i="1"/>
  <c r="J330" i="1"/>
  <c r="H330" i="1"/>
  <c r="F330" i="1"/>
  <c r="F332" i="1"/>
  <c r="P331" i="1"/>
  <c r="Q332" i="1"/>
  <c r="L332" i="1"/>
  <c r="L331" i="1"/>
  <c r="M330" i="1"/>
  <c r="L330" i="1"/>
  <c r="K330" i="1"/>
  <c r="G330" i="1"/>
  <c r="E330" i="1"/>
  <c r="D330" i="1"/>
  <c r="C330" i="1"/>
  <c r="B330" i="1"/>
  <c r="J166" i="1"/>
  <c r="J165" i="1"/>
  <c r="I165" i="1"/>
  <c r="R182" i="1"/>
  <c r="T268" i="1"/>
  <c r="N331" i="1"/>
  <c r="O331" i="1"/>
  <c r="I104" i="1"/>
  <c r="L232" i="1"/>
  <c r="P167" i="1"/>
  <c r="O167" i="1"/>
  <c r="Q105" i="1"/>
  <c r="P105" i="1"/>
  <c r="M105" i="1"/>
  <c r="I105" i="1"/>
  <c r="F146" i="1"/>
  <c r="G146" i="1"/>
  <c r="D72" i="1"/>
  <c r="M17" i="1"/>
  <c r="I164" i="1"/>
  <c r="Q33" i="1"/>
  <c r="C17" i="1"/>
  <c r="L185" i="1"/>
  <c r="K79" i="1"/>
  <c r="M23" i="1"/>
  <c r="M24" i="1"/>
  <c r="K22" i="1"/>
  <c r="D21" i="1"/>
  <c r="C22" i="1"/>
  <c r="M71" i="1"/>
  <c r="L96" i="1"/>
  <c r="K97" i="1"/>
  <c r="C96" i="1"/>
  <c r="B287" i="1"/>
  <c r="L279" i="1"/>
  <c r="L261" i="1"/>
  <c r="L252" i="1"/>
  <c r="C251" i="1"/>
  <c r="L250" i="1"/>
  <c r="S176" i="1"/>
  <c r="I231" i="1"/>
  <c r="O232" i="1"/>
  <c r="H146" i="1"/>
  <c r="Q146" i="1"/>
  <c r="M345" i="1"/>
  <c r="B33" i="1"/>
  <c r="Q78" i="1"/>
  <c r="E22" i="1"/>
  <c r="G174" i="1"/>
  <c r="K17" i="1"/>
  <c r="B17" i="1"/>
  <c r="E21" i="1"/>
  <c r="C21" i="1"/>
  <c r="K20" i="1"/>
  <c r="C20" i="1"/>
  <c r="B20" i="1"/>
  <c r="I49" i="1"/>
  <c r="H193" i="1"/>
  <c r="S193" i="1"/>
  <c r="H32" i="1"/>
  <c r="R166" i="1"/>
  <c r="P17" i="1"/>
  <c r="J183" i="1"/>
  <c r="Q32" i="1"/>
  <c r="B302" i="1"/>
  <c r="D302" i="1"/>
  <c r="E302" i="1"/>
  <c r="F302" i="1"/>
  <c r="G302" i="1"/>
  <c r="H302" i="1"/>
  <c r="I302" i="1"/>
  <c r="M302" i="1"/>
  <c r="O302" i="1"/>
  <c r="R302" i="1"/>
  <c r="S302" i="1"/>
  <c r="R32" i="1"/>
  <c r="N277" i="1"/>
  <c r="J117" i="1"/>
  <c r="I117" i="1"/>
  <c r="P104" i="1"/>
  <c r="S222" i="1"/>
  <c r="H174" i="1"/>
  <c r="O17" i="1"/>
  <c r="F109" i="1"/>
  <c r="C23" i="1"/>
  <c r="L97" i="1"/>
  <c r="B97" i="1"/>
  <c r="K207" i="1"/>
  <c r="K184" i="1"/>
  <c r="P208" i="1"/>
  <c r="D109" i="1"/>
  <c r="K208" i="1"/>
  <c r="S20" i="1"/>
  <c r="C18" i="1"/>
  <c r="J140" i="1"/>
  <c r="B19" i="1"/>
  <c r="L18" i="1"/>
  <c r="O104" i="1"/>
  <c r="B199" i="1"/>
  <c r="N94" i="1"/>
  <c r="B18" i="1"/>
  <c r="M20" i="1"/>
  <c r="F338" i="1"/>
  <c r="E338" i="1"/>
  <c r="P94" i="1"/>
  <c r="K94" i="1"/>
  <c r="G94" i="1"/>
  <c r="F94" i="1"/>
  <c r="C94" i="1"/>
  <c r="B94" i="1"/>
  <c r="N105" i="1"/>
  <c r="R10" i="1"/>
  <c r="K71" i="1"/>
  <c r="D187" i="1"/>
  <c r="R193" i="1"/>
  <c r="Q167" i="1"/>
  <c r="G33" i="1"/>
  <c r="R167" i="1"/>
  <c r="J167" i="1"/>
  <c r="I167" i="1"/>
  <c r="S166" i="1"/>
  <c r="S165" i="1"/>
  <c r="K19" i="1"/>
  <c r="P277" i="1"/>
  <c r="G97" i="1"/>
  <c r="O24" i="1"/>
  <c r="Q174" i="1"/>
  <c r="M21" i="1"/>
  <c r="O11" i="1"/>
  <c r="H41" i="1"/>
  <c r="G41" i="1"/>
  <c r="R41" i="1"/>
  <c r="K294" i="1"/>
  <c r="B294" i="1"/>
  <c r="Q79" i="1"/>
  <c r="K232" i="1"/>
  <c r="G63" i="1"/>
  <c r="I183" i="1"/>
  <c r="I232" i="1"/>
  <c r="J17" i="1"/>
  <c r="P278" i="1"/>
  <c r="I208" i="1"/>
  <c r="H20" i="1"/>
  <c r="K206" i="1"/>
  <c r="R20" i="1"/>
  <c r="Q20" i="1"/>
  <c r="O20" i="1"/>
  <c r="N20" i="1"/>
  <c r="T19" i="1"/>
  <c r="F63" i="1"/>
  <c r="B78" i="1"/>
  <c r="E222" i="1"/>
  <c r="H199" i="1"/>
  <c r="J208" i="1"/>
  <c r="J206" i="1"/>
  <c r="S206" i="1"/>
  <c r="P206" i="1"/>
  <c r="M206" i="1"/>
  <c r="R222" i="1"/>
  <c r="S94" i="1"/>
  <c r="O278" i="1"/>
  <c r="N104" i="1"/>
  <c r="C243" i="1"/>
  <c r="O330" i="1"/>
  <c r="I185" i="1"/>
  <c r="Q206" i="1"/>
  <c r="I32" i="1"/>
  <c r="H78" i="1"/>
  <c r="I78" i="1"/>
  <c r="B174" i="1"/>
  <c r="J185" i="1"/>
  <c r="O79" i="1"/>
  <c r="I200" i="1"/>
  <c r="O49" i="1"/>
  <c r="I20" i="1"/>
  <c r="I94" i="1"/>
  <c r="L20" i="1"/>
  <c r="H33" i="1"/>
  <c r="S200" i="1"/>
  <c r="J200" i="1"/>
  <c r="L23" i="1"/>
  <c r="S79" i="1"/>
  <c r="J23" i="1"/>
  <c r="G96" i="1"/>
  <c r="H23" i="1"/>
  <c r="K23" i="1"/>
  <c r="H121" i="1"/>
  <c r="Q208" i="1"/>
  <c r="J20" i="1"/>
  <c r="N17" i="1"/>
  <c r="G23" i="1"/>
  <c r="D23" i="1"/>
  <c r="R184" i="1"/>
  <c r="G20" i="1"/>
  <c r="G21" i="1"/>
  <c r="O21" i="1"/>
  <c r="S207" i="1"/>
  <c r="F24" i="1"/>
  <c r="S184" i="1"/>
  <c r="P24" i="1"/>
  <c r="K24" i="1"/>
  <c r="B24" i="1"/>
  <c r="H109" i="1"/>
  <c r="G109" i="1"/>
  <c r="C109" i="1"/>
  <c r="B109" i="1"/>
  <c r="B23" i="1"/>
  <c r="G71" i="1"/>
  <c r="D63" i="1"/>
  <c r="F120" i="1"/>
  <c r="F97" i="1"/>
  <c r="Q11" i="1"/>
  <c r="F23" i="1"/>
  <c r="B120" i="1"/>
  <c r="D20" i="1"/>
  <c r="L63" i="1"/>
  <c r="F20" i="1"/>
  <c r="O23" i="1"/>
  <c r="B222" i="1"/>
  <c r="S23" i="1"/>
  <c r="R206" i="1"/>
  <c r="B206" i="1"/>
  <c r="R207" i="1"/>
  <c r="F111" i="1"/>
  <c r="E111" i="1"/>
  <c r="K63" i="1"/>
  <c r="O277" i="1"/>
  <c r="S167" i="1"/>
  <c r="H40" i="1"/>
  <c r="C111" i="1"/>
  <c r="H97" i="1"/>
  <c r="G79" i="1"/>
  <c r="J94" i="1"/>
  <c r="R17" i="1"/>
  <c r="J222" i="1"/>
  <c r="I222" i="1"/>
  <c r="G222" i="1"/>
  <c r="T146" i="1"/>
  <c r="T145" i="1"/>
  <c r="N24" i="1"/>
  <c r="F41" i="1"/>
  <c r="L352" i="1"/>
  <c r="K352" i="1"/>
  <c r="M352" i="1" s="1"/>
  <c r="N63" i="1"/>
  <c r="F187" i="1"/>
  <c r="L260" i="1"/>
  <c r="S21" i="1"/>
  <c r="J21" i="1"/>
  <c r="I21" i="1"/>
  <c r="H21" i="1"/>
  <c r="K32" i="1"/>
  <c r="E24" i="1"/>
  <c r="S41" i="1"/>
  <c r="P41" i="1"/>
  <c r="L338" i="1"/>
  <c r="K338" i="1"/>
  <c r="J338" i="1"/>
  <c r="D338" i="1"/>
  <c r="M338" i="1" s="1"/>
  <c r="Q97" i="1"/>
  <c r="R21" i="1"/>
  <c r="Q21" i="1"/>
  <c r="N21" i="1"/>
  <c r="K21" i="1"/>
  <c r="F21" i="1"/>
  <c r="B21" i="1"/>
  <c r="R24" i="1"/>
  <c r="P103" i="1"/>
  <c r="Q23" i="1"/>
  <c r="N96" i="1"/>
  <c r="D41" i="1"/>
  <c r="C244" i="1"/>
  <c r="K40" i="1"/>
  <c r="T199" i="1"/>
  <c r="B72" i="1"/>
  <c r="T332" i="1"/>
  <c r="T331" i="1"/>
  <c r="M232" i="1"/>
  <c r="R185" i="1"/>
  <c r="J41" i="1"/>
  <c r="I41" i="1"/>
  <c r="S24" i="1"/>
  <c r="D111" i="1"/>
  <c r="F121" i="1"/>
  <c r="T147" i="1"/>
  <c r="Q49" i="1"/>
  <c r="P49" i="1"/>
  <c r="F110" i="1"/>
  <c r="I207" i="1"/>
  <c r="J121" i="1"/>
  <c r="I121" i="1"/>
  <c r="S174" i="1"/>
  <c r="B40" i="1"/>
  <c r="M238" i="1"/>
  <c r="E41" i="1"/>
  <c r="N279" i="1"/>
  <c r="N186" i="1"/>
  <c r="M186" i="1"/>
  <c r="S71" i="1"/>
  <c r="I111" i="1"/>
  <c r="H112" i="1"/>
  <c r="H71" i="1"/>
  <c r="J174" i="1"/>
  <c r="R71" i="1"/>
  <c r="R105" i="1"/>
  <c r="T208" i="1"/>
  <c r="J207" i="1"/>
  <c r="T207" i="1"/>
  <c r="I206" i="1"/>
  <c r="T206" i="1"/>
  <c r="T209" i="1" s="1"/>
  <c r="P63" i="1"/>
  <c r="J33" i="1"/>
  <c r="Q25" i="1"/>
  <c r="O25" i="1"/>
  <c r="T144" i="1"/>
  <c r="T143" i="1"/>
  <c r="G112" i="1"/>
  <c r="B112" i="1"/>
  <c r="C97" i="1"/>
  <c r="I63" i="1"/>
  <c r="M63" i="1"/>
  <c r="Q24" i="1"/>
  <c r="D24" i="1"/>
  <c r="S185" i="1"/>
  <c r="Q50" i="1"/>
  <c r="P21" i="1"/>
  <c r="E96" i="1"/>
  <c r="I279" i="1"/>
  <c r="R23" i="1"/>
  <c r="G127" i="1"/>
  <c r="E127" i="1"/>
  <c r="D127" i="1"/>
  <c r="C127" i="1"/>
  <c r="P62" i="1"/>
  <c r="L62" i="1"/>
  <c r="I40" i="1"/>
  <c r="R40" i="1"/>
  <c r="C62" i="1"/>
  <c r="B62" i="1"/>
  <c r="F127" i="1"/>
  <c r="E62" i="1"/>
  <c r="G62" i="1"/>
  <c r="H62" i="1"/>
  <c r="R79" i="1"/>
  <c r="S62" i="1"/>
  <c r="R62" i="1"/>
  <c r="K62" i="1"/>
  <c r="J62" i="1"/>
  <c r="I62" i="1"/>
  <c r="F62" i="1"/>
  <c r="D62" i="1"/>
  <c r="E109" i="1"/>
  <c r="G187" i="1"/>
  <c r="E110" i="1"/>
  <c r="M279" i="1"/>
  <c r="K279" i="1"/>
  <c r="T186" i="1" l="1"/>
  <c r="T154" i="1"/>
  <c r="T155" i="1"/>
  <c r="T156" i="1"/>
  <c r="T302" i="1"/>
  <c r="T18" i="1"/>
  <c r="T142" i="1"/>
  <c r="T60" i="1"/>
  <c r="I24" i="1"/>
  <c r="T330" i="1"/>
  <c r="T333" i="1" s="1"/>
  <c r="P238" i="1"/>
  <c r="L238" i="1"/>
  <c r="F238" i="1"/>
  <c r="D238" i="1"/>
  <c r="C238" i="1"/>
  <c r="B238" i="1"/>
  <c r="T157" i="1" l="1"/>
  <c r="T193" i="1"/>
  <c r="I217" i="1"/>
  <c r="D96" i="1"/>
  <c r="H79" i="1"/>
  <c r="U86" i="1"/>
  <c r="K85" i="1"/>
  <c r="U85" i="1" s="1"/>
  <c r="J71" i="1"/>
  <c r="I71" i="1"/>
  <c r="J79" i="1"/>
  <c r="I79" i="1"/>
  <c r="R78" i="1"/>
  <c r="T103" i="1"/>
  <c r="J279" i="1"/>
  <c r="U88" i="1" l="1"/>
  <c r="V193" i="1"/>
  <c r="V194" i="1"/>
  <c r="H63" i="1" l="1"/>
  <c r="R104" i="1" l="1"/>
  <c r="R103" i="1"/>
  <c r="R106" i="1" s="1"/>
  <c r="S63" i="1"/>
  <c r="Q63" i="1"/>
  <c r="J63" i="1"/>
  <c r="T63" i="1" l="1"/>
  <c r="T61" i="1"/>
  <c r="P97" i="1" l="1"/>
  <c r="I17" i="1" l="1"/>
  <c r="R33" i="1" l="1"/>
  <c r="S17" i="1"/>
  <c r="P279" i="1" l="1"/>
  <c r="O279" i="1"/>
  <c r="H279" i="1"/>
  <c r="T141" i="1" l="1"/>
  <c r="T138" i="1"/>
  <c r="T136" i="1"/>
  <c r="T134" i="1"/>
  <c r="M96" i="1"/>
  <c r="N97" i="1"/>
  <c r="E23" i="1"/>
  <c r="J127" i="1"/>
  <c r="I127" i="1"/>
  <c r="H127" i="1"/>
  <c r="T137" i="1" l="1"/>
  <c r="T139" i="1"/>
  <c r="T140" i="1"/>
  <c r="T135" i="1"/>
  <c r="T133" i="1"/>
  <c r="K127" i="1"/>
  <c r="B110" i="1"/>
  <c r="H110" i="1"/>
  <c r="G110" i="1"/>
  <c r="T148" i="1" l="1"/>
  <c r="I97" i="1"/>
  <c r="I33" i="1" l="1"/>
  <c r="M97" i="1"/>
  <c r="I23" i="1"/>
  <c r="J110" i="1" l="1"/>
  <c r="I110" i="1"/>
  <c r="J112" i="1"/>
  <c r="I112" i="1"/>
  <c r="F112" i="1"/>
  <c r="K119" i="1" l="1"/>
  <c r="J109" i="1"/>
  <c r="I109" i="1"/>
  <c r="I120" i="1"/>
  <c r="H120" i="1"/>
  <c r="G120" i="1"/>
  <c r="E120" i="1"/>
  <c r="S40" i="1"/>
  <c r="J40" i="1"/>
  <c r="J24" i="1"/>
  <c r="H24" i="1"/>
  <c r="G24" i="1"/>
  <c r="J32" i="1"/>
  <c r="S22" i="1"/>
  <c r="R22" i="1"/>
  <c r="L22" i="1"/>
  <c r="J22" i="1"/>
  <c r="I22" i="1"/>
  <c r="H22" i="1"/>
  <c r="G22" i="1"/>
  <c r="F22" i="1"/>
  <c r="D22" i="1"/>
  <c r="B22" i="1"/>
  <c r="T23" i="1"/>
  <c r="J111" i="1"/>
  <c r="H111" i="1"/>
  <c r="G111" i="1"/>
  <c r="B111" i="1"/>
  <c r="K111" i="1" s="1"/>
  <c r="S96" i="1"/>
  <c r="K96" i="1"/>
  <c r="H96" i="1"/>
  <c r="F96" i="1"/>
  <c r="B96" i="1"/>
  <c r="S97" i="1"/>
  <c r="R97" i="1"/>
  <c r="O97" i="1"/>
  <c r="J97" i="1"/>
  <c r="E97" i="1"/>
  <c r="D97" i="1"/>
  <c r="T24" i="1" l="1"/>
  <c r="K121" i="1" l="1"/>
  <c r="K118" i="1"/>
  <c r="K110" i="1"/>
  <c r="J16" i="2"/>
  <c r="I16" i="2"/>
  <c r="H16" i="2"/>
  <c r="G16" i="2"/>
  <c r="F16" i="2"/>
  <c r="E16" i="2"/>
  <c r="D16" i="2"/>
  <c r="C16" i="2"/>
  <c r="I15" i="2" a="1"/>
  <c r="I15" i="2" s="1"/>
  <c r="H15" i="2"/>
  <c r="G15" i="2"/>
  <c r="F15" i="2"/>
  <c r="E15" i="2"/>
  <c r="D15" i="2"/>
  <c r="C15" i="2"/>
  <c r="B15" i="2"/>
  <c r="J14" i="2"/>
  <c r="G14" i="2"/>
  <c r="F14" i="2"/>
  <c r="E14" i="2"/>
  <c r="D14" i="2"/>
  <c r="C14" i="2"/>
  <c r="B14" i="2"/>
  <c r="J13" i="2"/>
  <c r="I13" i="2"/>
  <c r="H13" i="2"/>
  <c r="G13" i="2"/>
  <c r="F13" i="2"/>
  <c r="E13" i="2"/>
  <c r="D13" i="2"/>
  <c r="C13" i="2"/>
  <c r="B13" i="2"/>
  <c r="J12" i="2"/>
  <c r="I12" i="2"/>
  <c r="H12" i="2"/>
  <c r="G12" i="2"/>
  <c r="F12" i="2"/>
  <c r="E12" i="2"/>
  <c r="D12" i="2"/>
  <c r="C12" i="2"/>
  <c r="B12" i="2"/>
  <c r="J7" i="2"/>
  <c r="I7" i="2"/>
  <c r="H7" i="2"/>
  <c r="G7" i="2"/>
  <c r="E7" i="2"/>
  <c r="D7" i="2"/>
  <c r="C7" i="2"/>
  <c r="B7" i="2"/>
  <c r="K6" i="2"/>
  <c r="J5" i="2"/>
  <c r="I5" i="2"/>
  <c r="H5" i="2"/>
  <c r="C5" i="2"/>
  <c r="B5" i="2"/>
  <c r="J4" i="2"/>
  <c r="I4" i="2"/>
  <c r="H4" i="2"/>
  <c r="G4" i="2"/>
  <c r="E4" i="2"/>
  <c r="D4" i="2"/>
  <c r="C4" i="2"/>
  <c r="B4" i="2"/>
  <c r="K3" i="2"/>
  <c r="K120" i="1" l="1"/>
  <c r="K117" i="1"/>
  <c r="K109" i="1"/>
  <c r="K112" i="1"/>
  <c r="K16" i="2"/>
  <c r="K15" i="2"/>
  <c r="K14" i="2"/>
  <c r="K13" i="2"/>
  <c r="K12" i="2"/>
  <c r="K5" i="2"/>
  <c r="K4" i="2"/>
  <c r="K7" i="2"/>
  <c r="K17" i="2"/>
  <c r="K8" i="2"/>
  <c r="K122" i="1" l="1"/>
  <c r="K113" i="1"/>
  <c r="I324" i="1" l="1"/>
  <c r="F324" i="1"/>
  <c r="E324" i="1"/>
  <c r="D324" i="1"/>
  <c r="S320" i="1"/>
  <c r="S319" i="1"/>
  <c r="S318" i="1"/>
  <c r="S317" i="1"/>
  <c r="S316" i="1"/>
  <c r="S315" i="1"/>
  <c r="S321" i="1" s="1"/>
  <c r="L309" i="1"/>
  <c r="S308" i="1"/>
  <c r="S307" i="1"/>
  <c r="S306" i="1"/>
  <c r="S305" i="1"/>
  <c r="S304" i="1"/>
  <c r="S309" i="1" s="1"/>
  <c r="L259" i="1"/>
  <c r="L258" i="1"/>
  <c r="L257" i="1"/>
  <c r="L256" i="1"/>
  <c r="L255" i="1"/>
  <c r="L254" i="1"/>
  <c r="L253" i="1"/>
  <c r="L251" i="1"/>
  <c r="L262" i="1" s="1"/>
  <c r="L244" i="1"/>
  <c r="L243" i="1"/>
  <c r="R287" i="1"/>
  <c r="R286" i="1"/>
  <c r="R285" i="1"/>
  <c r="S238" i="1"/>
  <c r="R238" i="1"/>
  <c r="Q238" i="1"/>
  <c r="J238" i="1"/>
  <c r="I238" i="1"/>
  <c r="H238" i="1"/>
  <c r="G238" i="1"/>
  <c r="E238" i="1"/>
  <c r="R232" i="1" l="1"/>
  <c r="S294" i="1"/>
  <c r="L245" i="1"/>
  <c r="Q279" i="1"/>
  <c r="S293" i="1"/>
  <c r="Q288" i="1"/>
  <c r="Q277" i="1"/>
  <c r="Q278" i="1"/>
  <c r="R230" i="1"/>
  <c r="R231" i="1"/>
  <c r="T238" i="1"/>
  <c r="K217" i="1"/>
  <c r="T222" i="1"/>
  <c r="T223" i="1" s="1"/>
  <c r="T183" i="1"/>
  <c r="T184" i="1"/>
  <c r="T185" i="1"/>
  <c r="T187" i="1"/>
  <c r="T163" i="1"/>
  <c r="T176" i="1"/>
  <c r="T200" i="1"/>
  <c r="T201" i="1" s="1"/>
  <c r="T173" i="1"/>
  <c r="T174" i="1"/>
  <c r="T175" i="1"/>
  <c r="T182" i="1"/>
  <c r="T167" i="1"/>
  <c r="T166" i="1"/>
  <c r="T164" i="1"/>
  <c r="S295" i="1" l="1"/>
  <c r="Q280" i="1"/>
  <c r="R233" i="1"/>
  <c r="T177" i="1"/>
  <c r="T188" i="1"/>
  <c r="R49" i="1" l="1"/>
  <c r="R50" i="1"/>
  <c r="T40" i="1"/>
  <c r="T97" i="1"/>
  <c r="T96" i="1"/>
  <c r="T78" i="1"/>
  <c r="T72" i="1"/>
  <c r="T94" i="1"/>
  <c r="T41" i="1"/>
  <c r="T65" i="1"/>
  <c r="T66" i="1" s="1"/>
  <c r="T92" i="1"/>
  <c r="T71" i="1"/>
  <c r="T79" i="1"/>
  <c r="T32" i="1"/>
  <c r="T33" i="1"/>
  <c r="T21" i="1"/>
  <c r="T25" i="1"/>
  <c r="T22" i="1"/>
  <c r="T8" i="1"/>
  <c r="T10" i="1"/>
  <c r="T20" i="1"/>
  <c r="T17" i="1"/>
  <c r="T11" i="1"/>
  <c r="T98" i="1" l="1"/>
  <c r="T12" i="1"/>
  <c r="R51" i="1"/>
  <c r="T42" i="1"/>
  <c r="T80" i="1"/>
  <c r="T73" i="1"/>
  <c r="T34" i="1"/>
  <c r="T26" i="1"/>
  <c r="T165" i="1" l="1"/>
  <c r="T168" i="1" s="1"/>
  <c r="M62" i="1"/>
  <c r="T62" i="1"/>
</calcChain>
</file>

<file path=xl/sharedStrings.xml><?xml version="1.0" encoding="utf-8"?>
<sst xmlns="http://schemas.openxmlformats.org/spreadsheetml/2006/main" count="17251" uniqueCount="181">
  <si>
    <t xml:space="preserve"> </t>
  </si>
  <si>
    <t>CHALECO SHELL</t>
  </si>
  <si>
    <t>GENERO</t>
  </si>
  <si>
    <t>DAMA</t>
  </si>
  <si>
    <t>CABALLERO</t>
  </si>
  <si>
    <t>COLOR / TALLA</t>
  </si>
  <si>
    <t>XCH</t>
  </si>
  <si>
    <t>S</t>
  </si>
  <si>
    <t>M</t>
  </si>
  <si>
    <t>L</t>
  </si>
  <si>
    <t>XL</t>
  </si>
  <si>
    <t>2X</t>
  </si>
  <si>
    <t>3X</t>
  </si>
  <si>
    <t>4X</t>
  </si>
  <si>
    <t>5X</t>
  </si>
  <si>
    <t>TOTAL</t>
  </si>
  <si>
    <t>NEGRO</t>
  </si>
  <si>
    <t>MARINO 2026</t>
  </si>
  <si>
    <t xml:space="preserve">MARINO </t>
  </si>
  <si>
    <t>ROJO</t>
  </si>
  <si>
    <t>CHALECO FIT</t>
  </si>
  <si>
    <t>CH</t>
  </si>
  <si>
    <t xml:space="preserve">NEGRO </t>
  </si>
  <si>
    <t>NEGRO 2026</t>
  </si>
  <si>
    <t>GRIS</t>
  </si>
  <si>
    <t>VERDE</t>
  </si>
  <si>
    <t xml:space="preserve">VINO </t>
  </si>
  <si>
    <t>NARANJA</t>
  </si>
  <si>
    <t xml:space="preserve">EXISTENCIA EN TLAXCALA, CONFIRMAR TALLAS </t>
  </si>
  <si>
    <t xml:space="preserve">CHALECO HYDRO </t>
  </si>
  <si>
    <t>MARINO</t>
  </si>
  <si>
    <t>CHALECO CHIC 2024</t>
  </si>
  <si>
    <t xml:space="preserve">CHALECO FULL </t>
  </si>
  <si>
    <t>Tallas / Modelo</t>
  </si>
  <si>
    <t xml:space="preserve">                     UNISEX</t>
  </si>
  <si>
    <t>Total</t>
  </si>
  <si>
    <t>2XL</t>
  </si>
  <si>
    <t>3XL</t>
  </si>
  <si>
    <t>4XL</t>
  </si>
  <si>
    <t>5XL</t>
  </si>
  <si>
    <t>MARINO 2025</t>
  </si>
  <si>
    <t>CHAMARRAS</t>
  </si>
  <si>
    <t>CHAMARRA SHELL 2023</t>
  </si>
  <si>
    <t>MARINO S/PUNTO</t>
  </si>
  <si>
    <t>MARINO PUNTO ROSA</t>
  </si>
  <si>
    <t xml:space="preserve">CHAMARRA CHIC </t>
  </si>
  <si>
    <t xml:space="preserve">CHAMARRA HYDRO </t>
  </si>
  <si>
    <t xml:space="preserve">GENERO </t>
  </si>
  <si>
    <t xml:space="preserve">TOTAL </t>
  </si>
  <si>
    <t xml:space="preserve">CHAMARRA ATRACTIVE  </t>
  </si>
  <si>
    <t>XXCH</t>
  </si>
  <si>
    <t>CHAMARRA REACTION</t>
  </si>
  <si>
    <t>ROJA</t>
  </si>
  <si>
    <t xml:space="preserve">CHAMARRA FULL </t>
  </si>
  <si>
    <t>UNISEX</t>
  </si>
  <si>
    <t>6xl</t>
  </si>
  <si>
    <t>MARINO OBSCURO</t>
  </si>
  <si>
    <t>ROMPEVIENTOS SOF NEW / TELA PLASTIFICADA</t>
  </si>
  <si>
    <t>BLANCO</t>
  </si>
  <si>
    <t xml:space="preserve">ROJO  </t>
  </si>
  <si>
    <t xml:space="preserve">ROMPEVIENTOS SOF NEW / TELA MEMORI </t>
  </si>
  <si>
    <t>BLANCO A.</t>
  </si>
  <si>
    <t>CHAMARRA CAPITONADA</t>
  </si>
  <si>
    <t>BLUSAS Y CAMISAS</t>
  </si>
  <si>
    <t xml:space="preserve">BLUSA Y CAMISA PESCADORA </t>
  </si>
  <si>
    <t>ARENA</t>
  </si>
  <si>
    <t>VINO</t>
  </si>
  <si>
    <t>GRIS PERLA</t>
  </si>
  <si>
    <t>A. CIELO</t>
  </si>
  <si>
    <t>VERDE MILITAR</t>
  </si>
  <si>
    <t>REY</t>
  </si>
  <si>
    <t>ROSA</t>
  </si>
  <si>
    <t>GRIS ACERO</t>
  </si>
  <si>
    <t>LILA</t>
  </si>
  <si>
    <t>PETROLEO</t>
  </si>
  <si>
    <t>PISTACHE</t>
  </si>
  <si>
    <t>BLUSA Y CAMISA PESCADORA MANGA CORTA</t>
  </si>
  <si>
    <t xml:space="preserve">                                                                                                                                CABALLERO</t>
  </si>
  <si>
    <t>BLANCA</t>
  </si>
  <si>
    <t xml:space="preserve">BLUSA Y CAMISA VERONA </t>
  </si>
  <si>
    <t>A. FRANCIA</t>
  </si>
  <si>
    <t>ROJO  2023</t>
  </si>
  <si>
    <t xml:space="preserve">BLUSA Y CAMISA OXFORD </t>
  </si>
  <si>
    <t>PAJA</t>
  </si>
  <si>
    <t xml:space="preserve">BLUSA Y CAMISA MEETING </t>
  </si>
  <si>
    <t>AZUL FRANCIA</t>
  </si>
  <si>
    <t>LILA VIEJO</t>
  </si>
  <si>
    <t>BLUSA Y CAMISA MEZCLILLA 7.5 oz</t>
  </si>
  <si>
    <t>6X</t>
  </si>
  <si>
    <t>7X</t>
  </si>
  <si>
    <t>PRODUCCIÒN</t>
  </si>
  <si>
    <t>STONE</t>
  </si>
  <si>
    <t xml:space="preserve">  </t>
  </si>
  <si>
    <t>BLUSA Y CAMISA AMALFI</t>
  </si>
  <si>
    <t xml:space="preserve">AZUL </t>
  </si>
  <si>
    <t>TELA X LLEGAR</t>
  </si>
  <si>
    <t>BLUSA Y CAMISA TURIN</t>
  </si>
  <si>
    <t>AZUL. CIELO</t>
  </si>
  <si>
    <t>LINEA SECURITY</t>
  </si>
  <si>
    <t xml:space="preserve">CAMISOLA DE SEGURIDAD / GABARDINA </t>
  </si>
  <si>
    <t>GABARDINA MARINO-AMARILLO NEON</t>
  </si>
  <si>
    <t>BLUSA Y CAMISA MEZCLILLA SECURITY 7.5 oz</t>
  </si>
  <si>
    <t>STONE / MEZCLILLA</t>
  </si>
  <si>
    <t>CHALECO SECURITY</t>
  </si>
  <si>
    <t>AMARILLO</t>
  </si>
  <si>
    <t>BLUSA Y CAMISA PESCADORA C/REFLEJANTE</t>
  </si>
  <si>
    <t>CHALECO ALTA VISIBILIDAD</t>
  </si>
  <si>
    <t>MODELO</t>
  </si>
  <si>
    <t>UNITALLA</t>
  </si>
  <si>
    <t>NARANJA S4</t>
  </si>
  <si>
    <t>NEON C6</t>
  </si>
  <si>
    <t>CHALECO BRIGADISTA</t>
  </si>
  <si>
    <t xml:space="preserve"> A. NEON   </t>
  </si>
  <si>
    <t>KAKI</t>
  </si>
  <si>
    <t xml:space="preserve">AZUL REY  OBSCURO </t>
  </si>
  <si>
    <t xml:space="preserve">AZUL REY CLARO </t>
  </si>
  <si>
    <t xml:space="preserve"> PANTALON MEZCLILLA C/REFLEJANTE</t>
  </si>
  <si>
    <t xml:space="preserve">CABALLERO </t>
  </si>
  <si>
    <t>TALLAS</t>
  </si>
  <si>
    <t>PANTALON MEZCLILLA</t>
  </si>
  <si>
    <t>LINEA CHEF</t>
  </si>
  <si>
    <t>FILIPINA BASIC</t>
  </si>
  <si>
    <t>Color</t>
  </si>
  <si>
    <t xml:space="preserve">BLANCO </t>
  </si>
  <si>
    <t xml:space="preserve">XXCH </t>
  </si>
  <si>
    <t xml:space="preserve">   </t>
  </si>
  <si>
    <t>MANDIL LONETA</t>
  </si>
  <si>
    <t xml:space="preserve">COLOR </t>
  </si>
  <si>
    <t>Mandil Larry</t>
  </si>
  <si>
    <t>COLOR</t>
  </si>
  <si>
    <t>CORTO</t>
  </si>
  <si>
    <t xml:space="preserve">LARGO </t>
  </si>
  <si>
    <t xml:space="preserve"> PANTALON MEZCLILLA</t>
  </si>
  <si>
    <t xml:space="preserve">NARANJA </t>
  </si>
  <si>
    <t xml:space="preserve">VERDE NEON </t>
  </si>
  <si>
    <t xml:space="preserve">TURQUESA </t>
  </si>
  <si>
    <t>.</t>
  </si>
  <si>
    <t>CHALECO MEXICO</t>
  </si>
  <si>
    <t>COLORES:</t>
  </si>
  <si>
    <t>TALLAS / UNISEX</t>
  </si>
  <si>
    <t>G</t>
  </si>
  <si>
    <t>XXL</t>
  </si>
  <si>
    <t>TOTAL:</t>
  </si>
  <si>
    <t>MARINO S/REFLEJANTE</t>
  </si>
  <si>
    <t xml:space="preserve"> CASTORES</t>
  </si>
  <si>
    <t>CHALECO HYDRO</t>
  </si>
  <si>
    <t>CHAMARRA FULL</t>
  </si>
  <si>
    <t>CHAMARRA SHELL</t>
  </si>
  <si>
    <t>PLAYERA SUBLIMADA MEXICO</t>
  </si>
  <si>
    <t>PLAYERA MEXICO</t>
  </si>
  <si>
    <t>T-2</t>
  </si>
  <si>
    <t>T-4</t>
  </si>
  <si>
    <t>T-6</t>
  </si>
  <si>
    <t>T-8</t>
  </si>
  <si>
    <t>T-10</t>
  </si>
  <si>
    <t>T-12</t>
  </si>
  <si>
    <t>T-14</t>
  </si>
  <si>
    <t>T-16</t>
  </si>
  <si>
    <t>T-18</t>
  </si>
  <si>
    <t>PLAYERA MEXICO NIÑO</t>
  </si>
  <si>
    <t>CHAMARRA SUBLIMADO MEXICO</t>
  </si>
  <si>
    <t xml:space="preserve"> MEXICO</t>
  </si>
  <si>
    <t>STOCK</t>
  </si>
  <si>
    <t>-</t>
  </si>
  <si>
    <t>PEDIDOS</t>
  </si>
  <si>
    <t>FECHA</t>
  </si>
  <si>
    <t>FOLIO</t>
  </si>
  <si>
    <t>SURTIDOR</t>
  </si>
  <si>
    <t>CANTIDAD DE PRENDAS</t>
  </si>
  <si>
    <t>FECHA DE SURTIDO</t>
  </si>
  <si>
    <t>CANTIDAD DE PRENDAS SURTIDAS BORDADAS</t>
  </si>
  <si>
    <t>CANTIDAD DE PRENDAS SURTIDAS S/ BORDAR</t>
  </si>
  <si>
    <t>TOTAL DE PRENDAS SURTIDAS</t>
  </si>
  <si>
    <t>FECHA DE ENTREGA AL CLIENTE</t>
  </si>
  <si>
    <t>RECIBIO</t>
  </si>
  <si>
    <t>NOE</t>
  </si>
  <si>
    <t>ANDREA</t>
  </si>
  <si>
    <t>JOSE</t>
  </si>
  <si>
    <t>ROMPEVIENTOS SOF NEW</t>
  </si>
  <si>
    <t xml:space="preserve">BLANCO  </t>
  </si>
  <si>
    <t>BLANCO TONO 2 HUESO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</si>
</sst>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;[Red]\(#,##0\);&quot;-&quot;"/>
    <numFmt numFmtId="165" formatCode="_-* #,##0_-;\-* #,##0_-;_-* &quot;-&quot;_-;_-@"/>
  </numFmts>
  <fonts count="90">
    <font>
      <sz val="11"/>
      <color theme="1"/>
      <name val="Aptos Narrow"/>
      <family val="2"/>
      <scheme val="minor"/>
    </font>
    <font>
      <b/>
      <sz val="16"/>
      <name val="Biome"/>
      <family val="2"/>
    </font>
    <font>
      <sz val="16"/>
      <name val="Biome"/>
      <family val="2"/>
    </font>
    <font>
      <sz val="12"/>
      <name val="Arial"/>
      <family val="2"/>
    </font>
    <font>
      <b/>
      <sz val="12"/>
      <name val="Arial"/>
      <family val="2"/>
    </font>
    <font>
      <sz val="16"/>
      <color rgb="FFFF0000"/>
      <name val="Biome"/>
      <family val="2"/>
    </font>
    <font>
      <sz val="9"/>
      <name val="Arial"/>
      <family val="2"/>
    </font>
    <font>
      <b/>
      <sz val="16"/>
      <color theme="3" tint="0.499984740745262"/>
      <name val="Biome"/>
      <family val="2"/>
    </font>
    <font>
      <b/>
      <sz val="36"/>
      <name val="Arial Black"/>
      <family val="2"/>
    </font>
    <font>
      <sz val="12"/>
      <color theme="1"/>
      <name val="Arial"/>
      <family val="2"/>
    </font>
    <font>
      <sz val="24"/>
      <color theme="1"/>
      <name val="Aptos Narrow"/>
      <family val="2"/>
      <scheme val="minor"/>
    </font>
    <font>
      <sz val="20"/>
      <name val="Biome"/>
      <family val="2"/>
    </font>
    <font>
      <sz val="20"/>
      <name val="Arial Black"/>
      <family val="2"/>
    </font>
    <font>
      <b/>
      <sz val="20"/>
      <name val="Arial Black"/>
      <family val="2"/>
    </font>
    <font>
      <sz val="48"/>
      <color theme="1"/>
      <name val="Arial Black"/>
      <family val="2"/>
    </font>
    <font>
      <sz val="48"/>
      <name val="Aptos Black"/>
      <family val="2"/>
    </font>
    <font>
      <sz val="8"/>
      <name val="Biome"/>
      <family val="2"/>
    </font>
    <font>
      <b/>
      <sz val="16"/>
      <name val="Arial"/>
      <family val="2"/>
    </font>
    <font>
      <sz val="16"/>
      <color theme="0"/>
      <name val="Biome"/>
      <family val="2"/>
    </font>
    <font>
      <b/>
      <sz val="48"/>
      <name val="Arial Black"/>
      <family val="2"/>
    </font>
    <font>
      <sz val="48"/>
      <name val="Biome"/>
      <family val="2"/>
    </font>
    <font>
      <b/>
      <sz val="18"/>
      <name val="Biome"/>
      <family val="2"/>
    </font>
    <font>
      <sz val="28"/>
      <color theme="1"/>
      <name val="Arial Black"/>
      <family val="2"/>
    </font>
    <font>
      <sz val="12"/>
      <name val="Biome"/>
      <family val="2"/>
    </font>
    <font>
      <sz val="16"/>
      <name val="Arial"/>
      <family val="2"/>
    </font>
    <font>
      <sz val="10"/>
      <name val="Arial"/>
      <family val="2"/>
    </font>
    <font>
      <sz val="18"/>
      <color theme="1"/>
      <name val="Aptos Narrow"/>
      <family val="2"/>
      <scheme val="minor"/>
    </font>
    <font>
      <b/>
      <sz val="8"/>
      <color theme="3" tint="0.499984740745262"/>
      <name val="Biome"/>
      <family val="2"/>
    </font>
    <font>
      <b/>
      <sz val="28"/>
      <color rgb="FF000000"/>
      <name val="Arial Black"/>
      <family val="2"/>
    </font>
    <font>
      <b/>
      <sz val="20"/>
      <name val="Biome"/>
      <family val="2"/>
    </font>
    <font>
      <b/>
      <sz val="20"/>
      <color rgb="FF000000"/>
      <name val="Aharoni"/>
    </font>
    <font>
      <b/>
      <sz val="20"/>
      <name val="Aharoni"/>
    </font>
    <font>
      <b/>
      <sz val="16"/>
      <name val="Aharoni"/>
    </font>
    <font>
      <b/>
      <sz val="18"/>
      <color rgb="FF000000"/>
      <name val="Biome"/>
    </font>
    <font>
      <b/>
      <sz val="20"/>
      <name val="Arial"/>
      <family val="2"/>
    </font>
    <font>
      <b/>
      <sz val="16"/>
      <name val="Arial"/>
    </font>
    <font>
      <sz val="28"/>
      <name val="Arial Black"/>
    </font>
    <font>
      <b/>
      <sz val="28"/>
      <name val="Arial Black"/>
    </font>
    <font>
      <sz val="20"/>
      <name val="Aharoni"/>
    </font>
    <font>
      <b/>
      <sz val="20"/>
      <name val="Biome"/>
    </font>
    <font>
      <b/>
      <sz val="16"/>
      <name val="Abadi"/>
    </font>
    <font>
      <b/>
      <sz val="20"/>
      <color rgb="FF000000"/>
      <name val="Biome"/>
      <family val="2"/>
    </font>
    <font>
      <b/>
      <sz val="20"/>
      <color rgb="FF000000"/>
      <name val="Arial Black"/>
    </font>
    <font>
      <b/>
      <sz val="28"/>
      <color rgb="FF000000"/>
      <name val="Arial Black"/>
    </font>
    <font>
      <b/>
      <sz val="20"/>
      <name val="Abadi"/>
    </font>
    <font>
      <b/>
      <sz val="20"/>
      <name val="Arial Black"/>
    </font>
    <font>
      <b/>
      <sz val="18"/>
      <name val="Aharoni"/>
    </font>
    <font>
      <sz val="24"/>
      <color theme="1"/>
      <name val="Arial Black"/>
    </font>
    <font>
      <b/>
      <sz val="20"/>
      <color theme="1"/>
      <name val="Biome"/>
      <family val="2"/>
    </font>
    <font>
      <b/>
      <sz val="18"/>
      <name val="Aptos Narrow"/>
      <scheme val="minor"/>
    </font>
    <font>
      <b/>
      <sz val="16"/>
      <color theme="1"/>
      <name val="Biome"/>
      <family val="2"/>
    </font>
    <font>
      <b/>
      <sz val="20"/>
      <name val="Aptos Narrow"/>
      <scheme val="minor"/>
    </font>
    <font>
      <b/>
      <sz val="18"/>
      <name val="Arial"/>
      <family val="2"/>
    </font>
    <font>
      <b/>
      <sz val="11"/>
      <color theme="1"/>
      <name val="Aptos Narrow"/>
      <family val="2"/>
      <scheme val="minor"/>
    </font>
    <font>
      <b/>
      <sz val="16"/>
      <name val="Biome"/>
    </font>
    <font>
      <b/>
      <sz val="20"/>
      <color theme="1"/>
      <name val="Arial Black"/>
      <family val="2"/>
    </font>
    <font>
      <b/>
      <sz val="20"/>
      <color rgb="FF000000"/>
      <name val="Aharoni"/>
      <charset val="1"/>
    </font>
    <font>
      <b/>
      <sz val="14"/>
      <color theme="1"/>
      <name val="Aptos Narrow"/>
      <family val="2"/>
      <scheme val="minor"/>
    </font>
    <font>
      <b/>
      <sz val="16"/>
      <color theme="1"/>
      <name val="Aptos Narrow"/>
      <family val="2"/>
      <scheme val="minor"/>
    </font>
    <font>
      <b/>
      <sz val="8"/>
      <name val="Arial"/>
      <family val="2"/>
    </font>
    <font>
      <b/>
      <sz val="9"/>
      <name val="Arial"/>
      <family val="2"/>
    </font>
    <font>
      <sz val="16"/>
      <name val="Arial Black"/>
    </font>
    <font>
      <b/>
      <sz val="20"/>
      <name val="Aptos Black"/>
      <family val="2"/>
    </font>
    <font>
      <b/>
      <sz val="12"/>
      <color theme="1"/>
      <name val="Arial"/>
      <family val="2"/>
    </font>
    <font>
      <b/>
      <sz val="20"/>
      <color theme="1"/>
      <name val="Aptos Narrow"/>
      <family val="2"/>
      <scheme val="minor"/>
    </font>
    <font>
      <b/>
      <sz val="20"/>
      <color theme="1"/>
      <name val="Arial Black"/>
    </font>
    <font>
      <b/>
      <sz val="16"/>
      <color rgb="FF000000"/>
      <name val="Biome"/>
      <family val="2"/>
    </font>
    <font>
      <sz val="20"/>
      <color theme="1"/>
      <name val="Aptos Narrow"/>
      <family val="2"/>
      <scheme val="minor"/>
    </font>
    <font>
      <sz val="20"/>
      <color theme="1"/>
      <name val="Aharoni"/>
    </font>
    <font>
      <b/>
      <sz val="20"/>
      <color theme="1"/>
      <name val="Aharoni"/>
    </font>
    <font>
      <b/>
      <sz val="20"/>
      <color theme="1"/>
      <name val="Arial"/>
      <family val="2"/>
    </font>
    <font>
      <b/>
      <sz val="16"/>
      <name val="Aptos Narrow"/>
      <scheme val="minor"/>
    </font>
    <font>
      <b/>
      <sz val="16"/>
      <color theme="1"/>
      <name val="Arial"/>
      <family val="2"/>
    </font>
    <font>
      <sz val="18"/>
      <name val="Biome"/>
      <family val="2"/>
    </font>
    <font>
      <sz val="10"/>
      <name val="Arial Black"/>
      <family val="2"/>
    </font>
    <font>
      <sz val="22"/>
      <name val="Arial Black"/>
      <family val="2"/>
    </font>
    <font>
      <b/>
      <sz val="18"/>
      <name val="Aharoni"/>
      <charset val="177"/>
    </font>
    <font>
      <sz val="14"/>
      <name val="Aptos Black"/>
      <family val="2"/>
    </font>
    <font>
      <b/>
      <sz val="14"/>
      <name val="Biome"/>
      <family val="2"/>
    </font>
    <font>
      <sz val="11"/>
      <name val="Aptos Black"/>
      <family val="2"/>
    </font>
    <font>
      <b/>
      <sz val="10"/>
      <color rgb="FF006100"/>
      <name val="Biome"/>
      <family val="2"/>
    </font>
    <font>
      <b/>
      <sz val="10"/>
      <name val="Biome"/>
      <family val="2"/>
    </font>
    <font>
      <b/>
      <sz val="10"/>
      <color rgb="FF006100"/>
      <name val="Aptos Narrow"/>
      <family val="2"/>
      <scheme val="minor"/>
    </font>
    <font>
      <b/>
      <sz val="36"/>
      <color theme="1"/>
      <name val="Aptos Black"/>
      <family val="2"/>
    </font>
    <font>
      <b/>
      <sz val="10"/>
      <color rgb="FF000000"/>
      <name val="Aptos Black"/>
      <family val="2"/>
    </font>
    <font>
      <b/>
      <sz val="11"/>
      <color rgb="FF000000"/>
      <name val="Aptos Narrow"/>
      <family val="2"/>
      <scheme val="minor"/>
    </font>
    <font>
      <b/>
      <sz val="20"/>
      <color theme="1"/>
      <name val="Aptos Display"/>
      <scheme val="major"/>
    </font>
    <font>
      <b/>
      <sz val="20"/>
      <color rgb="FF242424"/>
      <name val="Aptos Display"/>
      <scheme val="major"/>
    </font>
    <font>
      <b/>
      <sz val="20"/>
      <name val="Aptos Display"/>
      <scheme val="major"/>
    </font>
    <font>
      <b/>
      <sz val="18"/>
      <color rgb="FF242424"/>
      <name val="Consolas"/>
      <charset val="1"/>
    </font>
  </fonts>
  <fills count="2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FFCCCC"/>
      </patternFill>
    </fill>
    <fill>
      <patternFill patternType="solid">
        <fgColor theme="8" tint="0.79998168889431442"/>
        <bgColor rgb="FFFFCCCC"/>
      </patternFill>
    </fill>
    <fill>
      <patternFill patternType="solid">
        <fgColor theme="0"/>
        <bgColor rgb="FFE7E6E6"/>
      </patternFill>
    </fill>
    <fill>
      <patternFill patternType="solid">
        <fgColor theme="0"/>
        <bgColor theme="0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74999237037263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3" tint="0.749992370372631"/>
        <bgColor rgb="FFFFCCCC"/>
      </patternFill>
    </fill>
    <fill>
      <patternFill patternType="solid">
        <fgColor theme="3" tint="0.749992370372631"/>
        <bgColor rgb="FFE7E6E6"/>
      </patternFill>
    </fill>
    <fill>
      <patternFill patternType="solid">
        <fgColor theme="0"/>
        <bgColor rgb="FF1BA1CB"/>
      </patternFill>
    </fill>
    <fill>
      <patternFill patternType="solid">
        <fgColor theme="0"/>
        <bgColor rgb="FFFFC000"/>
      </patternFill>
    </fill>
    <fill>
      <patternFill patternType="solid">
        <fgColor theme="0"/>
        <bgColor rgb="FF7030A0"/>
      </patternFill>
    </fill>
    <fill>
      <patternFill patternType="solid">
        <fgColor rgb="FF00B0F0"/>
        <bgColor rgb="FFFFCCCC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79998168889431442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6EFCE"/>
        <bgColor rgb="FF000000"/>
      </patternFill>
    </fill>
    <fill>
      <patternFill patternType="solid">
        <fgColor rgb="FFFFFF00"/>
        <bgColor indexed="64"/>
      </patternFill>
    </fill>
  </fills>
  <borders count="42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auto="1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theme="5"/>
      </left>
      <right/>
      <top/>
      <bottom/>
      <diagonal/>
    </border>
    <border>
      <left style="thin">
        <color theme="5"/>
      </left>
      <right/>
      <top/>
      <bottom style="thin">
        <color indexed="64"/>
      </bottom>
      <diagonal/>
    </border>
    <border>
      <left style="medium">
        <color rgb="FF000000"/>
      </left>
      <right style="thin">
        <color auto="1"/>
      </right>
      <top style="medium">
        <color rgb="FF000000"/>
      </top>
      <bottom style="thin">
        <color auto="1"/>
      </bottom>
      <diagonal/>
    </border>
    <border>
      <left style="thin">
        <color auto="1"/>
      </left>
      <right/>
      <top style="medium">
        <color rgb="FF000000"/>
      </top>
      <bottom style="thin">
        <color auto="1"/>
      </bottom>
      <diagonal/>
    </border>
    <border>
      <left/>
      <right/>
      <top style="medium">
        <color rgb="FF000000"/>
      </top>
      <bottom style="thin">
        <color auto="1"/>
      </bottom>
      <diagonal/>
    </border>
    <border>
      <left/>
      <right style="medium">
        <color rgb="FF000000"/>
      </right>
      <top style="medium">
        <color rgb="FF000000"/>
      </top>
      <bottom style="thin">
        <color auto="1"/>
      </bottom>
      <diagonal/>
    </border>
    <border>
      <left style="medium">
        <color rgb="FF00000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auto="1"/>
      </right>
      <top style="thin">
        <color auto="1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medium">
        <color rgb="FF000000"/>
      </bottom>
      <diagonal/>
    </border>
    <border>
      <left style="thin">
        <color indexed="64"/>
      </left>
      <right/>
      <top style="thin">
        <color indexed="64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auto="1"/>
      </bottom>
      <diagonal/>
    </border>
    <border>
      <left style="medium">
        <color rgb="FF000000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medium">
        <color rgb="FF000000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1">
    <xf numFmtId="0" fontId="0" fillId="0" borderId="0"/>
  </cellStyleXfs>
  <cellXfs count="456">
    <xf numFmtId="0" fontId="0" fillId="0" borderId="0" xfId="0"/>
    <xf numFmtId="0" fontId="2" fillId="0" borderId="0" xfId="0" applyFont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164" fontId="2" fillId="2" borderId="2" xfId="0" applyNumberFormat="1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165" fontId="2" fillId="2" borderId="0" xfId="0" applyNumberFormat="1" applyFont="1" applyFill="1" applyAlignment="1">
      <alignment horizontal="center" vertical="center"/>
    </xf>
    <xf numFmtId="165" fontId="2" fillId="5" borderId="2" xfId="0" applyNumberFormat="1" applyFont="1" applyFill="1" applyBorder="1" applyAlignment="1">
      <alignment horizontal="center" vertical="center"/>
    </xf>
    <xf numFmtId="0" fontId="6" fillId="3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horizontal="center" vertical="center"/>
    </xf>
    <xf numFmtId="164" fontId="2" fillId="2" borderId="0" xfId="0" applyNumberFormat="1" applyFont="1" applyFill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3" fillId="3" borderId="0" xfId="0" applyFont="1" applyFill="1" applyAlignment="1">
      <alignment horizontal="center" vertical="center"/>
    </xf>
    <xf numFmtId="164" fontId="2" fillId="5" borderId="0" xfId="0" applyNumberFormat="1" applyFont="1" applyFill="1" applyAlignment="1">
      <alignment horizontal="center" vertical="center"/>
    </xf>
    <xf numFmtId="164" fontId="2" fillId="5" borderId="0" xfId="0" quotePrefix="1" applyNumberFormat="1" applyFont="1" applyFill="1" applyAlignment="1">
      <alignment horizontal="center" vertical="center"/>
    </xf>
    <xf numFmtId="164" fontId="2" fillId="0" borderId="0" xfId="0" applyNumberFormat="1" applyFont="1" applyAlignment="1">
      <alignment horizontal="center" vertical="center"/>
    </xf>
    <xf numFmtId="0" fontId="9" fillId="0" borderId="0" xfId="0" applyFont="1"/>
    <xf numFmtId="0" fontId="1" fillId="2" borderId="0" xfId="0" applyFont="1" applyFill="1" applyAlignment="1">
      <alignment horizontal="center" vertical="center"/>
    </xf>
    <xf numFmtId="0" fontId="3" fillId="6" borderId="0" xfId="0" applyFont="1" applyFill="1" applyAlignment="1">
      <alignment horizontal="center" vertical="center"/>
    </xf>
    <xf numFmtId="0" fontId="10" fillId="0" borderId="0" xfId="0" applyFont="1" applyAlignment="1">
      <alignment vertical="center"/>
    </xf>
    <xf numFmtId="164" fontId="1" fillId="9" borderId="2" xfId="0" applyNumberFormat="1" applyFont="1" applyFill="1" applyBorder="1" applyAlignment="1">
      <alignment horizontal="center" vertical="center"/>
    </xf>
    <xf numFmtId="0" fontId="2" fillId="2" borderId="2" xfId="0" applyFont="1" applyFill="1" applyBorder="1" applyAlignment="1">
      <alignment vertical="center"/>
    </xf>
    <xf numFmtId="0" fontId="0" fillId="0" borderId="0" xfId="0" applyAlignment="1">
      <alignment horizontal="right"/>
    </xf>
    <xf numFmtId="0" fontId="1" fillId="2" borderId="2" xfId="0" applyFont="1" applyFill="1" applyBorder="1" applyAlignment="1">
      <alignment horizontal="right" vertical="center"/>
    </xf>
    <xf numFmtId="165" fontId="2" fillId="2" borderId="0" xfId="0" applyNumberFormat="1" applyFont="1" applyFill="1" applyAlignment="1">
      <alignment horizontal="right" vertical="center"/>
    </xf>
    <xf numFmtId="0" fontId="2" fillId="2" borderId="0" xfId="0" applyFont="1" applyFill="1" applyAlignment="1">
      <alignment horizontal="right" vertical="center"/>
    </xf>
    <xf numFmtId="164" fontId="2" fillId="5" borderId="0" xfId="0" applyNumberFormat="1" applyFont="1" applyFill="1" applyAlignment="1">
      <alignment horizontal="right" vertical="center"/>
    </xf>
    <xf numFmtId="0" fontId="1" fillId="2" borderId="0" xfId="0" applyFont="1" applyFill="1" applyAlignment="1">
      <alignment horizontal="right" vertical="center"/>
    </xf>
    <xf numFmtId="0" fontId="1" fillId="2" borderId="5" xfId="0" applyFont="1" applyFill="1" applyBorder="1" applyAlignment="1">
      <alignment horizontal="right" vertical="center"/>
    </xf>
    <xf numFmtId="0" fontId="6" fillId="4" borderId="0" xfId="0" applyFont="1" applyFill="1" applyAlignment="1">
      <alignment horizontal="center" vertical="center" wrapText="1"/>
    </xf>
    <xf numFmtId="165" fontId="12" fillId="5" borderId="0" xfId="0" applyNumberFormat="1" applyFont="1" applyFill="1" applyAlignment="1">
      <alignment horizontal="center" vertical="center"/>
    </xf>
    <xf numFmtId="0" fontId="8" fillId="2" borderId="7" xfId="0" applyFont="1" applyFill="1" applyBorder="1" applyAlignment="1">
      <alignment vertical="center"/>
    </xf>
    <xf numFmtId="0" fontId="8" fillId="2" borderId="11" xfId="0" applyFont="1" applyFill="1" applyBorder="1" applyAlignment="1">
      <alignment vertical="center"/>
    </xf>
    <xf numFmtId="0" fontId="2" fillId="6" borderId="0" xfId="0" applyFont="1" applyFill="1" applyAlignment="1">
      <alignment horizontal="center" vertical="center"/>
    </xf>
    <xf numFmtId="0" fontId="3" fillId="2" borderId="0" xfId="0" applyFont="1" applyFill="1" applyAlignment="1">
      <alignment vertical="center"/>
    </xf>
    <xf numFmtId="0" fontId="3" fillId="3" borderId="12" xfId="0" applyFont="1" applyFill="1" applyBorder="1" applyAlignment="1">
      <alignment horizontal="center" vertical="center"/>
    </xf>
    <xf numFmtId="0" fontId="3" fillId="3" borderId="9" xfId="0" applyFont="1" applyFill="1" applyBorder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left" vertical="center"/>
    </xf>
    <xf numFmtId="165" fontId="18" fillId="5" borderId="0" xfId="0" applyNumberFormat="1" applyFont="1" applyFill="1" applyAlignment="1">
      <alignment horizontal="center" vertical="center"/>
    </xf>
    <xf numFmtId="0" fontId="17" fillId="2" borderId="0" xfId="0" applyFont="1" applyFill="1" applyAlignment="1">
      <alignment vertical="center"/>
    </xf>
    <xf numFmtId="0" fontId="2" fillId="0" borderId="0" xfId="0" applyFont="1" applyAlignment="1">
      <alignment vertical="center"/>
    </xf>
    <xf numFmtId="165" fontId="2" fillId="5" borderId="0" xfId="0" applyNumberFormat="1" applyFont="1" applyFill="1" applyAlignment="1">
      <alignment horizontal="center" vertical="center"/>
    </xf>
    <xf numFmtId="0" fontId="3" fillId="12" borderId="0" xfId="0" applyFont="1" applyFill="1" applyAlignment="1">
      <alignment vertical="center"/>
    </xf>
    <xf numFmtId="0" fontId="1" fillId="12" borderId="0" xfId="0" applyFont="1" applyFill="1" applyAlignment="1">
      <alignment vertical="center"/>
    </xf>
    <xf numFmtId="0" fontId="3" fillId="13" borderId="0" xfId="0" applyFont="1" applyFill="1" applyAlignment="1">
      <alignment horizontal="center" vertical="center"/>
    </xf>
    <xf numFmtId="165" fontId="2" fillId="0" borderId="0" xfId="0" applyNumberFormat="1" applyFont="1" applyAlignment="1">
      <alignment horizontal="center" vertical="center"/>
    </xf>
    <xf numFmtId="0" fontId="1" fillId="14" borderId="0" xfId="0" applyFont="1" applyFill="1" applyAlignment="1">
      <alignment vertical="center"/>
    </xf>
    <xf numFmtId="0" fontId="1" fillId="14" borderId="0" xfId="0" applyFont="1" applyFill="1" applyAlignment="1">
      <alignment horizontal="center" vertical="center"/>
    </xf>
    <xf numFmtId="164" fontId="20" fillId="2" borderId="0" xfId="0" applyNumberFormat="1" applyFont="1" applyFill="1" applyAlignment="1">
      <alignment horizontal="center" vertical="center"/>
    </xf>
    <xf numFmtId="0" fontId="3" fillId="0" borderId="0" xfId="0" applyFont="1" applyAlignment="1">
      <alignment horizontal="center" vertical="center"/>
    </xf>
    <xf numFmtId="165" fontId="2" fillId="5" borderId="9" xfId="0" applyNumberFormat="1" applyFont="1" applyFill="1" applyBorder="1" applyAlignment="1">
      <alignment horizontal="center" vertical="center"/>
    </xf>
    <xf numFmtId="14" fontId="2" fillId="2" borderId="0" xfId="0" applyNumberFormat="1" applyFont="1" applyFill="1" applyAlignment="1">
      <alignment horizontal="center" vertical="center"/>
    </xf>
    <xf numFmtId="165" fontId="11" fillId="2" borderId="22" xfId="0" applyNumberFormat="1" applyFont="1" applyFill="1" applyBorder="1" applyAlignment="1">
      <alignment horizontal="center" vertical="center"/>
    </xf>
    <xf numFmtId="165" fontId="11" fillId="2" borderId="0" xfId="0" applyNumberFormat="1" applyFont="1" applyFill="1" applyAlignment="1">
      <alignment horizontal="center" vertical="center"/>
    </xf>
    <xf numFmtId="0" fontId="21" fillId="2" borderId="2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17" fillId="2" borderId="2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23" fillId="2" borderId="0" xfId="0" applyFont="1" applyFill="1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24" fillId="2" borderId="2" xfId="0" applyFont="1" applyFill="1" applyBorder="1" applyAlignment="1">
      <alignment horizontal="center" vertical="center"/>
    </xf>
    <xf numFmtId="0" fontId="25" fillId="3" borderId="2" xfId="0" applyFont="1" applyFill="1" applyBorder="1" applyAlignment="1">
      <alignment horizontal="center" vertical="center"/>
    </xf>
    <xf numFmtId="164" fontId="2" fillId="16" borderId="2" xfId="0" applyNumberFormat="1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vertical="center"/>
    </xf>
    <xf numFmtId="164" fontId="0" fillId="0" borderId="0" xfId="0" applyNumberFormat="1"/>
    <xf numFmtId="164" fontId="26" fillId="0" borderId="0" xfId="0" applyNumberFormat="1" applyFont="1"/>
    <xf numFmtId="0" fontId="2" fillId="0" borderId="0" xfId="0" applyFont="1" applyAlignment="1">
      <alignment horizontal="center" vertical="center" wrapText="1"/>
    </xf>
    <xf numFmtId="0" fontId="16" fillId="2" borderId="0" xfId="0" applyFont="1" applyFill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27" fillId="0" borderId="0" xfId="0" applyFont="1" applyAlignment="1">
      <alignment horizontal="center" vertical="center" wrapText="1"/>
    </xf>
    <xf numFmtId="0" fontId="0" fillId="0" borderId="0" xfId="0" applyAlignment="1">
      <alignment wrapText="1"/>
    </xf>
    <xf numFmtId="0" fontId="1" fillId="2" borderId="4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2" fillId="2" borderId="18" xfId="0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horizontal="center" vertical="center"/>
    </xf>
    <xf numFmtId="0" fontId="31" fillId="2" borderId="3" xfId="0" applyFont="1" applyFill="1" applyBorder="1" applyAlignment="1">
      <alignment horizontal="center" vertical="center"/>
    </xf>
    <xf numFmtId="0" fontId="31" fillId="2" borderId="4" xfId="0" applyFont="1" applyFill="1" applyBorder="1" applyAlignment="1">
      <alignment horizontal="center" vertical="center"/>
    </xf>
    <xf numFmtId="0" fontId="31" fillId="2" borderId="5" xfId="0" applyFont="1" applyFill="1" applyBorder="1" applyAlignment="1">
      <alignment horizontal="center" vertical="center"/>
    </xf>
    <xf numFmtId="0" fontId="29" fillId="8" borderId="2" xfId="0" applyFont="1" applyFill="1" applyBorder="1" applyAlignment="1">
      <alignment horizontal="center" vertical="center"/>
    </xf>
    <xf numFmtId="0" fontId="29" fillId="2" borderId="2" xfId="0" applyFont="1" applyFill="1" applyBorder="1" applyAlignment="1">
      <alignment horizontal="center" vertical="center"/>
    </xf>
    <xf numFmtId="0" fontId="34" fillId="2" borderId="5" xfId="0" applyFont="1" applyFill="1" applyBorder="1" applyAlignment="1">
      <alignment horizontal="center" vertical="center"/>
    </xf>
    <xf numFmtId="0" fontId="17" fillId="8" borderId="12" xfId="0" applyFont="1" applyFill="1" applyBorder="1" applyAlignment="1">
      <alignment horizontal="center" vertical="center"/>
    </xf>
    <xf numFmtId="0" fontId="35" fillId="8" borderId="38" xfId="0" applyFont="1" applyFill="1" applyBorder="1" applyAlignment="1">
      <alignment horizontal="center" vertical="center"/>
    </xf>
    <xf numFmtId="0" fontId="35" fillId="8" borderId="6" xfId="0" applyFont="1" applyFill="1" applyBorder="1" applyAlignment="1">
      <alignment horizontal="center" vertical="center"/>
    </xf>
    <xf numFmtId="0" fontId="38" fillId="2" borderId="2" xfId="0" applyFont="1" applyFill="1" applyBorder="1" applyAlignment="1">
      <alignment horizontal="center" vertical="center"/>
    </xf>
    <xf numFmtId="0" fontId="38" fillId="2" borderId="5" xfId="0" applyFont="1" applyFill="1" applyBorder="1" applyAlignment="1">
      <alignment horizontal="center" vertical="center"/>
    </xf>
    <xf numFmtId="0" fontId="39" fillId="2" borderId="2" xfId="0" applyFont="1" applyFill="1" applyBorder="1" applyAlignment="1">
      <alignment horizontal="center" vertical="center"/>
    </xf>
    <xf numFmtId="0" fontId="39" fillId="8" borderId="18" xfId="0" applyFont="1" applyFill="1" applyBorder="1" applyAlignment="1">
      <alignment horizontal="center" vertical="center"/>
    </xf>
    <xf numFmtId="0" fontId="32" fillId="8" borderId="12" xfId="0" applyFont="1" applyFill="1" applyBorder="1" applyAlignment="1">
      <alignment horizontal="center" vertical="center"/>
    </xf>
    <xf numFmtId="0" fontId="29" fillId="8" borderId="7" xfId="0" applyFont="1" applyFill="1" applyBorder="1" applyAlignment="1">
      <alignment horizontal="center" vertical="center"/>
    </xf>
    <xf numFmtId="0" fontId="29" fillId="8" borderId="6" xfId="0" applyFont="1" applyFill="1" applyBorder="1" applyAlignment="1">
      <alignment horizontal="center" vertical="center"/>
    </xf>
    <xf numFmtId="0" fontId="45" fillId="2" borderId="5" xfId="0" applyFont="1" applyFill="1" applyBorder="1" applyAlignment="1">
      <alignment horizontal="center" vertical="center"/>
    </xf>
    <xf numFmtId="0" fontId="46" fillId="2" borderId="21" xfId="0" applyFont="1" applyFill="1" applyBorder="1" applyAlignment="1">
      <alignment horizontal="center" vertical="center"/>
    </xf>
    <xf numFmtId="0" fontId="29" fillId="2" borderId="5" xfId="0" applyFont="1" applyFill="1" applyBorder="1" applyAlignment="1">
      <alignment horizontal="center" vertical="center"/>
    </xf>
    <xf numFmtId="0" fontId="29" fillId="2" borderId="3" xfId="0" applyFont="1" applyFill="1" applyBorder="1" applyAlignment="1">
      <alignment horizontal="center" vertical="center"/>
    </xf>
    <xf numFmtId="0" fontId="34" fillId="2" borderId="2" xfId="0" applyFont="1" applyFill="1" applyBorder="1" applyAlignment="1">
      <alignment horizontal="center" vertical="center"/>
    </xf>
    <xf numFmtId="164" fontId="48" fillId="8" borderId="2" xfId="0" applyNumberFormat="1" applyFont="1" applyFill="1" applyBorder="1" applyAlignment="1">
      <alignment horizontal="center" vertical="center"/>
    </xf>
    <xf numFmtId="165" fontId="29" fillId="8" borderId="2" xfId="0" applyNumberFormat="1" applyFont="1" applyFill="1" applyBorder="1" applyAlignment="1">
      <alignment horizontal="center" vertical="center"/>
    </xf>
    <xf numFmtId="0" fontId="31" fillId="2" borderId="2" xfId="0" applyFont="1" applyFill="1" applyBorder="1" applyAlignment="1">
      <alignment horizontal="center" vertical="center"/>
    </xf>
    <xf numFmtId="0" fontId="51" fillId="2" borderId="2" xfId="0" applyFont="1" applyFill="1" applyBorder="1" applyAlignment="1">
      <alignment horizontal="center" vertical="center"/>
    </xf>
    <xf numFmtId="0" fontId="52" fillId="2" borderId="5" xfId="0" applyFont="1" applyFill="1" applyBorder="1" applyAlignment="1">
      <alignment horizontal="center" vertical="center"/>
    </xf>
    <xf numFmtId="164" fontId="1" fillId="8" borderId="2" xfId="0" applyNumberFormat="1" applyFont="1" applyFill="1" applyBorder="1" applyAlignment="1">
      <alignment horizontal="center" vertical="center"/>
    </xf>
    <xf numFmtId="164" fontId="29" fillId="8" borderId="2" xfId="0" applyNumberFormat="1" applyFont="1" applyFill="1" applyBorder="1" applyAlignment="1">
      <alignment horizontal="center" vertical="center"/>
    </xf>
    <xf numFmtId="165" fontId="48" fillId="8" borderId="2" xfId="0" applyNumberFormat="1" applyFont="1" applyFill="1" applyBorder="1" applyAlignment="1">
      <alignment horizontal="center" vertical="center"/>
    </xf>
    <xf numFmtId="0" fontId="31" fillId="2" borderId="2" xfId="0" applyFont="1" applyFill="1" applyBorder="1" applyAlignment="1">
      <alignment vertical="center"/>
    </xf>
    <xf numFmtId="164" fontId="1" fillId="0" borderId="9" xfId="0" applyNumberFormat="1" applyFont="1" applyBorder="1" applyAlignment="1">
      <alignment horizontal="center" vertical="center"/>
    </xf>
    <xf numFmtId="164" fontId="1" fillId="0" borderId="2" xfId="0" applyNumberFormat="1" applyFont="1" applyBorder="1" applyAlignment="1">
      <alignment horizontal="center" vertical="center"/>
    </xf>
    <xf numFmtId="164" fontId="1" fillId="2" borderId="2" xfId="0" applyNumberFormat="1" applyFont="1" applyFill="1" applyBorder="1" applyAlignment="1">
      <alignment horizontal="center" vertical="center"/>
    </xf>
    <xf numFmtId="0" fontId="53" fillId="0" borderId="38" xfId="0" applyFont="1" applyBorder="1"/>
    <xf numFmtId="164" fontId="54" fillId="0" borderId="5" xfId="0" applyNumberFormat="1" applyFont="1" applyBorder="1" applyAlignment="1">
      <alignment horizontal="center" vertical="center"/>
    </xf>
    <xf numFmtId="164" fontId="54" fillId="0" borderId="2" xfId="0" applyNumberFormat="1" applyFont="1" applyBorder="1" applyAlignment="1">
      <alignment horizontal="center" vertical="center"/>
    </xf>
    <xf numFmtId="164" fontId="54" fillId="8" borderId="2" xfId="0" applyNumberFormat="1" applyFont="1" applyFill="1" applyBorder="1" applyAlignment="1">
      <alignment horizontal="center" vertical="center"/>
    </xf>
    <xf numFmtId="164" fontId="54" fillId="0" borderId="1" xfId="0" applyNumberFormat="1" applyFont="1" applyBorder="1" applyAlignment="1">
      <alignment horizontal="center" vertical="center"/>
    </xf>
    <xf numFmtId="164" fontId="54" fillId="2" borderId="2" xfId="0" applyNumberFormat="1" applyFont="1" applyFill="1" applyBorder="1" applyAlignment="1">
      <alignment horizontal="center" vertical="center"/>
    </xf>
    <xf numFmtId="0" fontId="1" fillId="2" borderId="9" xfId="0" applyFont="1" applyFill="1" applyBorder="1" applyAlignment="1">
      <alignment horizontal="center" vertical="center"/>
    </xf>
    <xf numFmtId="164" fontId="1" fillId="2" borderId="2" xfId="0" applyNumberFormat="1" applyFont="1" applyFill="1" applyBorder="1" applyAlignment="1">
      <alignment vertical="center"/>
    </xf>
    <xf numFmtId="164" fontId="1" fillId="2" borderId="9" xfId="0" applyNumberFormat="1" applyFont="1" applyFill="1" applyBorder="1" applyAlignment="1">
      <alignment vertical="center"/>
    </xf>
    <xf numFmtId="164" fontId="50" fillId="2" borderId="2" xfId="0" applyNumberFormat="1" applyFont="1" applyFill="1" applyBorder="1" applyAlignment="1">
      <alignment horizontal="center" vertical="center"/>
    </xf>
    <xf numFmtId="165" fontId="1" fillId="5" borderId="2" xfId="0" applyNumberFormat="1" applyFont="1" applyFill="1" applyBorder="1" applyAlignment="1">
      <alignment vertical="center"/>
    </xf>
    <xf numFmtId="0" fontId="1" fillId="3" borderId="0" xfId="0" applyFont="1" applyFill="1" applyAlignment="1">
      <alignment horizontal="center" vertical="center"/>
    </xf>
    <xf numFmtId="0" fontId="52" fillId="2" borderId="2" xfId="0" applyFont="1" applyFill="1" applyBorder="1" applyAlignment="1">
      <alignment horizontal="center" vertical="center"/>
    </xf>
    <xf numFmtId="164" fontId="1" fillId="5" borderId="2" xfId="0" applyNumberFormat="1" applyFont="1" applyFill="1" applyBorder="1" applyAlignment="1">
      <alignment horizontal="center" vertical="center"/>
    </xf>
    <xf numFmtId="0" fontId="16" fillId="2" borderId="2" xfId="0" applyFont="1" applyFill="1" applyBorder="1" applyAlignment="1">
      <alignment horizontal="center" vertical="center" wrapText="1"/>
    </xf>
    <xf numFmtId="0" fontId="53" fillId="0" borderId="0" xfId="0" applyFont="1"/>
    <xf numFmtId="0" fontId="40" fillId="8" borderId="9" xfId="0" applyFont="1" applyFill="1" applyBorder="1" applyAlignment="1">
      <alignment horizontal="center" vertical="center" wrapText="1"/>
    </xf>
    <xf numFmtId="0" fontId="44" fillId="8" borderId="5" xfId="0" applyFont="1" applyFill="1" applyBorder="1" applyAlignment="1">
      <alignment horizontal="center" vertical="center"/>
    </xf>
    <xf numFmtId="0" fontId="39" fillId="8" borderId="5" xfId="0" applyFont="1" applyFill="1" applyBorder="1" applyAlignment="1">
      <alignment horizontal="center" vertical="center"/>
    </xf>
    <xf numFmtId="0" fontId="52" fillId="8" borderId="5" xfId="0" applyFont="1" applyFill="1" applyBorder="1" applyAlignment="1">
      <alignment horizontal="center" vertical="center"/>
    </xf>
    <xf numFmtId="0" fontId="52" fillId="8" borderId="2" xfId="0" applyFont="1" applyFill="1" applyBorder="1" applyAlignment="1">
      <alignment horizontal="center" vertical="center" wrapText="1"/>
    </xf>
    <xf numFmtId="164" fontId="55" fillId="8" borderId="2" xfId="0" applyNumberFormat="1" applyFont="1" applyFill="1" applyBorder="1" applyAlignment="1">
      <alignment horizontal="center" vertical="center"/>
    </xf>
    <xf numFmtId="0" fontId="56" fillId="0" borderId="0" xfId="0" applyFont="1"/>
    <xf numFmtId="164" fontId="1" fillId="2" borderId="3" xfId="0" applyNumberFormat="1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1" fillId="6" borderId="0" xfId="0" applyFont="1" applyFill="1" applyAlignment="1">
      <alignment horizontal="center" vertical="center"/>
    </xf>
    <xf numFmtId="164" fontId="13" fillId="8" borderId="2" xfId="0" applyNumberFormat="1" applyFont="1" applyFill="1" applyBorder="1" applyAlignment="1">
      <alignment horizontal="center" vertical="center"/>
    </xf>
    <xf numFmtId="0" fontId="52" fillId="8" borderId="5" xfId="0" applyFont="1" applyFill="1" applyBorder="1" applyAlignment="1">
      <alignment horizontal="center" vertical="center" wrapText="1"/>
    </xf>
    <xf numFmtId="164" fontId="1" fillId="2" borderId="2" xfId="0" applyNumberFormat="1" applyFont="1" applyFill="1" applyBorder="1" applyAlignment="1">
      <alignment horizontal="right" vertical="center"/>
    </xf>
    <xf numFmtId="0" fontId="57" fillId="0" borderId="0" xfId="0" applyFont="1" applyAlignment="1">
      <alignment horizontal="center" vertical="center"/>
    </xf>
    <xf numFmtId="0" fontId="58" fillId="0" borderId="0" xfId="0" applyFont="1" applyAlignment="1">
      <alignment horizontal="center" vertical="center"/>
    </xf>
    <xf numFmtId="164" fontId="55" fillId="8" borderId="2" xfId="0" applyNumberFormat="1" applyFont="1" applyFill="1" applyBorder="1" applyAlignment="1">
      <alignment horizontal="right" vertical="center"/>
    </xf>
    <xf numFmtId="0" fontId="29" fillId="2" borderId="2" xfId="0" applyFont="1" applyFill="1" applyBorder="1" applyAlignment="1">
      <alignment horizontal="right" vertical="center"/>
    </xf>
    <xf numFmtId="164" fontId="1" fillId="2" borderId="9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17" borderId="41" xfId="0" applyFont="1" applyFill="1" applyBorder="1" applyAlignment="1">
      <alignment horizontal="center" vertical="center"/>
    </xf>
    <xf numFmtId="164" fontId="1" fillId="17" borderId="41" xfId="0" applyNumberFormat="1" applyFont="1" applyFill="1" applyBorder="1" applyAlignment="1">
      <alignment horizontal="center" vertical="center"/>
    </xf>
    <xf numFmtId="164" fontId="1" fillId="17" borderId="12" xfId="0" applyNumberFormat="1" applyFont="1" applyFill="1" applyBorder="1" applyAlignment="1">
      <alignment horizontal="center" vertical="center"/>
    </xf>
    <xf numFmtId="164" fontId="1" fillId="17" borderId="9" xfId="0" applyNumberFormat="1" applyFont="1" applyFill="1" applyBorder="1" applyAlignment="1">
      <alignment horizontal="center" vertical="center"/>
    </xf>
    <xf numFmtId="0" fontId="1" fillId="17" borderId="0" xfId="0" applyFont="1" applyFill="1" applyAlignment="1">
      <alignment horizontal="center" vertical="center"/>
    </xf>
    <xf numFmtId="0" fontId="1" fillId="7" borderId="38" xfId="0" applyFont="1" applyFill="1" applyBorder="1" applyAlignment="1">
      <alignment horizontal="center" vertical="center"/>
    </xf>
    <xf numFmtId="164" fontId="1" fillId="7" borderId="38" xfId="0" applyNumberFormat="1" applyFont="1" applyFill="1" applyBorder="1" applyAlignment="1">
      <alignment horizontal="center" vertical="center"/>
    </xf>
    <xf numFmtId="164" fontId="1" fillId="2" borderId="5" xfId="0" applyNumberFormat="1" applyFont="1" applyFill="1" applyBorder="1" applyAlignment="1">
      <alignment horizontal="right" vertical="center"/>
    </xf>
    <xf numFmtId="164" fontId="1" fillId="2" borderId="1" xfId="0" applyNumberFormat="1" applyFont="1" applyFill="1" applyBorder="1" applyAlignment="1">
      <alignment horizontal="center" vertical="center"/>
    </xf>
    <xf numFmtId="164" fontId="54" fillId="2" borderId="1" xfId="0" applyNumberFormat="1" applyFont="1" applyFill="1" applyBorder="1" applyAlignment="1">
      <alignment horizontal="center" vertical="center"/>
    </xf>
    <xf numFmtId="0" fontId="59" fillId="2" borderId="0" xfId="0" applyFont="1" applyFill="1" applyAlignment="1">
      <alignment horizontal="center" vertical="center"/>
    </xf>
    <xf numFmtId="164" fontId="1" fillId="2" borderId="0" xfId="0" applyNumberFormat="1" applyFont="1" applyFill="1" applyAlignment="1">
      <alignment horizontal="center" vertical="center"/>
    </xf>
    <xf numFmtId="164" fontId="13" fillId="8" borderId="2" xfId="0" applyNumberFormat="1" applyFont="1" applyFill="1" applyBorder="1" applyAlignment="1">
      <alignment horizontal="right" vertical="center"/>
    </xf>
    <xf numFmtId="0" fontId="52" fillId="8" borderId="3" xfId="0" applyFont="1" applyFill="1" applyBorder="1" applyAlignment="1">
      <alignment horizontal="center" vertical="center"/>
    </xf>
    <xf numFmtId="0" fontId="52" fillId="8" borderId="2" xfId="0" applyFont="1" applyFill="1" applyBorder="1" applyAlignment="1">
      <alignment horizontal="center" vertical="center"/>
    </xf>
    <xf numFmtId="0" fontId="45" fillId="8" borderId="11" xfId="0" applyFont="1" applyFill="1" applyBorder="1" applyAlignment="1">
      <alignment horizontal="center" vertical="center"/>
    </xf>
    <xf numFmtId="0" fontId="45" fillId="8" borderId="6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165" fontId="1" fillId="5" borderId="2" xfId="0" applyNumberFormat="1" applyFont="1" applyFill="1" applyBorder="1" applyAlignment="1">
      <alignment horizontal="right" vertical="center"/>
    </xf>
    <xf numFmtId="165" fontId="55" fillId="8" borderId="2" xfId="0" applyNumberFormat="1" applyFont="1" applyFill="1" applyBorder="1" applyAlignment="1">
      <alignment horizontal="right" vertical="center"/>
    </xf>
    <xf numFmtId="0" fontId="34" fillId="2" borderId="2" xfId="0" applyFont="1" applyFill="1" applyBorder="1" applyAlignment="1">
      <alignment vertical="center"/>
    </xf>
    <xf numFmtId="0" fontId="11" fillId="0" borderId="0" xfId="0" applyFont="1" applyAlignment="1">
      <alignment horizontal="center" vertical="center"/>
    </xf>
    <xf numFmtId="0" fontId="60" fillId="3" borderId="8" xfId="0" applyFont="1" applyFill="1" applyBorder="1" applyAlignment="1">
      <alignment horizontal="center" vertical="center" wrapText="1"/>
    </xf>
    <xf numFmtId="164" fontId="1" fillId="3" borderId="8" xfId="0" applyNumberFormat="1" applyFont="1" applyFill="1" applyBorder="1" applyAlignment="1">
      <alignment horizontal="center" vertical="center" wrapText="1"/>
    </xf>
    <xf numFmtId="165" fontId="13" fillId="10" borderId="2" xfId="0" applyNumberFormat="1" applyFont="1" applyFill="1" applyBorder="1" applyAlignment="1">
      <alignment horizontal="right" vertical="center" wrapText="1"/>
    </xf>
    <xf numFmtId="0" fontId="60" fillId="3" borderId="0" xfId="0" applyFont="1" applyFill="1" applyAlignment="1">
      <alignment horizontal="center" vertical="center" wrapText="1"/>
    </xf>
    <xf numFmtId="0" fontId="1" fillId="3" borderId="0" xfId="0" applyFont="1" applyFill="1" applyAlignment="1">
      <alignment horizontal="center" vertical="center" wrapText="1"/>
    </xf>
    <xf numFmtId="0" fontId="1" fillId="3" borderId="0" xfId="0" applyFont="1" applyFill="1" applyAlignment="1">
      <alignment horizontal="right" vertical="center" wrapText="1"/>
    </xf>
    <xf numFmtId="0" fontId="38" fillId="0" borderId="0" xfId="0" applyFont="1" applyAlignment="1">
      <alignment horizontal="center" vertical="center"/>
    </xf>
    <xf numFmtId="0" fontId="61" fillId="2" borderId="0" xfId="0" applyFont="1" applyFill="1" applyAlignment="1">
      <alignment horizontal="right" vertical="center"/>
    </xf>
    <xf numFmtId="0" fontId="61" fillId="0" borderId="0" xfId="0" applyFont="1" applyAlignment="1">
      <alignment horizontal="center" vertical="center"/>
    </xf>
    <xf numFmtId="0" fontId="38" fillId="2" borderId="0" xfId="0" applyFont="1" applyFill="1" applyAlignment="1">
      <alignment horizontal="right" vertical="center"/>
    </xf>
    <xf numFmtId="0" fontId="11" fillId="2" borderId="0" xfId="0" applyFont="1" applyFill="1" applyAlignment="1">
      <alignment horizontal="right" vertical="center"/>
    </xf>
    <xf numFmtId="0" fontId="38" fillId="2" borderId="25" xfId="0" applyFont="1" applyFill="1" applyBorder="1" applyAlignment="1">
      <alignment vertical="center"/>
    </xf>
    <xf numFmtId="0" fontId="49" fillId="8" borderId="29" xfId="0" applyFont="1" applyFill="1" applyBorder="1" applyAlignment="1">
      <alignment horizontal="center" vertical="center" wrapText="1"/>
    </xf>
    <xf numFmtId="0" fontId="49" fillId="8" borderId="36" xfId="0" applyFont="1" applyFill="1" applyBorder="1" applyAlignment="1">
      <alignment horizontal="center" vertical="center" wrapText="1"/>
    </xf>
    <xf numFmtId="0" fontId="45" fillId="2" borderId="29" xfId="0" applyFont="1" applyFill="1" applyBorder="1" applyAlignment="1">
      <alignment horizontal="center" vertical="center"/>
    </xf>
    <xf numFmtId="0" fontId="45" fillId="2" borderId="2" xfId="0" applyFont="1" applyFill="1" applyBorder="1" applyAlignment="1">
      <alignment vertical="center"/>
    </xf>
    <xf numFmtId="164" fontId="1" fillId="5" borderId="30" xfId="0" applyNumberFormat="1" applyFont="1" applyFill="1" applyBorder="1" applyAlignment="1">
      <alignment horizontal="center" vertical="center"/>
    </xf>
    <xf numFmtId="164" fontId="1" fillId="2" borderId="30" xfId="0" applyNumberFormat="1" applyFont="1" applyFill="1" applyBorder="1" applyAlignment="1">
      <alignment horizontal="center" vertical="center"/>
    </xf>
    <xf numFmtId="164" fontId="1" fillId="2" borderId="37" xfId="0" applyNumberFormat="1" applyFont="1" applyFill="1" applyBorder="1" applyAlignment="1">
      <alignment horizontal="center" vertical="center"/>
    </xf>
    <xf numFmtId="164" fontId="1" fillId="5" borderId="9" xfId="0" applyNumberFormat="1" applyFont="1" applyFill="1" applyBorder="1" applyAlignment="1">
      <alignment horizontal="center" vertical="center"/>
    </xf>
    <xf numFmtId="164" fontId="29" fillId="8" borderId="2" xfId="0" applyNumberFormat="1" applyFont="1" applyFill="1" applyBorder="1" applyAlignment="1">
      <alignment horizontal="right" vertical="center"/>
    </xf>
    <xf numFmtId="164" fontId="1" fillId="5" borderId="0" xfId="0" applyNumberFormat="1" applyFont="1" applyFill="1" applyAlignment="1">
      <alignment horizontal="center" vertical="center"/>
    </xf>
    <xf numFmtId="164" fontId="1" fillId="5" borderId="0" xfId="0" quotePrefix="1" applyNumberFormat="1" applyFont="1" applyFill="1" applyAlignment="1">
      <alignment horizontal="center" vertical="center"/>
    </xf>
    <xf numFmtId="164" fontId="62" fillId="8" borderId="1" xfId="0" applyNumberFormat="1" applyFont="1" applyFill="1" applyBorder="1" applyAlignment="1">
      <alignment horizontal="right" vertical="center"/>
    </xf>
    <xf numFmtId="0" fontId="53" fillId="0" borderId="0" xfId="0" applyFont="1" applyAlignment="1">
      <alignment horizontal="right"/>
    </xf>
    <xf numFmtId="0" fontId="31" fillId="2" borderId="9" xfId="0" applyFont="1" applyFill="1" applyBorder="1" applyAlignment="1">
      <alignment horizontal="center" vertical="center"/>
    </xf>
    <xf numFmtId="0" fontId="29" fillId="2" borderId="9" xfId="0" applyFont="1" applyFill="1" applyBorder="1" applyAlignment="1">
      <alignment horizontal="right" vertical="center"/>
    </xf>
    <xf numFmtId="164" fontId="39" fillId="5" borderId="2" xfId="0" applyNumberFormat="1" applyFont="1" applyFill="1" applyBorder="1" applyAlignment="1">
      <alignment horizontal="center" vertical="center"/>
    </xf>
    <xf numFmtId="0" fontId="31" fillId="2" borderId="0" xfId="0" applyFont="1" applyFill="1" applyAlignment="1">
      <alignment horizontal="right" vertical="center"/>
    </xf>
    <xf numFmtId="164" fontId="45" fillId="8" borderId="2" xfId="0" applyNumberFormat="1" applyFont="1" applyFill="1" applyBorder="1" applyAlignment="1">
      <alignment horizontal="right" vertical="center"/>
    </xf>
    <xf numFmtId="0" fontId="1" fillId="8" borderId="0" xfId="0" applyFont="1" applyFill="1" applyAlignment="1">
      <alignment horizontal="right" vertical="center"/>
    </xf>
    <xf numFmtId="0" fontId="2" fillId="8" borderId="0" xfId="0" applyFont="1" applyFill="1" applyAlignment="1">
      <alignment horizontal="center" vertical="center"/>
    </xf>
    <xf numFmtId="0" fontId="1" fillId="8" borderId="0" xfId="0" applyFont="1" applyFill="1" applyAlignment="1">
      <alignment horizontal="center" vertical="center"/>
    </xf>
    <xf numFmtId="0" fontId="63" fillId="0" borderId="0" xfId="0" applyFont="1"/>
    <xf numFmtId="0" fontId="31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11" fillId="2" borderId="0" xfId="0" applyFont="1" applyFill="1" applyAlignment="1">
      <alignment horizontal="center" vertical="center"/>
    </xf>
    <xf numFmtId="0" fontId="31" fillId="2" borderId="1" xfId="0" applyFont="1" applyFill="1" applyBorder="1" applyAlignment="1">
      <alignment horizontal="center" vertical="center"/>
    </xf>
    <xf numFmtId="0" fontId="38" fillId="2" borderId="0" xfId="0" applyFont="1" applyFill="1" applyAlignment="1">
      <alignment horizontal="center" vertical="center"/>
    </xf>
    <xf numFmtId="164" fontId="65" fillId="8" borderId="0" xfId="0" applyNumberFormat="1" applyFont="1" applyFill="1" applyAlignment="1">
      <alignment horizontal="right"/>
    </xf>
    <xf numFmtId="0" fontId="1" fillId="0" borderId="0" xfId="0" applyFont="1" applyAlignment="1">
      <alignment horizontal="right" vertical="center"/>
    </xf>
    <xf numFmtId="0" fontId="34" fillId="2" borderId="1" xfId="0" applyFont="1" applyFill="1" applyBorder="1" applyAlignment="1">
      <alignment horizontal="center" vertical="center" wrapText="1"/>
    </xf>
    <xf numFmtId="165" fontId="1" fillId="2" borderId="0" xfId="0" applyNumberFormat="1" applyFont="1" applyFill="1" applyAlignment="1">
      <alignment horizontal="center" vertical="center"/>
    </xf>
    <xf numFmtId="0" fontId="52" fillId="8" borderId="1" xfId="0" applyFont="1" applyFill="1" applyBorder="1" applyAlignment="1">
      <alignment horizontal="center" vertical="center"/>
    </xf>
    <xf numFmtId="164" fontId="1" fillId="2" borderId="29" xfId="0" applyNumberFormat="1" applyFont="1" applyFill="1" applyBorder="1" applyAlignment="1">
      <alignment horizontal="center" vertical="center"/>
    </xf>
    <xf numFmtId="164" fontId="66" fillId="2" borderId="2" xfId="0" applyNumberFormat="1" applyFont="1" applyFill="1" applyBorder="1" applyAlignment="1">
      <alignment horizontal="center" vertical="center"/>
    </xf>
    <xf numFmtId="164" fontId="1" fillId="2" borderId="32" xfId="0" applyNumberFormat="1" applyFont="1" applyFill="1" applyBorder="1" applyAlignment="1">
      <alignment horizontal="center" vertical="center"/>
    </xf>
    <xf numFmtId="164" fontId="1" fillId="2" borderId="34" xfId="0" applyNumberFormat="1" applyFont="1" applyFill="1" applyBorder="1" applyAlignment="1">
      <alignment horizontal="center" vertical="center"/>
    </xf>
    <xf numFmtId="164" fontId="1" fillId="2" borderId="31" xfId="0" applyNumberFormat="1" applyFont="1" applyFill="1" applyBorder="1" applyAlignment="1">
      <alignment horizontal="center" vertical="center"/>
    </xf>
    <xf numFmtId="164" fontId="1" fillId="2" borderId="33" xfId="0" applyNumberFormat="1" applyFont="1" applyFill="1" applyBorder="1" applyAlignment="1">
      <alignment horizontal="center" vertical="center"/>
    </xf>
    <xf numFmtId="164" fontId="54" fillId="2" borderId="32" xfId="0" applyNumberFormat="1" applyFont="1" applyFill="1" applyBorder="1" applyAlignment="1">
      <alignment horizontal="center" vertical="center"/>
    </xf>
    <xf numFmtId="164" fontId="54" fillId="2" borderId="34" xfId="0" applyNumberFormat="1" applyFont="1" applyFill="1" applyBorder="1" applyAlignment="1">
      <alignment horizontal="center" vertical="center"/>
    </xf>
    <xf numFmtId="164" fontId="1" fillId="2" borderId="32" xfId="0" applyNumberFormat="1" applyFont="1" applyFill="1" applyBorder="1" applyAlignment="1">
      <alignment horizontal="center" vertical="center" wrapText="1"/>
    </xf>
    <xf numFmtId="164" fontId="1" fillId="0" borderId="0" xfId="0" applyNumberFormat="1" applyFont="1" applyAlignment="1">
      <alignment horizontal="center" vertical="center"/>
    </xf>
    <xf numFmtId="164" fontId="55" fillId="8" borderId="2" xfId="0" applyNumberFormat="1" applyFont="1" applyFill="1" applyBorder="1" applyAlignment="1">
      <alignment horizontal="right"/>
    </xf>
    <xf numFmtId="0" fontId="31" fillId="2" borderId="25" xfId="0" applyFont="1" applyFill="1" applyBorder="1" applyAlignment="1">
      <alignment horizontal="center" vertical="center"/>
    </xf>
    <xf numFmtId="0" fontId="34" fillId="2" borderId="29" xfId="0" applyFont="1" applyFill="1" applyBorder="1" applyAlignment="1">
      <alignment horizontal="center" vertical="center"/>
    </xf>
    <xf numFmtId="0" fontId="29" fillId="2" borderId="29" xfId="0" applyFont="1" applyFill="1" applyBorder="1" applyAlignment="1">
      <alignment horizontal="center" vertical="center"/>
    </xf>
    <xf numFmtId="0" fontId="29" fillId="2" borderId="30" xfId="0" applyFont="1" applyFill="1" applyBorder="1" applyAlignment="1">
      <alignment horizontal="center" vertical="center"/>
    </xf>
    <xf numFmtId="0" fontId="67" fillId="0" borderId="0" xfId="0" applyFont="1"/>
    <xf numFmtId="0" fontId="52" fillId="8" borderId="29" xfId="0" applyFont="1" applyFill="1" applyBorder="1" applyAlignment="1">
      <alignment horizontal="center" vertical="center"/>
    </xf>
    <xf numFmtId="0" fontId="52" fillId="8" borderId="31" xfId="0" applyFont="1" applyFill="1" applyBorder="1" applyAlignment="1">
      <alignment horizontal="center" vertical="center"/>
    </xf>
    <xf numFmtId="0" fontId="68" fillId="0" borderId="0" xfId="0" applyFont="1"/>
    <xf numFmtId="0" fontId="4" fillId="6" borderId="0" xfId="0" applyFont="1" applyFill="1" applyAlignment="1">
      <alignment horizontal="center" vertical="center"/>
    </xf>
    <xf numFmtId="164" fontId="39" fillId="8" borderId="9" xfId="0" applyNumberFormat="1" applyFont="1" applyFill="1" applyBorder="1" applyAlignment="1">
      <alignment horizontal="center" vertical="center"/>
    </xf>
    <xf numFmtId="16" fontId="1" fillId="2" borderId="2" xfId="0" applyNumberFormat="1" applyFont="1" applyFill="1" applyBorder="1" applyAlignment="1">
      <alignment horizontal="center" vertical="center"/>
    </xf>
    <xf numFmtId="164" fontId="45" fillId="2" borderId="2" xfId="0" applyNumberFormat="1" applyFont="1" applyFill="1" applyBorder="1" applyAlignment="1">
      <alignment horizontal="center" vertical="center"/>
    </xf>
    <xf numFmtId="0" fontId="31" fillId="0" borderId="0" xfId="0" applyFont="1" applyAlignment="1">
      <alignment horizontal="center" vertical="center"/>
    </xf>
    <xf numFmtId="0" fontId="69" fillId="0" borderId="0" xfId="0" applyFont="1"/>
    <xf numFmtId="0" fontId="64" fillId="0" borderId="0" xfId="0" applyFont="1"/>
    <xf numFmtId="0" fontId="29" fillId="0" borderId="0" xfId="0" applyFont="1" applyAlignment="1">
      <alignment horizontal="center" vertical="center"/>
    </xf>
    <xf numFmtId="0" fontId="70" fillId="2" borderId="2" xfId="0" applyFont="1" applyFill="1" applyBorder="1" applyAlignment="1">
      <alignment horizontal="center" vertical="center"/>
    </xf>
    <xf numFmtId="0" fontId="48" fillId="2" borderId="2" xfId="0" applyFont="1" applyFill="1" applyBorder="1" applyAlignment="1">
      <alignment horizontal="center" vertical="center"/>
    </xf>
    <xf numFmtId="0" fontId="71" fillId="8" borderId="29" xfId="0" applyFont="1" applyFill="1" applyBorder="1" applyAlignment="1">
      <alignment horizontal="center" vertical="center" wrapText="1"/>
    </xf>
    <xf numFmtId="0" fontId="4" fillId="8" borderId="2" xfId="0" applyFont="1" applyFill="1" applyBorder="1" applyAlignment="1">
      <alignment horizontal="center" vertical="center" wrapText="1"/>
    </xf>
    <xf numFmtId="0" fontId="28" fillId="8" borderId="23" xfId="0" applyFont="1" applyFill="1" applyBorder="1" applyAlignment="1">
      <alignment horizontal="center" vertical="center"/>
    </xf>
    <xf numFmtId="0" fontId="28" fillId="8" borderId="0" xfId="0" applyFont="1" applyFill="1" applyAlignment="1">
      <alignment horizontal="center" vertical="center"/>
    </xf>
    <xf numFmtId="0" fontId="28" fillId="8" borderId="24" xfId="0" applyFont="1" applyFill="1" applyBorder="1" applyAlignment="1">
      <alignment horizontal="center" vertical="center"/>
    </xf>
    <xf numFmtId="0" fontId="28" fillId="8" borderId="11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9" fillId="2" borderId="4" xfId="0" applyFont="1" applyFill="1" applyBorder="1" applyAlignment="1">
      <alignment horizontal="center" vertical="center"/>
    </xf>
    <xf numFmtId="0" fontId="0" fillId="8" borderId="0" xfId="0" applyFill="1"/>
    <xf numFmtId="0" fontId="0" fillId="2" borderId="0" xfId="0" applyFill="1"/>
    <xf numFmtId="0" fontId="28" fillId="2" borderId="23" xfId="0" applyFont="1" applyFill="1" applyBorder="1" applyAlignment="1">
      <alignment horizontal="center" vertical="center"/>
    </xf>
    <xf numFmtId="0" fontId="28" fillId="2" borderId="0" xfId="0" applyFont="1" applyFill="1" applyAlignment="1">
      <alignment horizontal="center" vertical="center"/>
    </xf>
    <xf numFmtId="0" fontId="2" fillId="2" borderId="5" xfId="0" applyFont="1" applyFill="1" applyBorder="1" applyAlignment="1">
      <alignment horizontal="left" vertical="center"/>
    </xf>
    <xf numFmtId="0" fontId="30" fillId="2" borderId="3" xfId="0" applyFont="1" applyFill="1" applyBorder="1" applyAlignment="1">
      <alignment horizontal="left" vertical="center" indent="35"/>
    </xf>
    <xf numFmtId="0" fontId="29" fillId="2" borderId="4" xfId="0" applyFont="1" applyFill="1" applyBorder="1" applyAlignment="1">
      <alignment horizontal="left" vertical="center" indent="35"/>
    </xf>
    <xf numFmtId="0" fontId="29" fillId="2" borderId="7" xfId="0" applyFont="1" applyFill="1" applyBorder="1" applyAlignment="1">
      <alignment horizontal="center" vertical="center"/>
    </xf>
    <xf numFmtId="0" fontId="29" fillId="2" borderId="6" xfId="0" applyFont="1" applyFill="1" applyBorder="1" applyAlignment="1">
      <alignment horizontal="center" vertical="center"/>
    </xf>
    <xf numFmtId="0" fontId="31" fillId="8" borderId="18" xfId="0" applyFont="1" applyFill="1" applyBorder="1" applyAlignment="1">
      <alignment horizontal="center" vertical="center"/>
    </xf>
    <xf numFmtId="0" fontId="31" fillId="8" borderId="8" xfId="0" applyFont="1" applyFill="1" applyBorder="1" applyAlignment="1">
      <alignment horizontal="center" vertical="center"/>
    </xf>
    <xf numFmtId="0" fontId="31" fillId="8" borderId="7" xfId="0" applyFont="1" applyFill="1" applyBorder="1" applyAlignment="1">
      <alignment horizontal="center" vertical="center"/>
    </xf>
    <xf numFmtId="0" fontId="31" fillId="8" borderId="11" xfId="0" applyFont="1" applyFill="1" applyBorder="1" applyAlignment="1">
      <alignment horizontal="center" vertical="center"/>
    </xf>
    <xf numFmtId="0" fontId="29" fillId="2" borderId="18" xfId="0" applyFont="1" applyFill="1" applyBorder="1" applyAlignment="1">
      <alignment horizontal="center" vertical="center"/>
    </xf>
    <xf numFmtId="0" fontId="29" fillId="2" borderId="12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49" fillId="8" borderId="9" xfId="0" applyFont="1" applyFill="1" applyBorder="1" applyAlignment="1">
      <alignment horizontal="center" vertical="center" wrapText="1"/>
    </xf>
    <xf numFmtId="0" fontId="49" fillId="8" borderId="1" xfId="0" applyFont="1" applyFill="1" applyBorder="1" applyAlignment="1">
      <alignment horizontal="center" vertical="center" wrapText="1"/>
    </xf>
    <xf numFmtId="0" fontId="29" fillId="8" borderId="18" xfId="0" applyFont="1" applyFill="1" applyBorder="1" applyAlignment="1">
      <alignment horizontal="center" vertical="center"/>
    </xf>
    <xf numFmtId="0" fontId="29" fillId="8" borderId="12" xfId="0" applyFont="1" applyFill="1" applyBorder="1" applyAlignment="1">
      <alignment horizontal="center" vertical="center"/>
    </xf>
    <xf numFmtId="164" fontId="54" fillId="5" borderId="2" xfId="0" applyNumberFormat="1" applyFont="1" applyFill="1" applyBorder="1" applyAlignment="1">
      <alignment horizontal="center" vertical="center"/>
    </xf>
    <xf numFmtId="164" fontId="1" fillId="17" borderId="2" xfId="0" applyNumberFormat="1" applyFont="1" applyFill="1" applyBorder="1" applyAlignment="1">
      <alignment horizontal="center" vertical="center"/>
    </xf>
    <xf numFmtId="164" fontId="1" fillId="17" borderId="30" xfId="0" applyNumberFormat="1" applyFont="1" applyFill="1" applyBorder="1" applyAlignment="1">
      <alignment horizontal="center" vertical="center"/>
    </xf>
    <xf numFmtId="164" fontId="1" fillId="17" borderId="2" xfId="0" applyNumberFormat="1" applyFont="1" applyFill="1" applyBorder="1" applyAlignment="1">
      <alignment horizontal="right" vertical="center"/>
    </xf>
    <xf numFmtId="0" fontId="1" fillId="0" borderId="9" xfId="0" applyFont="1" applyBorder="1" applyAlignment="1">
      <alignment horizontal="center" vertical="center"/>
    </xf>
    <xf numFmtId="164" fontId="1" fillId="2" borderId="9" xfId="0" applyNumberFormat="1" applyFont="1" applyFill="1" applyBorder="1" applyAlignment="1">
      <alignment horizontal="right" vertical="center"/>
    </xf>
    <xf numFmtId="0" fontId="72" fillId="8" borderId="0" xfId="0" applyFont="1" applyFill="1" applyAlignment="1">
      <alignment horizontal="center"/>
    </xf>
    <xf numFmtId="164" fontId="21" fillId="2" borderId="38" xfId="0" applyNumberFormat="1" applyFont="1" applyFill="1" applyBorder="1" applyAlignment="1">
      <alignment horizontal="center" vertical="center"/>
    </xf>
    <xf numFmtId="164" fontId="73" fillId="8" borderId="0" xfId="0" applyNumberFormat="1" applyFont="1" applyFill="1" applyAlignment="1">
      <alignment horizontal="center" vertical="center"/>
    </xf>
    <xf numFmtId="0" fontId="74" fillId="18" borderId="4" xfId="0" applyFont="1" applyFill="1" applyBorder="1" applyAlignment="1">
      <alignment horizontal="center" vertical="center"/>
    </xf>
    <xf numFmtId="0" fontId="75" fillId="18" borderId="4" xfId="0" applyFont="1" applyFill="1" applyBorder="1" applyAlignment="1">
      <alignment horizontal="center" vertical="center"/>
    </xf>
    <xf numFmtId="0" fontId="76" fillId="19" borderId="5" xfId="0" applyFont="1" applyFill="1" applyBorder="1" applyAlignment="1">
      <alignment horizontal="center" vertical="center"/>
    </xf>
    <xf numFmtId="0" fontId="77" fillId="19" borderId="5" xfId="0" applyFont="1" applyFill="1" applyBorder="1" applyAlignment="1">
      <alignment horizontal="center" vertical="center"/>
    </xf>
    <xf numFmtId="0" fontId="78" fillId="19" borderId="2" xfId="0" applyFont="1" applyFill="1" applyBorder="1" applyAlignment="1">
      <alignment horizontal="center" vertical="center"/>
    </xf>
    <xf numFmtId="0" fontId="79" fillId="18" borderId="12" xfId="0" applyFont="1" applyFill="1" applyBorder="1" applyAlignment="1">
      <alignment horizontal="center" vertical="center"/>
    </xf>
    <xf numFmtId="0" fontId="80" fillId="20" borderId="9" xfId="0" applyFont="1" applyFill="1" applyBorder="1" applyAlignment="1">
      <alignment horizontal="center" vertical="center"/>
    </xf>
    <xf numFmtId="0" fontId="81" fillId="0" borderId="9" xfId="0" applyFont="1" applyBorder="1" applyAlignment="1">
      <alignment horizontal="center" vertical="center"/>
    </xf>
    <xf numFmtId="0" fontId="80" fillId="20" borderId="2" xfId="0" applyFont="1" applyFill="1" applyBorder="1" applyAlignment="1">
      <alignment horizontal="center" vertical="center"/>
    </xf>
    <xf numFmtId="0" fontId="81" fillId="0" borderId="2" xfId="0" applyFont="1" applyBorder="1" applyAlignment="1">
      <alignment horizontal="center" vertical="center"/>
    </xf>
    <xf numFmtId="0" fontId="81" fillId="18" borderId="2" xfId="0" applyFont="1" applyFill="1" applyBorder="1" applyAlignment="1">
      <alignment horizontal="center" vertical="center"/>
    </xf>
    <xf numFmtId="0" fontId="79" fillId="18" borderId="38" xfId="0" applyFont="1" applyFill="1" applyBorder="1" applyAlignment="1">
      <alignment horizontal="center" vertical="center"/>
    </xf>
    <xf numFmtId="0" fontId="82" fillId="20" borderId="38" xfId="0" applyFont="1" applyFill="1" applyBorder="1"/>
    <xf numFmtId="0" fontId="81" fillId="0" borderId="5" xfId="0" applyFont="1" applyBorder="1" applyAlignment="1">
      <alignment horizontal="center" vertical="center"/>
    </xf>
    <xf numFmtId="0" fontId="79" fillId="18" borderId="6" xfId="0" applyFont="1" applyFill="1" applyBorder="1" applyAlignment="1">
      <alignment horizontal="center" vertical="center"/>
    </xf>
    <xf numFmtId="0" fontId="80" fillId="20" borderId="1" xfId="0" applyFont="1" applyFill="1" applyBorder="1" applyAlignment="1">
      <alignment horizontal="center" vertical="center"/>
    </xf>
    <xf numFmtId="0" fontId="81" fillId="0" borderId="1" xfId="0" applyFont="1" applyBorder="1" applyAlignment="1">
      <alignment horizontal="center" vertical="center"/>
    </xf>
    <xf numFmtId="0" fontId="81" fillId="19" borderId="2" xfId="0" applyFont="1" applyFill="1" applyBorder="1" applyAlignment="1">
      <alignment horizontal="center" vertical="center"/>
    </xf>
    <xf numFmtId="0" fontId="83" fillId="0" borderId="0" xfId="0" applyFont="1" applyAlignment="1">
      <alignment horizontal="center" vertical="center"/>
    </xf>
    <xf numFmtId="0" fontId="84" fillId="18" borderId="41" xfId="0" applyFont="1" applyFill="1" applyBorder="1" applyAlignment="1">
      <alignment horizontal="center" vertical="center" wrapText="1"/>
    </xf>
    <xf numFmtId="14" fontId="85" fillId="0" borderId="2" xfId="0" applyNumberFormat="1" applyFont="1" applyBorder="1" applyAlignment="1">
      <alignment horizontal="center" vertical="center"/>
    </xf>
    <xf numFmtId="0" fontId="53" fillId="0" borderId="0" xfId="0" applyFont="1" applyAlignment="1">
      <alignment horizontal="center" vertical="center"/>
    </xf>
    <xf numFmtId="0" fontId="85" fillId="19" borderId="2" xfId="0" applyFont="1" applyFill="1" applyBorder="1" applyAlignment="1">
      <alignment horizontal="center" vertical="center"/>
    </xf>
    <xf numFmtId="0" fontId="85" fillId="0" borderId="3" xfId="0" applyFont="1" applyBorder="1" applyAlignment="1">
      <alignment horizontal="center" vertical="center"/>
    </xf>
    <xf numFmtId="14" fontId="85" fillId="0" borderId="38" xfId="0" applyNumberFormat="1" applyFont="1" applyBorder="1" applyAlignment="1">
      <alignment horizontal="center" vertical="center"/>
    </xf>
    <xf numFmtId="0" fontId="85" fillId="0" borderId="1" xfId="0" applyFont="1" applyBorder="1" applyAlignment="1">
      <alignment horizontal="center" vertical="center"/>
    </xf>
    <xf numFmtId="0" fontId="85" fillId="0" borderId="38" xfId="0" applyFont="1" applyBorder="1" applyAlignment="1">
      <alignment horizontal="center" vertical="center"/>
    </xf>
    <xf numFmtId="0" fontId="85" fillId="0" borderId="2" xfId="0" applyFont="1" applyBorder="1" applyAlignment="1">
      <alignment horizontal="center" vertical="center"/>
    </xf>
    <xf numFmtId="0" fontId="86" fillId="0" borderId="38" xfId="0" applyFont="1" applyBorder="1" applyAlignment="1">
      <alignment horizontal="center"/>
    </xf>
    <xf numFmtId="0" fontId="87" fillId="0" borderId="38" xfId="0" applyFont="1" applyBorder="1" applyAlignment="1">
      <alignment horizontal="center"/>
    </xf>
    <xf numFmtId="0" fontId="88" fillId="0" borderId="38" xfId="0" applyFont="1" applyBorder="1" applyAlignment="1">
      <alignment horizontal="center" vertical="center"/>
    </xf>
    <xf numFmtId="164" fontId="1" fillId="21" borderId="2" xfId="0" applyNumberFormat="1" applyFont="1" applyFill="1" applyBorder="1" applyAlignment="1">
      <alignment horizontal="center" vertical="center"/>
    </xf>
    <xf numFmtId="164" fontId="1" fillId="21" borderId="30" xfId="0" applyNumberFormat="1" applyFont="1" applyFill="1" applyBorder="1" applyAlignment="1">
      <alignment horizontal="center" vertical="center"/>
    </xf>
    <xf numFmtId="164" fontId="1" fillId="21" borderId="2" xfId="0" applyNumberFormat="1" applyFont="1" applyFill="1" applyBorder="1" applyAlignment="1">
      <alignment horizontal="right" vertical="center"/>
    </xf>
    <xf numFmtId="0" fontId="89" fillId="17" borderId="0" xfId="0" applyFont="1" applyFill="1" applyAlignment="1">
      <alignment horizontal="center" vertical="center"/>
    </xf>
    <xf numFmtId="0" fontId="29" fillId="8" borderId="7" xfId="0" applyFont="1" applyFill="1" applyBorder="1" applyAlignment="1">
      <alignment horizontal="center" vertical="center"/>
    </xf>
    <xf numFmtId="0" fontId="29" fillId="8" borderId="11" xfId="0" applyFont="1" applyFill="1" applyBorder="1" applyAlignment="1">
      <alignment horizontal="center" vertical="center"/>
    </xf>
    <xf numFmtId="0" fontId="29" fillId="8" borderId="6" xfId="0" applyFont="1" applyFill="1" applyBorder="1" applyAlignment="1">
      <alignment horizontal="center" vertical="center"/>
    </xf>
    <xf numFmtId="0" fontId="31" fillId="2" borderId="3" xfId="0" applyFont="1" applyFill="1" applyBorder="1" applyAlignment="1">
      <alignment horizontal="center" vertical="center"/>
    </xf>
    <xf numFmtId="0" fontId="31" fillId="2" borderId="4" xfId="0" applyFont="1" applyFill="1" applyBorder="1" applyAlignment="1">
      <alignment horizontal="center" vertical="center"/>
    </xf>
    <xf numFmtId="0" fontId="31" fillId="2" borderId="5" xfId="0" applyFont="1" applyFill="1" applyBorder="1" applyAlignment="1">
      <alignment horizontal="center" vertical="center"/>
    </xf>
    <xf numFmtId="0" fontId="13" fillId="8" borderId="4" xfId="0" applyFont="1" applyFill="1" applyBorder="1" applyAlignment="1">
      <alignment horizontal="center" vertical="center"/>
    </xf>
    <xf numFmtId="0" fontId="13" fillId="8" borderId="5" xfId="0" applyFont="1" applyFill="1" applyBorder="1" applyAlignment="1">
      <alignment horizontal="center" vertical="center"/>
    </xf>
    <xf numFmtId="0" fontId="29" fillId="8" borderId="3" xfId="0" applyFont="1" applyFill="1" applyBorder="1" applyAlignment="1">
      <alignment horizontal="center" vertical="center" wrapText="1"/>
    </xf>
    <xf numFmtId="0" fontId="29" fillId="8" borderId="5" xfId="0" applyFont="1" applyFill="1" applyBorder="1" applyAlignment="1">
      <alignment horizontal="center" vertical="center" wrapText="1"/>
    </xf>
    <xf numFmtId="0" fontId="21" fillId="8" borderId="3" xfId="0" applyFont="1" applyFill="1" applyBorder="1" applyAlignment="1">
      <alignment horizontal="center" vertical="center"/>
    </xf>
    <xf numFmtId="0" fontId="21" fillId="8" borderId="4" xfId="0" applyFont="1" applyFill="1" applyBorder="1" applyAlignment="1">
      <alignment horizontal="center" vertical="center"/>
    </xf>
    <xf numFmtId="0" fontId="21" fillId="8" borderId="5" xfId="0" applyFont="1" applyFill="1" applyBorder="1" applyAlignment="1">
      <alignment horizontal="center" vertical="center"/>
    </xf>
    <xf numFmtId="0" fontId="19" fillId="2" borderId="0" xfId="0" applyFont="1" applyFill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55" fillId="8" borderId="3" xfId="0" applyFont="1" applyFill="1" applyBorder="1" applyAlignment="1">
      <alignment horizontal="center"/>
    </xf>
    <xf numFmtId="0" fontId="55" fillId="8" borderId="4" xfId="0" applyFont="1" applyFill="1" applyBorder="1" applyAlignment="1">
      <alignment horizontal="center"/>
    </xf>
    <xf numFmtId="0" fontId="55" fillId="8" borderId="5" xfId="0" applyFont="1" applyFill="1" applyBorder="1" applyAlignment="1">
      <alignment horizontal="center"/>
    </xf>
    <xf numFmtId="0" fontId="13" fillId="8" borderId="3" xfId="0" applyFont="1" applyFill="1" applyBorder="1" applyAlignment="1">
      <alignment horizontal="center" vertical="center"/>
    </xf>
    <xf numFmtId="0" fontId="29" fillId="8" borderId="3" xfId="0" applyFont="1" applyFill="1" applyBorder="1" applyAlignment="1">
      <alignment horizontal="center" vertical="center"/>
    </xf>
    <xf numFmtId="0" fontId="29" fillId="8" borderId="4" xfId="0" applyFont="1" applyFill="1" applyBorder="1" applyAlignment="1">
      <alignment horizontal="center" vertical="center"/>
    </xf>
    <xf numFmtId="0" fontId="29" fillId="8" borderId="5" xfId="0" applyFont="1" applyFill="1" applyBorder="1" applyAlignment="1">
      <alignment horizontal="center" vertical="center"/>
    </xf>
    <xf numFmtId="0" fontId="21" fillId="2" borderId="3" xfId="0" applyFont="1" applyFill="1" applyBorder="1" applyAlignment="1">
      <alignment horizontal="center" vertical="center"/>
    </xf>
    <xf numFmtId="0" fontId="21" fillId="2" borderId="5" xfId="0" applyFont="1" applyFill="1" applyBorder="1" applyAlignment="1">
      <alignment horizontal="center" vertical="center"/>
    </xf>
    <xf numFmtId="0" fontId="21" fillId="2" borderId="4" xfId="0" applyFont="1" applyFill="1" applyBorder="1" applyAlignment="1">
      <alignment horizontal="center" vertical="center"/>
    </xf>
    <xf numFmtId="0" fontId="13" fillId="8" borderId="7" xfId="0" applyFont="1" applyFill="1" applyBorder="1" applyAlignment="1">
      <alignment horizontal="center" vertical="center"/>
    </xf>
    <xf numFmtId="0" fontId="13" fillId="8" borderId="11" xfId="0" applyFont="1" applyFill="1" applyBorder="1" applyAlignment="1">
      <alignment horizontal="center" vertical="center"/>
    </xf>
    <xf numFmtId="165" fontId="13" fillId="11" borderId="13" xfId="0" applyNumberFormat="1" applyFont="1" applyFill="1" applyBorder="1" applyAlignment="1">
      <alignment horizontal="center" vertical="center"/>
    </xf>
    <xf numFmtId="0" fontId="15" fillId="2" borderId="0" xfId="0" applyFont="1" applyFill="1" applyAlignment="1">
      <alignment horizontal="center" vertical="center"/>
    </xf>
    <xf numFmtId="164" fontId="1" fillId="2" borderId="3" xfId="0" applyNumberFormat="1" applyFont="1" applyFill="1" applyBorder="1" applyAlignment="1">
      <alignment horizontal="center" vertical="center"/>
    </xf>
    <xf numFmtId="164" fontId="1" fillId="2" borderId="5" xfId="0" applyNumberFormat="1" applyFont="1" applyFill="1" applyBorder="1" applyAlignment="1">
      <alignment horizontal="center" vertical="center"/>
    </xf>
    <xf numFmtId="0" fontId="31" fillId="2" borderId="26" xfId="0" applyFont="1" applyFill="1" applyBorder="1" applyAlignment="1">
      <alignment horizontal="center" vertical="center"/>
    </xf>
    <xf numFmtId="164" fontId="29" fillId="8" borderId="3" xfId="0" applyNumberFormat="1" applyFont="1" applyFill="1" applyBorder="1" applyAlignment="1">
      <alignment horizontal="center" vertical="center"/>
    </xf>
    <xf numFmtId="164" fontId="29" fillId="8" borderId="5" xfId="0" applyNumberFormat="1" applyFont="1" applyFill="1" applyBorder="1" applyAlignment="1">
      <alignment horizontal="center" vertical="center"/>
    </xf>
    <xf numFmtId="0" fontId="12" fillId="8" borderId="3" xfId="0" applyFont="1" applyFill="1" applyBorder="1" applyAlignment="1">
      <alignment horizontal="center" vertical="center"/>
    </xf>
    <xf numFmtId="0" fontId="29" fillId="2" borderId="7" xfId="0" applyFont="1" applyFill="1" applyBorder="1" applyAlignment="1">
      <alignment horizontal="center" vertical="center"/>
    </xf>
    <xf numFmtId="0" fontId="29" fillId="2" borderId="11" xfId="0" applyFont="1" applyFill="1" applyBorder="1" applyAlignment="1">
      <alignment horizontal="center" vertical="center"/>
    </xf>
    <xf numFmtId="0" fontId="29" fillId="2" borderId="6" xfId="0" applyFont="1" applyFill="1" applyBorder="1" applyAlignment="1">
      <alignment horizontal="center" vertical="center"/>
    </xf>
    <xf numFmtId="0" fontId="11" fillId="2" borderId="7" xfId="0" applyFont="1" applyFill="1" applyBorder="1" applyAlignment="1">
      <alignment horizontal="center" vertical="center"/>
    </xf>
    <xf numFmtId="0" fontId="11" fillId="2" borderId="6" xfId="0" applyFont="1" applyFill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14" fontId="22" fillId="0" borderId="0" xfId="0" applyNumberFormat="1" applyFont="1" applyAlignment="1">
      <alignment horizontal="center" vertical="center"/>
    </xf>
    <xf numFmtId="0" fontId="13" fillId="8" borderId="2" xfId="0" applyFont="1" applyFill="1" applyBorder="1" applyAlignment="1">
      <alignment horizontal="center" vertical="center"/>
    </xf>
    <xf numFmtId="0" fontId="31" fillId="2" borderId="2" xfId="0" applyFont="1" applyFill="1" applyBorder="1" applyAlignment="1">
      <alignment horizontal="center" vertical="center"/>
    </xf>
    <xf numFmtId="0" fontId="21" fillId="8" borderId="2" xfId="0" applyFont="1" applyFill="1" applyBorder="1" applyAlignment="1">
      <alignment horizontal="center" vertical="center"/>
    </xf>
    <xf numFmtId="165" fontId="1" fillId="5" borderId="2" xfId="0" applyNumberFormat="1" applyFont="1" applyFill="1" applyBorder="1" applyAlignment="1">
      <alignment horizontal="center" vertical="center"/>
    </xf>
    <xf numFmtId="0" fontId="29" fillId="2" borderId="3" xfId="0" applyFont="1" applyFill="1" applyBorder="1" applyAlignment="1">
      <alignment horizontal="center" vertical="center"/>
    </xf>
    <xf numFmtId="0" fontId="29" fillId="2" borderId="4" xfId="0" applyFont="1" applyFill="1" applyBorder="1" applyAlignment="1">
      <alignment horizontal="center" vertical="center"/>
    </xf>
    <xf numFmtId="0" fontId="29" fillId="2" borderId="5" xfId="0" applyFont="1" applyFill="1" applyBorder="1" applyAlignment="1">
      <alignment horizontal="center" vertical="center"/>
    </xf>
    <xf numFmtId="0" fontId="45" fillId="8" borderId="1" xfId="0" applyFont="1" applyFill="1" applyBorder="1" applyAlignment="1">
      <alignment horizontal="center" vertical="center"/>
    </xf>
    <xf numFmtId="0" fontId="45" fillId="8" borderId="10" xfId="0" applyFont="1" applyFill="1" applyBorder="1" applyAlignment="1">
      <alignment horizontal="center" vertical="center"/>
    </xf>
    <xf numFmtId="0" fontId="31" fillId="2" borderId="7" xfId="0" applyFont="1" applyFill="1" applyBorder="1" applyAlignment="1">
      <alignment horizontal="center" vertical="center"/>
    </xf>
    <xf numFmtId="0" fontId="29" fillId="2" borderId="2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 wrapText="1"/>
    </xf>
    <xf numFmtId="0" fontId="38" fillId="8" borderId="3" xfId="0" applyFont="1" applyFill="1" applyBorder="1" applyAlignment="1">
      <alignment horizontal="center" vertical="center"/>
    </xf>
    <xf numFmtId="0" fontId="38" fillId="8" borderId="4" xfId="0" applyFont="1" applyFill="1" applyBorder="1" applyAlignment="1">
      <alignment horizontal="center" vertical="center"/>
    </xf>
    <xf numFmtId="0" fontId="38" fillId="8" borderId="5" xfId="0" applyFont="1" applyFill="1" applyBorder="1" applyAlignment="1">
      <alignment horizontal="center" vertical="center"/>
    </xf>
    <xf numFmtId="0" fontId="14" fillId="2" borderId="11" xfId="0" applyFont="1" applyFill="1" applyBorder="1" applyAlignment="1">
      <alignment horizontal="center" vertical="center"/>
    </xf>
    <xf numFmtId="0" fontId="45" fillId="8" borderId="8" xfId="0" applyFont="1" applyFill="1" applyBorder="1" applyAlignment="1">
      <alignment horizontal="center" vertical="center"/>
    </xf>
    <xf numFmtId="0" fontId="45" fillId="8" borderId="12" xfId="0" applyFont="1" applyFill="1" applyBorder="1" applyAlignment="1">
      <alignment horizontal="center" vertical="center"/>
    </xf>
    <xf numFmtId="0" fontId="31" fillId="2" borderId="27" xfId="0" applyFont="1" applyFill="1" applyBorder="1" applyAlignment="1">
      <alignment horizontal="center" vertical="center"/>
    </xf>
    <xf numFmtId="0" fontId="31" fillId="2" borderId="28" xfId="0" applyFont="1" applyFill="1" applyBorder="1" applyAlignment="1">
      <alignment horizontal="center" vertical="center"/>
    </xf>
    <xf numFmtId="0" fontId="31" fillId="2" borderId="35" xfId="0" applyFont="1" applyFill="1" applyBorder="1" applyAlignment="1">
      <alignment horizontal="center" vertical="center"/>
    </xf>
    <xf numFmtId="0" fontId="42" fillId="8" borderId="3" xfId="0" applyFont="1" applyFill="1" applyBorder="1" applyAlignment="1">
      <alignment horizontal="center" vertical="center"/>
    </xf>
    <xf numFmtId="0" fontId="42" fillId="8" borderId="4" xfId="0" applyFont="1" applyFill="1" applyBorder="1" applyAlignment="1">
      <alignment horizontal="center" vertical="center"/>
    </xf>
    <xf numFmtId="0" fontId="42" fillId="8" borderId="5" xfId="0" applyFont="1" applyFill="1" applyBorder="1" applyAlignment="1">
      <alignment horizontal="center" vertical="center"/>
    </xf>
    <xf numFmtId="0" fontId="46" fillId="2" borderId="3" xfId="0" applyFont="1" applyFill="1" applyBorder="1" applyAlignment="1">
      <alignment horizontal="left" vertical="center" indent="66"/>
    </xf>
    <xf numFmtId="0" fontId="46" fillId="2" borderId="4" xfId="0" applyFont="1" applyFill="1" applyBorder="1" applyAlignment="1">
      <alignment horizontal="left" vertical="center" indent="66"/>
    </xf>
    <xf numFmtId="0" fontId="46" fillId="2" borderId="5" xfId="0" applyFont="1" applyFill="1" applyBorder="1" applyAlignment="1">
      <alignment horizontal="left" vertical="center" indent="66"/>
    </xf>
    <xf numFmtId="164" fontId="50" fillId="2" borderId="3" xfId="0" applyNumberFormat="1" applyFont="1" applyFill="1" applyBorder="1" applyAlignment="1">
      <alignment horizontal="center" vertical="center"/>
    </xf>
    <xf numFmtId="164" fontId="50" fillId="2" borderId="5" xfId="0" applyNumberFormat="1" applyFont="1" applyFill="1" applyBorder="1" applyAlignment="1">
      <alignment horizontal="center" vertical="center"/>
    </xf>
    <xf numFmtId="164" fontId="50" fillId="2" borderId="39" xfId="0" applyNumberFormat="1" applyFont="1" applyFill="1" applyBorder="1" applyAlignment="1">
      <alignment horizontal="center" vertical="center"/>
    </xf>
    <xf numFmtId="164" fontId="50" fillId="2" borderId="40" xfId="0" applyNumberFormat="1" applyFont="1" applyFill="1" applyBorder="1" applyAlignment="1">
      <alignment horizontal="center" vertical="center"/>
    </xf>
    <xf numFmtId="0" fontId="19" fillId="2" borderId="14" xfId="0" applyFont="1" applyFill="1" applyBorder="1" applyAlignment="1">
      <alignment horizontal="center" vertical="center"/>
    </xf>
    <xf numFmtId="0" fontId="19" fillId="2" borderId="15" xfId="0" applyFont="1" applyFill="1" applyBorder="1" applyAlignment="1">
      <alignment horizontal="center" vertical="center"/>
    </xf>
    <xf numFmtId="0" fontId="19" fillId="2" borderId="16" xfId="0" applyFont="1" applyFill="1" applyBorder="1" applyAlignment="1">
      <alignment horizontal="center" vertical="center"/>
    </xf>
    <xf numFmtId="0" fontId="19" fillId="2" borderId="17" xfId="0" applyFont="1" applyFill="1" applyBorder="1" applyAlignment="1">
      <alignment horizontal="center" vertical="center"/>
    </xf>
    <xf numFmtId="0" fontId="47" fillId="8" borderId="3" xfId="0" applyFont="1" applyFill="1" applyBorder="1" applyAlignment="1">
      <alignment horizontal="center" vertical="center"/>
    </xf>
    <xf numFmtId="0" fontId="47" fillId="8" borderId="4" xfId="0" applyFont="1" applyFill="1" applyBorder="1" applyAlignment="1">
      <alignment horizontal="center" vertical="center"/>
    </xf>
    <xf numFmtId="0" fontId="47" fillId="8" borderId="5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29" fillId="2" borderId="18" xfId="0" applyFont="1" applyFill="1" applyBorder="1" applyAlignment="1">
      <alignment horizontal="center" vertical="center"/>
    </xf>
    <xf numFmtId="0" fontId="29" fillId="2" borderId="8" xfId="0" applyFont="1" applyFill="1" applyBorder="1" applyAlignment="1">
      <alignment horizontal="center" vertical="center"/>
    </xf>
    <xf numFmtId="0" fontId="29" fillId="2" borderId="12" xfId="0" applyFont="1" applyFill="1" applyBorder="1" applyAlignment="1">
      <alignment horizontal="center" vertical="center"/>
    </xf>
    <xf numFmtId="164" fontId="48" fillId="8" borderId="19" xfId="0" applyNumberFormat="1" applyFont="1" applyFill="1" applyBorder="1" applyAlignment="1">
      <alignment horizontal="center" vertical="center"/>
    </xf>
    <xf numFmtId="164" fontId="48" fillId="8" borderId="20" xfId="0" applyNumberFormat="1" applyFont="1" applyFill="1" applyBorder="1" applyAlignment="1">
      <alignment horizontal="center" vertical="center"/>
    </xf>
    <xf numFmtId="0" fontId="1" fillId="2" borderId="18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1" fillId="2" borderId="12" xfId="0" applyFont="1" applyFill="1" applyBorder="1" applyAlignment="1">
      <alignment horizontal="center" vertical="center"/>
    </xf>
    <xf numFmtId="164" fontId="41" fillId="8" borderId="19" xfId="0" applyNumberFormat="1" applyFont="1" applyFill="1" applyBorder="1" applyAlignment="1">
      <alignment horizontal="right" vertical="center"/>
    </xf>
    <xf numFmtId="164" fontId="41" fillId="8" borderId="20" xfId="0" applyNumberFormat="1" applyFont="1" applyFill="1" applyBorder="1" applyAlignment="1">
      <alignment horizontal="right" vertical="center"/>
    </xf>
    <xf numFmtId="0" fontId="30" fillId="2" borderId="3" xfId="0" applyFont="1" applyFill="1" applyBorder="1" applyAlignment="1">
      <alignment horizontal="center" vertical="center"/>
    </xf>
    <xf numFmtId="0" fontId="30" fillId="2" borderId="4" xfId="0" applyFont="1" applyFill="1" applyBorder="1" applyAlignment="1">
      <alignment horizontal="center" vertical="center"/>
    </xf>
    <xf numFmtId="0" fontId="30" fillId="2" borderId="5" xfId="0" applyFont="1" applyFill="1" applyBorder="1" applyAlignment="1">
      <alignment horizontal="center" vertical="center"/>
    </xf>
    <xf numFmtId="164" fontId="2" fillId="2" borderId="3" xfId="0" applyNumberFormat="1" applyFont="1" applyFill="1" applyBorder="1" applyAlignment="1">
      <alignment horizontal="center" vertical="center"/>
    </xf>
    <xf numFmtId="164" fontId="2" fillId="2" borderId="4" xfId="0" applyNumberFormat="1" applyFont="1" applyFill="1" applyBorder="1" applyAlignment="1">
      <alignment horizontal="center" vertical="center"/>
    </xf>
    <xf numFmtId="164" fontId="2" fillId="2" borderId="5" xfId="0" applyNumberFormat="1" applyFont="1" applyFill="1" applyBorder="1" applyAlignment="1">
      <alignment horizontal="center" vertical="center"/>
    </xf>
    <xf numFmtId="0" fontId="37" fillId="8" borderId="10" xfId="0" applyFont="1" applyFill="1" applyBorder="1" applyAlignment="1">
      <alignment horizontal="center" vertical="center"/>
    </xf>
    <xf numFmtId="0" fontId="37" fillId="8" borderId="0" xfId="0" applyFont="1" applyFill="1" applyAlignment="1">
      <alignment horizontal="center" vertical="center"/>
    </xf>
    <xf numFmtId="0" fontId="37" fillId="8" borderId="7" xfId="0" applyFont="1" applyFill="1" applyBorder="1" applyAlignment="1">
      <alignment horizontal="center" vertical="center"/>
    </xf>
    <xf numFmtId="0" fontId="37" fillId="8" borderId="11" xfId="0" applyFont="1" applyFill="1" applyBorder="1" applyAlignment="1">
      <alignment horizontal="center" vertical="center"/>
    </xf>
    <xf numFmtId="0" fontId="38" fillId="2" borderId="3" xfId="0" applyFont="1" applyFill="1" applyBorder="1" applyAlignment="1">
      <alignment horizontal="center" vertical="center"/>
    </xf>
    <xf numFmtId="0" fontId="38" fillId="2" borderId="4" xfId="0" applyFont="1" applyFill="1" applyBorder="1" applyAlignment="1">
      <alignment horizontal="center" vertical="center"/>
    </xf>
    <xf numFmtId="0" fontId="38" fillId="2" borderId="5" xfId="0" applyFont="1" applyFill="1" applyBorder="1" applyAlignment="1">
      <alignment horizontal="center" vertical="center"/>
    </xf>
    <xf numFmtId="165" fontId="41" fillId="8" borderId="3" xfId="0" applyNumberFormat="1" applyFont="1" applyFill="1" applyBorder="1" applyAlignment="1">
      <alignment horizontal="center" vertical="center"/>
    </xf>
    <xf numFmtId="165" fontId="41" fillId="8" borderId="5" xfId="0" applyNumberFormat="1" applyFont="1" applyFill="1" applyBorder="1" applyAlignment="1">
      <alignment horizontal="center" vertical="center"/>
    </xf>
    <xf numFmtId="0" fontId="43" fillId="8" borderId="7" xfId="0" applyFont="1" applyFill="1" applyBorder="1" applyAlignment="1">
      <alignment horizontal="center" vertical="center"/>
    </xf>
    <xf numFmtId="0" fontId="43" fillId="8" borderId="11" xfId="0" applyFont="1" applyFill="1" applyBorder="1" applyAlignment="1">
      <alignment horizontal="center" vertical="center"/>
    </xf>
    <xf numFmtId="164" fontId="1" fillId="5" borderId="3" xfId="0" applyNumberFormat="1" applyFont="1" applyFill="1" applyBorder="1" applyAlignment="1">
      <alignment horizontal="center" vertical="center"/>
    </xf>
    <xf numFmtId="164" fontId="1" fillId="5" borderId="4" xfId="0" applyNumberFormat="1" applyFont="1" applyFill="1" applyBorder="1" applyAlignment="1">
      <alignment horizontal="center" vertical="center"/>
    </xf>
    <xf numFmtId="164" fontId="1" fillId="5" borderId="5" xfId="0" applyNumberFormat="1" applyFont="1" applyFill="1" applyBorder="1" applyAlignment="1">
      <alignment horizontal="center" vertical="center"/>
    </xf>
    <xf numFmtId="165" fontId="1" fillId="5" borderId="3" xfId="0" applyNumberFormat="1" applyFont="1" applyFill="1" applyBorder="1" applyAlignment="1">
      <alignment horizontal="center" vertical="center"/>
    </xf>
    <xf numFmtId="165" fontId="1" fillId="5" borderId="5" xfId="0" applyNumberFormat="1" applyFont="1" applyFill="1" applyBorder="1" applyAlignment="1">
      <alignment horizontal="center" vertical="center"/>
    </xf>
    <xf numFmtId="0" fontId="1" fillId="2" borderId="24" xfId="0" applyFont="1" applyFill="1" applyBorder="1" applyAlignment="1">
      <alignment horizontal="center" vertical="center"/>
    </xf>
    <xf numFmtId="0" fontId="1" fillId="2" borderId="11" xfId="0" applyFont="1" applyFill="1" applyBorder="1" applyAlignment="1">
      <alignment horizontal="center" vertical="center"/>
    </xf>
    <xf numFmtId="0" fontId="33" fillId="8" borderId="3" xfId="0" applyFont="1" applyFill="1" applyBorder="1" applyAlignment="1">
      <alignment horizontal="center" vertical="center"/>
    </xf>
    <xf numFmtId="0" fontId="33" fillId="8" borderId="4" xfId="0" applyFont="1" applyFill="1" applyBorder="1" applyAlignment="1">
      <alignment horizontal="center" vertical="center"/>
    </xf>
    <xf numFmtId="0" fontId="33" fillId="8" borderId="5" xfId="0" applyFont="1" applyFill="1" applyBorder="1" applyAlignment="1">
      <alignment horizontal="center" vertical="center"/>
    </xf>
    <xf numFmtId="0" fontId="28" fillId="8" borderId="23" xfId="0" applyFont="1" applyFill="1" applyBorder="1" applyAlignment="1">
      <alignment horizontal="center" vertical="center"/>
    </xf>
    <xf numFmtId="0" fontId="28" fillId="8" borderId="0" xfId="0" applyFont="1" applyFill="1" applyAlignment="1">
      <alignment horizontal="center" vertical="center"/>
    </xf>
    <xf numFmtId="0" fontId="28" fillId="8" borderId="24" xfId="0" applyFont="1" applyFill="1" applyBorder="1" applyAlignment="1">
      <alignment horizontal="center" vertical="center"/>
    </xf>
    <xf numFmtId="0" fontId="28" fillId="8" borderId="11" xfId="0" applyFont="1" applyFill="1" applyBorder="1" applyAlignment="1">
      <alignment horizontal="center" vertical="center"/>
    </xf>
    <xf numFmtId="0" fontId="36" fillId="8" borderId="4" xfId="0" applyFont="1" applyFill="1" applyBorder="1" applyAlignment="1">
      <alignment horizontal="center" vertical="center"/>
    </xf>
    <xf numFmtId="0" fontId="36" fillId="8" borderId="5" xfId="0" applyFont="1" applyFill="1" applyBorder="1" applyAlignment="1">
      <alignment horizontal="center" vertical="center"/>
    </xf>
    <xf numFmtId="0" fontId="1" fillId="2" borderId="23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76" fillId="19" borderId="3" xfId="0" applyFont="1" applyFill="1" applyBorder="1" applyAlignment="1">
      <alignment horizontal="center" vertical="center"/>
    </xf>
    <xf numFmtId="0" fontId="76" fillId="19" borderId="4" xfId="0" applyFont="1" applyFill="1" applyBorder="1" applyAlignment="1">
      <alignment horizontal="center" vertical="center"/>
    </xf>
    <xf numFmtId="0" fontId="76" fillId="19" borderId="5" xfId="0" applyFont="1" applyFill="1" applyBorder="1" applyAlignment="1">
      <alignment horizontal="center" vertical="center"/>
    </xf>
    <xf numFmtId="0" fontId="1" fillId="15" borderId="3" xfId="0" applyFont="1" applyFill="1" applyBorder="1" applyAlignment="1">
      <alignment horizontal="center" vertical="center"/>
    </xf>
    <xf numFmtId="0" fontId="1" fillId="15" borderId="4" xfId="0" applyFont="1" applyFill="1" applyBorder="1" applyAlignment="1">
      <alignment horizontal="center" vertical="center"/>
    </xf>
    <xf numFmtId="0" fontId="1" fillId="15" borderId="5" xfId="0" applyFont="1" applyFill="1" applyBorder="1" applyAlignment="1">
      <alignment horizontal="center" vertical="center"/>
    </xf>
  </cellXfs>
  <cellStyles count="1">
    <cellStyle name="Normal" xfId="0" builtinId="0"/>
  </cellStyles>
  <dxfs count="75"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08FECE-C1B4-4EA3-833D-8F1FA5EC671D}">
  <sheetPr>
    <pageSetUpPr fitToPage="1"/>
  </sheetPr>
  <dimension ref="A1:XFC488"/>
  <sheetViews>
    <sheetView tabSelected="1" view="pageBreakPreview" zoomScale="60" zoomScaleNormal="70" workbookViewId="0">
      <selection activeCell="R3" sqref="A3:U3"/>
    </sheetView>
  </sheetViews>
  <sheetFormatPr defaultColWidth="11.42578125" defaultRowHeight="15"/>
  <cols>
    <col min="1" max="1" width="33.28515625" customWidth="1"/>
    <col min="2" max="2" width="12.42578125" bestFit="1" customWidth="1"/>
    <col min="3" max="3" width="12" customWidth="1"/>
    <col min="4" max="4" width="13" customWidth="1"/>
    <col min="5" max="5" width="13.28515625" customWidth="1"/>
    <col min="6" max="6" width="11.42578125" customWidth="1"/>
    <col min="7" max="7" width="10.28515625" customWidth="1"/>
    <col min="8" max="9" width="8.85546875" customWidth="1"/>
    <col min="10" max="10" width="12.5703125" customWidth="1"/>
    <col min="11" max="11" width="13.140625" customWidth="1"/>
    <col min="12" max="12" width="13.28515625" customWidth="1"/>
    <col min="13" max="13" width="16.5703125" customWidth="1"/>
    <col min="14" max="14" width="9.85546875" customWidth="1"/>
    <col min="15" max="15" width="10.7109375" customWidth="1"/>
    <col min="16" max="16" width="12.85546875" customWidth="1"/>
    <col min="17" max="17" width="8.85546875" customWidth="1"/>
    <col min="18" max="18" width="13.140625" customWidth="1"/>
    <col min="19" max="19" width="8.85546875" customWidth="1"/>
    <col min="20" max="20" width="20.5703125" style="26" customWidth="1"/>
    <col min="21" max="21" width="14.42578125" customWidth="1"/>
    <col min="22" max="22" width="16.42578125" customWidth="1"/>
    <col min="23" max="23" width="29.28515625" customWidth="1"/>
  </cols>
  <sheetData>
    <row r="1" spans="1:21" ht="30" customHeight="1">
      <c r="A1" s="364" t="s">
        <v>0</v>
      </c>
      <c r="B1" s="364"/>
      <c r="C1" s="364"/>
      <c r="D1" s="364"/>
      <c r="E1" s="364"/>
      <c r="F1" s="364"/>
      <c r="G1" s="364"/>
      <c r="H1" s="364"/>
      <c r="I1" s="364"/>
      <c r="J1" s="364"/>
      <c r="K1" s="364"/>
      <c r="L1" s="364"/>
      <c r="M1" s="364"/>
      <c r="N1" s="364"/>
      <c r="O1" s="364"/>
      <c r="P1" s="364"/>
      <c r="R1" s="365">
        <v>46209</v>
      </c>
      <c r="S1" s="365"/>
      <c r="T1" s="365"/>
    </row>
    <row r="2" spans="1:21" ht="13.5" customHeight="1">
      <c r="A2" s="364"/>
      <c r="B2" s="364"/>
      <c r="C2" s="364"/>
      <c r="D2" s="364"/>
      <c r="E2" s="364"/>
      <c r="F2" s="364"/>
      <c r="G2" s="364"/>
      <c r="H2" s="364"/>
      <c r="I2" s="364"/>
      <c r="J2" s="364"/>
      <c r="K2" s="364"/>
      <c r="L2" s="364"/>
      <c r="M2" s="364"/>
      <c r="N2" s="364"/>
      <c r="O2" s="364"/>
      <c r="P2" s="364"/>
      <c r="R2" s="365"/>
      <c r="S2" s="365"/>
      <c r="T2" s="365"/>
    </row>
    <row r="3" spans="1:21" s="1" customFormat="1" ht="48" customHeight="1">
      <c r="A3" s="352"/>
      <c r="B3" s="352"/>
      <c r="C3" s="352"/>
      <c r="D3" s="352"/>
      <c r="E3" s="352"/>
      <c r="F3" s="352"/>
      <c r="G3" s="352"/>
      <c r="H3" s="352"/>
      <c r="I3" s="352"/>
      <c r="J3" s="352"/>
      <c r="K3" s="352"/>
      <c r="L3" s="352"/>
      <c r="M3" s="352"/>
      <c r="N3" s="352"/>
      <c r="O3" s="352"/>
      <c r="P3" s="352"/>
      <c r="Q3" s="352"/>
      <c r="R3" s="352"/>
      <c r="S3" s="352"/>
      <c r="T3" s="352"/>
      <c r="U3" s="352"/>
    </row>
    <row r="5" spans="1:21" s="1" customFormat="1" ht="38.25" customHeight="1">
      <c r="A5" s="373" t="s">
        <v>1</v>
      </c>
      <c r="B5" s="373"/>
      <c r="C5" s="373"/>
      <c r="D5" s="373"/>
      <c r="E5" s="373"/>
      <c r="F5" s="373"/>
      <c r="G5" s="373"/>
      <c r="H5" s="373"/>
      <c r="I5" s="373"/>
      <c r="J5" s="373"/>
      <c r="K5" s="373"/>
      <c r="L5" s="373"/>
      <c r="M5" s="373"/>
      <c r="N5" s="373"/>
      <c r="O5" s="373"/>
      <c r="P5" s="373"/>
      <c r="Q5" s="373"/>
      <c r="R5" s="373"/>
      <c r="S5" s="373"/>
      <c r="T5" s="373"/>
    </row>
    <row r="6" spans="1:21" s="1" customFormat="1" ht="31.5" customHeight="1">
      <c r="A6" s="106" t="s">
        <v>2</v>
      </c>
      <c r="B6" s="322" t="s">
        <v>3</v>
      </c>
      <c r="C6" s="322"/>
      <c r="D6" s="322"/>
      <c r="E6" s="322"/>
      <c r="F6" s="322"/>
      <c r="G6" s="322"/>
      <c r="H6" s="322"/>
      <c r="I6" s="322"/>
      <c r="J6" s="322"/>
      <c r="K6" s="106"/>
      <c r="L6" s="106"/>
      <c r="M6" s="367" t="s">
        <v>4</v>
      </c>
      <c r="N6" s="367"/>
      <c r="O6" s="367"/>
      <c r="P6" s="367"/>
      <c r="Q6" s="367"/>
      <c r="R6" s="367"/>
      <c r="S6" s="367"/>
      <c r="T6" s="367"/>
    </row>
    <row r="7" spans="1:21" s="1" customFormat="1" ht="20.45" customHeight="1">
      <c r="A7" s="103" t="s">
        <v>5</v>
      </c>
      <c r="B7" s="87" t="s">
        <v>6</v>
      </c>
      <c r="C7" s="87" t="s">
        <v>7</v>
      </c>
      <c r="D7" s="87" t="s">
        <v>8</v>
      </c>
      <c r="E7" s="87" t="s">
        <v>9</v>
      </c>
      <c r="F7" s="87" t="s">
        <v>10</v>
      </c>
      <c r="G7" s="87" t="s">
        <v>11</v>
      </c>
      <c r="H7" s="87" t="s">
        <v>12</v>
      </c>
      <c r="I7" s="87" t="s">
        <v>13</v>
      </c>
      <c r="J7" s="87" t="s">
        <v>14</v>
      </c>
      <c r="K7" s="87" t="s">
        <v>6</v>
      </c>
      <c r="L7" s="87" t="s">
        <v>7</v>
      </c>
      <c r="M7" s="87" t="s">
        <v>8</v>
      </c>
      <c r="N7" s="87" t="s">
        <v>9</v>
      </c>
      <c r="O7" s="87" t="s">
        <v>10</v>
      </c>
      <c r="P7" s="87" t="s">
        <v>11</v>
      </c>
      <c r="Q7" s="87" t="s">
        <v>12</v>
      </c>
      <c r="R7" s="87" t="s">
        <v>13</v>
      </c>
      <c r="S7" s="87" t="s">
        <v>14</v>
      </c>
      <c r="T7" s="148" t="s">
        <v>15</v>
      </c>
    </row>
    <row r="8" spans="1:21" s="1" customFormat="1" ht="23.25" customHeight="1">
      <c r="A8" s="164" t="s">
        <v>16</v>
      </c>
      <c r="B8" s="115">
        <f>19+40+58-1+3+2-121+18+40+58+1+1-1-1-1-1-1-1-15-1-1-1-1-3-1-1-1-1-2-1-1-2-58-1-1-2-1-2-1-1-1+8-1-2-2-1-1-1+15-1-2-4-1+30-1+32-2-1</f>
        <v>77</v>
      </c>
      <c r="C8" s="115">
        <f>18+70-1-1+2-1+6+6+2+5+1+1-1-107+25+6+70-5-1+1-1-1-4-1-2-2-1+1-1-3-40-1-1-1-2-1-2-5-1-1-1-1-3-1-1-1-1-1-3-1-3-1-2-1-2-1-1-1+30-1-1-2-2-1-4-6+5-1-1+1-2-1+1-2+50-1-2-1-7-1-3-1-1-1-1-1-1-1-1-1-2-1-1-6-2-1-1-3-1-1-4-5-1-1+25-4-25-5+50+41-1+27-1-1-1+2</f>
        <v>116</v>
      </c>
      <c r="D8" s="115">
        <f>3-1-1+7-2+1+4-2+1-6+10-14+15-6-1-1-5-2+5+50+45-10-1-1-1-1+30-1-1-5-7-1-1-1-1-2-1+2-1-3-1-8-40-1-1-2-1-2-2-1-1-1-3-1-3+1-3-1-8-3-1-2-1-2-3-2+1-1+39-1-1-1-2-3-1-6-5-2-1-2-1-2-1-10+30-1-1-2+31-1-1-12-1-1-6+20-2+2+1-2-2-1+69-3-2-1-2-1-3-3-1-1-4-1-21-5-3-1-2-1-1-1-2-1-1-1-1-1-2-2-1-2-10-4-2-1-4-2-1-1-1-1-5-1-1-3-1-5-1-1-4+14-14+50-2-2-1-5-7-1-1-1-1+1-1-1-1-1-1-7-2-1-10-1+80-7-1-3-1-1-1+80+17-1-1-1+53-6-6-2-1-1-1</f>
        <v>200</v>
      </c>
      <c r="E8" s="115">
        <f>43+60+20+42-1+1-1-1+1+1+3+1-1+5-173+53+60+20+42-1-1-1-3-6+2-1-2-1-2-1-1-3-1-1-1-1-2-1+2-1-4-2-9-40-2-1-1-1-1-1-1-1-7-1-3-1-1-6-1-3-4-1-4-1-1-1-4-1-1-1-3-2-1-2-1-1-5-1-1+3-3-4-1-2-1-3-2-12+60-3-1-3-1-3-1-4+2-1-2+4-1-1-3-1+2+75-1-1-1-2-1-1-2-1-1-1-1-2-1-1-2-1-5-2-1-1-2-4-1-1-1-21-3-1-1-5-2-1-1-1-1-5-2-1-2-5-1-1-2-1-3-1-2-1+25-6-1-1-21-1-1-2-2-6+79-5-2-1-3+150+1-2-4-4-1-1</f>
        <v>207</v>
      </c>
      <c r="F8" s="115">
        <f>23-3+2+2+2-1+1-26+25+2-1-1-1-2-1+1+30-1-1-4+30-1-1-8-1-1-1-2-1+2-2-30-1-1-1-1-1-1-1-1-1-1-1-1-2-2-1-1-1-3-1-1-1+39-1-1-1-2-1-1-1-5-2-1-17+58-1-1-3-1-1-1-8-5-1-1-2-2-1-4-1-1-1-1-4-1-1+30-1-1-1-1-16-1-2-2-1-1-1-2-1-1-2-2-3-2-1-1-1-1-1-1-1-1-1-2-3-2+31-2-2-3-4-3-1+51</f>
        <v>67</v>
      </c>
      <c r="G8" s="115">
        <f>43+2+1-1-2-1-1-1-1-1+2-10-1-1-1-1-1-1-1-1-1-4-1-1-6-3+3-2+25-2-1-1-1-1-1-2-1-3-1+30-1-1-1-1-2-1-1-1-2-1-1+15+32-1-4-1-1</f>
        <v>75</v>
      </c>
      <c r="H8" s="115">
        <f>12+4+1+6-23+17-1-1+2-1-1-3+16-1-1-1-1-1-10-5-3-4-1+15-1-1-1-1-1-1-1-6+13+1-1-1</f>
        <v>14</v>
      </c>
      <c r="I8" s="115">
        <f>12+9+3+1+1+1-26+16+9+1-1-1-1-1-1-2-1+1-1-1-1+10-3-1</f>
        <v>23</v>
      </c>
      <c r="J8" s="115">
        <f>21+10+4-35+25+10-1-1-1+8-1-1-1-1-2-1-2-1-1-9-1-1-1-1-1+9+1-1</f>
        <v>24</v>
      </c>
      <c r="K8" s="115">
        <f>55+10+5-2-1-67+56+10-3-1-4-10-1-1-1-1-1-1-1-1-1-1-1-1-2-1-1-6-1-2-1-1-1+20-1+1-1-1+40-1-1-6+40-1-1</f>
        <v>108</v>
      </c>
      <c r="L8" s="115">
        <f>15+42-1-2-1+1-4-1+3+6-2-56+13+42-1-3-1-1-7+1+1+2+102-1-3-8-2-1-3-20-1-2-1-3-1+2-2-8-40-1-1-4+1-1-1+1-2-1-8-3-2-2-1-1-1-1-1-4-2+23-2+2-1-2-1-5-2-1-1-10-1-5-9+30-1-1-2-1-3-1-1-2-1+1+90-1-1-1-1-1-1-3-1-1-1-2-1-1-1-3-2-9-2-1-3-1-1-1-1-6-3-1-1-4-1-1-1-1-1-2-1-1-5-1-1-2-1+49-1-5-2-1-1-1-1+2-2-1-1+100-1-1-1-1-1-2-1-22-3-2-1-2+58</f>
        <v>192</v>
      </c>
      <c r="M8" s="115">
        <f>6-4-1-1+8-1-6-1-8-4+60-2-1-1-1-1-2-1-39+230-55-2-9-1-1-1-1-5-1+2-1-3-14-40-1-1-1-1-1-2-2-1-8-2-4-1-21-1-1-1-1-1-2-1-9-2-1-3-2-1-1-5-2-5-2-3-1-3-1-3+98-1-6-1-4+4-1-1-1-2-1-1-5-1-1-2-1-5-1-1-1-2-1-15-4-1-1-1-2-1-2-8-27+40-1-1-3-1-1-4-1-3-1+20-1-1-2-2-5+9-1-4+4+1-1-2-1-2-1-1+1-1-1+176-1-1-5-1-1-1-3-2-3-1-1-1-1-1-1-5-1-1-1-4-2-1-22-1-3-1-1-12-2-2-1-1-2-1-4-1-3-1-1-1-3-1-1-1-5-3-3-1-3-20-2-4-1-5-5-6-10-1-4-5-1-1-2-22+120-3-6-1-1-1-6-7-1-1-1-1-1-1-1-1+1-3-12-5-1-7-1-1-1-4-1-1+150-5-2-1-22-1-4-1-1-1-2+50-4-1-2-2-1-1-1-2-1-10-5-1-1-1-12+120-1-1</f>
        <v>284</v>
      </c>
      <c r="N8" s="115">
        <f>112-1-2-1-1-4-2-1-2-1-33-2-1-1-6-3-1-12-1-25-2-3-2-2-1-1-1+120-1-2-3-1-3-1-8-1-1-2-1-1-1-1-1-1-1-1-6-1-2-5-1-1-4-1-2+169-5-2-21-7-1-4-1+30-3-3-1-1-1-1+1-3-2-4-2-1-1-1-1+50-7-7-35-1-1-1-19-2+99-1-1</f>
        <v>274</v>
      </c>
      <c r="O8" s="115">
        <f>5-2-2-1+5-2-2+50+47-2-2-1-1-1-1-1-1+50-1-15-2-2-1-1-2+8-10-4-1-2-1-1-3-1+2+2-1-3-1-4-40-1-1-5-5-1-7-2+1-1-1-1-3-1-17+5-1-9-2-1-1+1-1+50-3-7-3-5-4-2-1-1-1-10-3-1-1-8+11-3-1-2-1-4+19-2-1-1-12-1+29-25-1+1-1-1-4+1+1-1-1+10-2-1-1-1-1-2-1-1+79-2-2-1-1-2-4-1+2-2-1-4-1-1-1-18-2-4-1-1-7-1-2-1-1-1-1-3-1-1+61-1-1-30-1-2-1-1-1-3-1-3-2-1-2-2-2-3-1+100-4-2-2-1-7-2-1-1-2-25-1-1-1-1-8-1</f>
        <v>56</v>
      </c>
      <c r="P8" s="115">
        <f>13-13+4+1-2+1-1-1-1+8-8-1+5+60-5-1-1-2-1+1+1-1-1-1-1-1-1-3-1-2-1-1-7-15-3-2-1-5-1-1-1-3-1-1-1-1+30-1-1-4-1-1+8-10-1-1+2-2-1-17+1+20-1-1-2-1-1-1-1-1-1-1-1-1-1-1-1-5+14-1-1-4-1-2-2-2-1+50-1-2-1-2-2-2-1-1-2+49-1-1+60-5-25-4-1-1-1-7-1</f>
        <v>98</v>
      </c>
      <c r="Q8" s="115">
        <f>2+1+20-15-1-1-1+1+30-1-3-1-3-1-1-1-1-1+2-20-1-1-1-2+3-1-2+9-6-3+4-1+1-4+1-1+15-1-1-2-1-2-2-1-1-1+10-1-1-11+40-10-1-2-1-1</f>
        <v>25</v>
      </c>
      <c r="R8" s="115">
        <f>19+2-1+1-21+18-1-2-1-1-1-1-1-1-1-1-1-2-1-4+1+6-2-1-1-1-1+10-2+10-1-1-10-1-1-1-1-1-1+4</f>
        <v>4</v>
      </c>
      <c r="S8" s="115">
        <f>13+1-1-1-10-1-1+10-1-1-1+10-2-6-1+10-1-1-2-1</f>
        <v>13</v>
      </c>
      <c r="T8" s="144">
        <f>SUM(B8:S8)</f>
        <v>1857</v>
      </c>
      <c r="U8" s="6"/>
    </row>
    <row r="9" spans="1:21" s="1" customFormat="1" ht="23.25" customHeight="1">
      <c r="A9" s="164" t="s">
        <v>17</v>
      </c>
      <c r="B9" s="276">
        <f>32+40-7</f>
        <v>65</v>
      </c>
      <c r="C9" s="276">
        <f>5-2-3+39+79-23</f>
        <v>95</v>
      </c>
      <c r="D9" s="276">
        <f>66-7-1+1-1-2-3-2-1+103-100-1-1-15-1-9+21-12-1</f>
        <v>34</v>
      </c>
      <c r="E9" s="276">
        <f>5-1-2+65+140-50-1-5-5-2-1-1+2+1-16-1</f>
        <v>128</v>
      </c>
      <c r="F9" s="276">
        <f>25+80-1-20-2-5-1-1-1-2-1</f>
        <v>71</v>
      </c>
      <c r="G9" s="276">
        <f>9-8-1+4-3-1+33-1</f>
        <v>32</v>
      </c>
      <c r="H9" s="276">
        <f>14-1-1-3+2-2-1+8-2</f>
        <v>14</v>
      </c>
      <c r="I9" s="276">
        <f>5+4</f>
        <v>9</v>
      </c>
      <c r="J9" s="276">
        <v>10</v>
      </c>
      <c r="K9" s="318">
        <f>31-31+42</f>
        <v>42</v>
      </c>
      <c r="L9" s="276">
        <f>19-19+50-6-10+34-3-1+37-1</f>
        <v>100</v>
      </c>
      <c r="M9" s="276">
        <f>5-5+74-1-38-20-4+50-4-1-1-1-1-1-5-4-4-5-19+134-9-1-1-1-1-1</f>
        <v>135</v>
      </c>
      <c r="N9" s="276">
        <f>25-1+100-2-100-15-1-1-2-3+40-2-1-1-1-2-5-6-3-1-10+94+169-7-1</f>
        <v>263</v>
      </c>
      <c r="O9" s="276">
        <f>34+36-30-3+19-1-1-1-2-5-2+17-4-1</f>
        <v>56</v>
      </c>
      <c r="P9" s="276">
        <f>25+10-20-1-2+32-1-1-5</f>
        <v>37</v>
      </c>
      <c r="Q9" s="276">
        <f>12+4-5-1-2-1-2-2-1</f>
        <v>2</v>
      </c>
      <c r="R9" s="276">
        <f>6-1</f>
        <v>5</v>
      </c>
      <c r="S9" s="276">
        <f>1+6+9</f>
        <v>16</v>
      </c>
      <c r="T9" s="278">
        <f>SUM(B9:S9)</f>
        <v>1114</v>
      </c>
      <c r="U9" s="6"/>
    </row>
    <row r="10" spans="1:21" s="1" customFormat="1" ht="24.75" customHeight="1">
      <c r="A10" s="164" t="s">
        <v>18</v>
      </c>
      <c r="B10" s="115">
        <f>30+20+21+1-72+54+20+21-1-2-1-1-2-1-50-1-1-3-1-1-1-5-1-3-1-1-1-1-1-1-1+20-1-1-4-1-2</f>
        <v>24</v>
      </c>
      <c r="C10" s="115">
        <f>20+32+60+63+17-192+24+32+60+63+17-2-1-1-1-2-1+4-2-1-1-2-1-1-1-1-1-1-1-1-2-1-3-4-14-2-1-3-2-2-4-1-1+1-40-1-3-1-2-1-6+50-1-1-1+1-1-1-6-1-1-16-1-12-1-1-1-1-10-1-4-7-1-1-1-1-1-10-4-1-1-1-1-2-2+19-1+1-1-1-1-1-6-1-2-1-1-1-1-1-1-2-3-1+10-10-1-1-1-1-1-1-5-4-5-1-1</f>
        <v>13</v>
      </c>
      <c r="D10" s="115">
        <f>35+60+60+1-156+38+60+60-6-1-26-1-5-1-1-1-1-4-1-1-1-1-1-2-1-2-1-1-1-1-1-6-1-1-1-1-4-1-1-1-1-1-1-4-1-1-26-27-2-6-1-5-3+1-1+40-1-8-1-1+60-1-3-6+1-4-1-2-41-1-18-1-1-1-1-2-7+50-1-3-1-1-5-1-1-6-12-13-1-5+60-3-4-3-1-1-18-3-3-1-1-1-1-1-1+1-2-1-8-1-1-1+17-17-3-2</f>
        <v>0</v>
      </c>
      <c r="E10" s="115">
        <f>85+2+36-123+52+50+2+36-31-3-5-1-2-7-1-2-1-1+80-1-5-2-1-3-1-1-1-1-2-5-1-1-1-1-1-1-7-8-15-2-10-1-1-1-1-1-1-2-12-15-5-3+1-1-7-4-5-1-1-1-2-1-4-1-3-3-1+59-1-1-2-1+1-1-10-14-1-22-1-18-1-1-1-1-1-1+50-1-1-10-1-2-4-4-27+20-14-6+40-4-2-2-2-8-19-2-1+12-1-11</f>
        <v>0</v>
      </c>
      <c r="F10" s="115">
        <f>9+1-10+21-15-2-1-1-1-1+40+40-6-4-1-2-5-1-1-1-1-1-1-1-1-3-2-1-5-1-1-5-16-6-1-9-2-2+1-1+4-1-3+59-3-2+1-6-6-1-4-1-1-3-1-1-1-1-1-1-1-1-10-1-1-5-1+20-2-1-10-1-2-2-9+30-3-1-3-2-1-1-1-2-1-2-1-1-1-1-1-1-1+7-7-1-5</f>
        <v>0</v>
      </c>
      <c r="G10" s="115">
        <f>4-4+21-8-3-6-1-1-1+40-3-1-1-1-1-1-1-1-1-2-4-2-1-4-1-1+1-2-1+10-3-4-2-1-3-1-4-1-2-2+20-1-1-1-1-5-2-2-7+6-6</f>
        <v>0</v>
      </c>
      <c r="H10" s="115">
        <f>8-8+15+20-3-1-1-1-1-1-3-1-10-3-2-1-1-1-2+10-1-3-1-1-1-5-1</f>
        <v>0</v>
      </c>
      <c r="I10" s="115">
        <f>21-1-1-1-4-10-4+1-1</f>
        <v>0</v>
      </c>
      <c r="J10" s="115">
        <f>16+15-31+23+15-1-1-1-1-1</f>
        <v>33</v>
      </c>
      <c r="K10" s="115">
        <f>40+30+20+70+13+1-174+42+70+30+20+13-1-5-3-2-1-1-1-100-2-1-1-1-1-1-1-5-1-1-1-1-2-7-3-1-4-1-4-1-1-2</f>
        <v>18</v>
      </c>
      <c r="L10" s="115">
        <f>31+65+65+40+1-202+36+40-6-19-1-1-1-3-1-13+140-1-2-1-3-3-2-2-1-1-1-1-1-20+2-1-1-1-1-2-3-10-1-12-1-1+80-72-1-1-5-1-1-1+100-3-1-3-1+1-2-2-1-8-1-6-1-1-1-1-1-1-3-10-1-2-2-1-1-2-1-1-1-4-3-3-3-4-6-6-1-1-2-1-2-3-1-3-1-3-1-17-1-3-1-1+1-1-2+4+19-4-19-1-1-1-1-2-1-1-6-6-1</f>
        <v>46</v>
      </c>
      <c r="M10" s="115">
        <f>47+63+32+1+1-144+60+62+32+63+1-3-19-7-1+69+81-1-2-1+50-1-19+1-1-2-4-6-1-1-1-2-1-5-1-1-1-3-8-1-1-1-9-2+1-1-1-1-1-7-11-1-1-35+7+1-1-1-1-8-1-1-3-1-1-4-8-39-1-21-1-1-1-8-13-1+100+165-264-1-2-5-1-1-2-9-1-1-8-1-3+49-12-10-4-1+1-4+1-4-4-1-60-1-1-22-2-1-1-1-1-1-1-1-1-1-1-1-10-10-6-1+99-2-1-1-2-8-1-2-2-16-2-1-1-1-1-15-18-7-2-1-2-1-2-2-4-1-1-2+20-4-9-7+80-3-4-9-3-30-1-6-3-4-1-1-5-1-1+3-1-3-5-1+7+5-7-5-1</f>
        <v>0</v>
      </c>
      <c r="N10" s="115">
        <f>0+60+65+48-4-169+24+65+48-6-5-1-1-1-19-3-1-10-1-1-1+100-27-1+100-4-9-2-2-1-1-2-1-5-2-1-3-1-2-1-1-4-14-1-1-2-14-5-1-2-1-2-6-4-1-1-1-65+14-1-1-1-2-3-1-1-2-12-22-1-3-15-1-1-1-16-6+118+120-238-1+75-75-8-1-1-3-1-1-1-2-1+14-1-6-1-6+150-6-4-6-3-1-3-1+1-1-2-4-4-1-1-44-1-2-1-21-6-1-1-1-2-1-2-1-1-1-1-1-1-3-1-10-2-2-1-1-2-3+96-1-15-1-1-1-1-18-10-1-1+4-1-2-10-18-6-2-1-1-2-2-2-1-1-1+10-4-6+90-12-4-19-1-18-7-2-1-1-1-1-1-2-2-2-1-1-1-1-1-1-1-5-1+12-12-2-1</f>
        <v>0</v>
      </c>
      <c r="O10" s="115">
        <f>1-1+22-13-8+100-7-1-1-1-1-3-3-1-2-1-1-1-1-1-1-1-1-1-2-1-14-1+1-1-1-2-1-1-1-3-21-1-2-11-1-4-2+149-145-3-1-1-1-1+1-1+50-3-2-8-4-2-2+3-1-3-1+1-1-1-2-1-2-1-2-16-2+42-1-2-1-2-1-1-6-10-1-1-2-7-1-5-1+57-3-14-5-1-4-5-1-1-1-1+3-1-2-1+8+7-1-8-7-1-1-1-1-2-1-1-1-3</f>
        <v>7</v>
      </c>
      <c r="P10" s="115">
        <f>30+12-1+12-1-2-2-1-1-1-1-1-6-6-2-1-5-1-2-1-1-2-2-2-5+1-1-1-1-1-1-1-2+40-35-5+1-1+50-3-2-2-1-1-2-1-1-2-1-1-10-1-1-2-13-1-1-1-3+46-4-7-1-1-1-1-1-1-1-2-1-1+60-3-1-1-1-1-1-1-2-1-1-3-1-1-2</f>
        <v>64</v>
      </c>
      <c r="Q10" s="115">
        <f>10+20+5-35+10+20+5-2+22-3-1-1-1-1-1-1-1-1-2-1+2-1-1-1-2-1+20-14-1-1-1-1-2-1-1-2-3-1-1-1-1-1-3-1-1-5-10-5+10-10+2-1</f>
        <v>1</v>
      </c>
      <c r="R10" s="115">
        <f>0+1-1+20-1-1-1-1-2-2-3-1-1+10-3-13-1</f>
        <v>0</v>
      </c>
      <c r="S10" s="115">
        <f>4-1-1</f>
        <v>2</v>
      </c>
      <c r="T10" s="144">
        <f>SUM(B10:S10)</f>
        <v>208</v>
      </c>
      <c r="U10" s="6"/>
    </row>
    <row r="11" spans="1:21" s="1" customFormat="1" ht="23.25" customHeight="1">
      <c r="A11" s="164" t="s">
        <v>19</v>
      </c>
      <c r="B11" s="115">
        <f>15-1+2-1+4-1-1-1-1</f>
        <v>15</v>
      </c>
      <c r="C11" s="115">
        <f>17-6-6+6-2-1-2+1+2-7-2+8-2-2-1</f>
        <v>3</v>
      </c>
      <c r="D11" s="115">
        <f>28-7-7-2+1+7-2-5+2-3+1+5-1-4-1-2-1-1+19-2-1-1-1-2-1-1-1+1-2-1-1-1</f>
        <v>13</v>
      </c>
      <c r="E11" s="115">
        <f>32-6-6-2+6-1-1-6+3-5-1+7+5+5-14-1-1-1-2-2+19-1-1-1-1-1-1-1</f>
        <v>21</v>
      </c>
      <c r="F11" s="115">
        <f>20-2-2+2-4+6+1-4-1-4-1-1-1-1-2+8-1-1-1-1</f>
        <v>10</v>
      </c>
      <c r="G11" s="115">
        <f>11+1-3-3+3-2+1-1-2-2-2+4-1-1-1-1</f>
        <v>1</v>
      </c>
      <c r="H11" s="115">
        <f>27-4-4+4+4+10-1-1+4-2-1-1</f>
        <v>35</v>
      </c>
      <c r="I11" s="115">
        <f>10+1+4-1</f>
        <v>14</v>
      </c>
      <c r="J11" s="115">
        <f>13+5+4-1</f>
        <v>21</v>
      </c>
      <c r="K11" s="115">
        <f>10+4+9-9-1-2-1+15-1-1+1-1-1</f>
        <v>22</v>
      </c>
      <c r="L11" s="115">
        <f>22-1-10-1-5+2-1-1-5+4-4+8-1-1-4-2+15-2-1-1-1-1-1</f>
        <v>8</v>
      </c>
      <c r="M11" s="115">
        <f>25-1-1-6-1-6+6-1-10+1-1-3-2+1-1+4-4+4-1-1+1-3+30-1-2-1-18-5-1-1-1+14-10-1-1+1-1-1</f>
        <v>1</v>
      </c>
      <c r="N11" s="115">
        <f>28-1-1-10+1-1+1-1-7+1-1-9+2-5+3+34-1-1-1-5-1-5-2-1-2-1-2-1-1-2-3-1-2+30-4-1-1-15-2-4-3+54-38-1-15-1-1</f>
        <v>0</v>
      </c>
      <c r="O11" s="115">
        <f>5-4-1+9+5-1-4+2-1-2-1-2-5+15-1-1-1-1-11+36-36</f>
        <v>0</v>
      </c>
      <c r="P11" s="115">
        <f>21-1+1-1-1-6-1-1-1-2+15-1+3-2-1-1-1-1</f>
        <v>19</v>
      </c>
      <c r="Q11" s="115">
        <f>5-1-1-1+1-2+1-1-1+1-1+1-1+5-1</f>
        <v>4</v>
      </c>
      <c r="R11" s="115">
        <f>7+1-1+5-1</f>
        <v>11</v>
      </c>
      <c r="S11" s="115">
        <f>12+1+5-1-1-1</f>
        <v>15</v>
      </c>
      <c r="T11" s="144">
        <f>SUM(B11:S11)</f>
        <v>213</v>
      </c>
    </row>
    <row r="12" spans="1:21" ht="21.75" customHeight="1">
      <c r="A12" s="145"/>
      <c r="B12" s="145"/>
      <c r="C12" s="145"/>
      <c r="D12" s="145"/>
      <c r="E12" s="145"/>
      <c r="F12" s="145"/>
      <c r="G12" s="145"/>
      <c r="H12" s="145"/>
      <c r="I12" s="145"/>
      <c r="J12" s="145"/>
      <c r="K12" s="145"/>
      <c r="L12" s="145"/>
      <c r="M12" s="145"/>
      <c r="N12" s="145"/>
      <c r="O12" s="145"/>
      <c r="P12" s="146"/>
      <c r="Q12" s="146"/>
      <c r="R12" s="146"/>
      <c r="S12" s="146"/>
      <c r="T12" s="147">
        <f>SUM(T8:T11)</f>
        <v>3392</v>
      </c>
    </row>
    <row r="13" spans="1:21">
      <c r="A13" s="75"/>
      <c r="B13" s="76"/>
      <c r="C13" s="76"/>
      <c r="D13" s="76"/>
      <c r="E13" s="76"/>
      <c r="F13" s="76"/>
      <c r="G13" s="76"/>
      <c r="H13" s="76"/>
      <c r="I13" s="76"/>
      <c r="J13" s="76"/>
      <c r="K13" s="76"/>
      <c r="L13" s="76"/>
      <c r="M13" s="76"/>
      <c r="N13" s="76"/>
      <c r="O13" s="76"/>
      <c r="P13" s="76"/>
      <c r="Q13" s="76"/>
      <c r="R13" s="76"/>
      <c r="S13" s="76"/>
      <c r="T13" s="76"/>
    </row>
    <row r="14" spans="1:21" ht="31.5">
      <c r="A14" s="166"/>
      <c r="B14" s="166"/>
      <c r="C14" s="166"/>
      <c r="D14" s="166"/>
      <c r="E14" s="166"/>
      <c r="F14" s="166"/>
      <c r="G14" s="166"/>
      <c r="H14" s="166"/>
      <c r="I14" s="166"/>
      <c r="J14" s="166"/>
      <c r="K14" s="166" t="s">
        <v>20</v>
      </c>
      <c r="L14" s="166"/>
      <c r="M14" s="166"/>
      <c r="N14" s="166"/>
      <c r="O14" s="166"/>
      <c r="P14" s="166"/>
      <c r="Q14" s="166"/>
      <c r="R14" s="166"/>
      <c r="S14" s="166"/>
      <c r="T14" s="167"/>
    </row>
    <row r="15" spans="1:21" ht="26.25">
      <c r="A15" s="106" t="s">
        <v>2</v>
      </c>
      <c r="B15" s="83"/>
      <c r="C15" s="84"/>
      <c r="D15" s="84"/>
      <c r="E15" s="84"/>
      <c r="F15" s="83" t="s">
        <v>3</v>
      </c>
      <c r="G15" s="84"/>
      <c r="H15" s="84"/>
      <c r="I15" s="84"/>
      <c r="K15" s="83"/>
      <c r="L15" s="85"/>
      <c r="M15" s="84"/>
      <c r="O15" s="83" t="s">
        <v>4</v>
      </c>
      <c r="P15" s="85"/>
      <c r="Q15" s="84"/>
      <c r="R15" s="84"/>
      <c r="S15" s="84"/>
      <c r="T15" s="84"/>
    </row>
    <row r="16" spans="1:21" s="1" customFormat="1" ht="36" customHeight="1">
      <c r="A16" s="103" t="s">
        <v>5</v>
      </c>
      <c r="B16" s="87" t="s">
        <v>6</v>
      </c>
      <c r="C16" s="87" t="s">
        <v>7</v>
      </c>
      <c r="D16" s="87" t="s">
        <v>8</v>
      </c>
      <c r="E16" s="87" t="s">
        <v>9</v>
      </c>
      <c r="F16" s="87" t="s">
        <v>10</v>
      </c>
      <c r="G16" s="87" t="s">
        <v>11</v>
      </c>
      <c r="H16" s="87" t="s">
        <v>12</v>
      </c>
      <c r="I16" s="87" t="s">
        <v>13</v>
      </c>
      <c r="J16" s="87" t="s">
        <v>14</v>
      </c>
      <c r="K16" s="87" t="s">
        <v>6</v>
      </c>
      <c r="L16" s="87" t="s">
        <v>21</v>
      </c>
      <c r="M16" s="87" t="s">
        <v>8</v>
      </c>
      <c r="N16" s="87" t="s">
        <v>9</v>
      </c>
      <c r="O16" s="87" t="s">
        <v>10</v>
      </c>
      <c r="P16" s="87" t="s">
        <v>11</v>
      </c>
      <c r="Q16" s="87" t="s">
        <v>12</v>
      </c>
      <c r="R16" s="87" t="s">
        <v>13</v>
      </c>
      <c r="S16" s="87" t="s">
        <v>14</v>
      </c>
      <c r="T16" s="148" t="s">
        <v>15</v>
      </c>
    </row>
    <row r="17" spans="1:21" s="1" customFormat="1" ht="24" customHeight="1">
      <c r="A17" s="165" t="s">
        <v>22</v>
      </c>
      <c r="B17" s="149">
        <f>12+15-1+15-1+3+3-1-1-1-1-1-1-2+1-1-1-2-15-3-1-1</f>
        <v>15</v>
      </c>
      <c r="C17" s="149">
        <f>55+45+45+12+53+5+36+10-1-7-2-1-1-12-1+10-1-1-1-4-2+1-5+3+2-1-2-2-1-4-1-1-2-1-2-2-1-2-2-4-2-1-1-1-2-2+1+2-1-2-1-3-1+1-5-26-1-1-1-2-4+1+1+26-10-4-7-3-1-1-3-2-2-4-1-1</f>
        <v>146</v>
      </c>
      <c r="D17" s="149">
        <f>32+40-1-16-5-1-1-4-2+2-8-1-1-1-1-1-1+1-1-10+4+2-1-1-1-1-1-1-1-1-5-4-3-6+60-2-1-2-1-2-1-2-2-47+20-1-1-1-1-1-2-1-1-1-5+1+1-1-2-1-1-2+129-1-1-1-3-1-1-2-1-1-42-1-2-2-1-9-2-1-1+1-1-1-1+1+42-12-6-7-4-1-1-3-3-2-2-1-4-10-1+132-1-1-1-1-1-1-2-1-2</f>
        <v>161</v>
      </c>
      <c r="E17" s="150">
        <f>26+35+60+16-10-7-1-1-2-1-1-1-1-2-1-1-7-1+1-1-1-1-1-1-1-1-2-5-3-1-2-2-1-1-1-1-1-6-1-1-1-1-1-3-2-1-1-1+1+1-1-1-1-3+26+20+33+19-1-1-3-1-1-1-23-1-5-2-1+1+2+23-17-3-1-3-1-1-1-2-3-1-1-3-4+2-1-1-1</f>
        <v>93</v>
      </c>
      <c r="F17" s="149">
        <f>38+10+30-2-2-1+3+1-3-1+30-1-1-1-2-2-1+3-1-1-3-1-1-4-1-1-1-1-3-1+1-1-1+60+30+75+25+55+12+47-2-1-1-1-1-25-1-29-1-1-1+1-4+1+25-1-2-2-1-1-7-1-1-2-1-2+21-1-1-1</f>
        <v>338</v>
      </c>
      <c r="G17" s="149">
        <f>34+43+2+10+5-1-1-1-1-55+1-1+3-1-1-1-1-1-1-1+76-1-1-1-17-1-1+17-1-3-1-2-2+5-1-4-1</f>
        <v>92</v>
      </c>
      <c r="H17" s="149">
        <f>8+44+10-1-1-2-2-10-1-1-1-1+120-1-4-1-10+4-2-1-1-4-1-1</f>
        <v>140</v>
      </c>
      <c r="I17" s="149">
        <f>4+1-5-5+5</f>
        <v>0</v>
      </c>
      <c r="J17" s="149">
        <f>4+15-1-1-1-6-1</f>
        <v>9</v>
      </c>
      <c r="K17" s="115">
        <f>30+30+25-1-7+3-1-2-1-1-1-1-1-5-1</f>
        <v>66</v>
      </c>
      <c r="L17" s="115">
        <f>40+15+2+18+43+45+45+45+49+40+1+45-7-3-7-1-1-2-4-2-1-5-2-1-3-9-1-2+1-10-9-2-1-1-5-1-5-11-2-30-2-1-1-1-1-3-1+1+10-1-2+60+60+59+34+57+60+60+60-2-1-1-1-1-1-1+1-3-23-1-2-1+1+1+5+23-8-2-1-1-2-1-1-1-1-1-1-1-1-7</f>
        <v>673</v>
      </c>
      <c r="M17" s="115">
        <f>13-1-1-1-2-1-1-1-1-1-1-1-1+1+1+4+1+29-8-10-3-13-2+1-1</f>
        <v>0</v>
      </c>
      <c r="N17" s="115">
        <f>59+30+4-2-10-19-21-12-1-1-1-12-4-3-6-1-1+1-2-1-6+60+60+6-1-5-4-2-1-1-33-1-2-67+1-1-1+1+300-2-1-10-30-3-11-2-5-4-1-2-6-1-1-1-4-3-25-8-3-1-2-46-3-1-8-1-1-1-2-1-3-4-1-5-1-1-1-1-3-1-2-3-1+2-2-1-1-1-2-1-2-1-1-1-1-2-1-1-1-1-1+2-1-1-1-6-1-1-1-1-13-1-1-8-1-5-1+2+1-2-1+37-15-5-1-8-5-4-10-5-1-2-1-3</f>
        <v>0</v>
      </c>
      <c r="O17" s="115">
        <f>52+8-17-14-2-1-1-3-4-6-4-1+60+60+25+2-1-33-120+1-1+1+150-6-1-1-4-10+4-20-2-7-4-4-1-2-1-2-1-16-4-3-2-23-6-1-5-1-1-4-1-2-1-1-3-1-1+1-2-1-1-1-1-1-1-1-1-4+2+1-1-2+2+14-1-1-5-1-1-7</f>
        <v>0</v>
      </c>
      <c r="P17" s="115">
        <f>49+19+45-5-2-2-1-1-3-2-1+35-1-1-96-140+107-1+1-1+1+24-2-3-1-16-2+1+1+1-3+50-2-1-2-1-2-2-1-1-1-2-1+1-1-1-1-10-1-12-1-2-3-1+1-1-1-1+3-1-2+1+2-1-1-1+3-1-2+1-1+10-4-4-1-1</f>
        <v>0</v>
      </c>
      <c r="Q17" s="115">
        <f>41+36+66+27-2-4-1-1-2-1-1-38-1-1-1-1-20+3-1-4-1-1-1-1-1-6-1-1-1-1-1+1-1-1-1-2-3-1-3-1-1-1-1-1-2-1-1-1-1-1-1-7-1-1-2-2-1-2+1+7-2-1-1-1-1-3-1-1-1</f>
        <v>34</v>
      </c>
      <c r="R17" s="115">
        <f>11-1-4-1-4-1</f>
        <v>0</v>
      </c>
      <c r="S17" s="115">
        <f>2-1-1</f>
        <v>0</v>
      </c>
      <c r="T17" s="144">
        <f t="shared" ref="T17:T22" si="0">SUM(B17:S17)</f>
        <v>1767</v>
      </c>
    </row>
    <row r="18" spans="1:21" s="1" customFormat="1" ht="24.75" customHeight="1">
      <c r="A18" s="164" t="s">
        <v>23</v>
      </c>
      <c r="B18" s="151">
        <f>44+21+210</f>
        <v>275</v>
      </c>
      <c r="C18" s="151">
        <f>30+70+50+550</f>
        <v>700</v>
      </c>
      <c r="D18" s="151">
        <f>133+18+127+263+20+60+100+51+200+431</f>
        <v>1403</v>
      </c>
      <c r="E18" s="151">
        <f>220+80+179+67+203+145+198+305</f>
        <v>1397</v>
      </c>
      <c r="F18" s="151">
        <f>60+15+5+245+100+101+4+175</f>
        <v>705</v>
      </c>
      <c r="G18" s="151">
        <f>10+30+135+80+15+50</f>
        <v>320</v>
      </c>
      <c r="H18" s="151">
        <f>4+66+33+8+30+15</f>
        <v>156</v>
      </c>
      <c r="I18" s="152">
        <f>30-1</f>
        <v>29</v>
      </c>
      <c r="J18" s="152">
        <v>20</v>
      </c>
      <c r="K18" s="153">
        <f>25+24+1+10+30</f>
        <v>90</v>
      </c>
      <c r="L18" s="154">
        <f>634-1+388+7-1</f>
        <v>1027</v>
      </c>
      <c r="M18" s="154">
        <f>634+40-30-1+74+124+1-1-4-8-1-1+1-1-1-1-1+508-1+52-1-7-1+713+200-1-1-1-1-2-2-4-1-1</f>
        <v>2273</v>
      </c>
      <c r="N18" s="155">
        <f>452+86-150+10-10-1-3-1+390+111-1-10-5-2-1-1-1-1-1+300-1-2-1-1+225-1-1+200-1-1-2-4+717-1-1-3-40-2</f>
        <v>2241</v>
      </c>
      <c r="O18" s="154">
        <f>229-70-4-3-1-4-1+249-1-2+298-2-1+101-1-2+361-1-1-1-1-3-40-1</f>
        <v>1098</v>
      </c>
      <c r="P18" s="154">
        <f>165+10-15-3-2+39-1-2-2-1-1+160-2+50-1-10</f>
        <v>384</v>
      </c>
      <c r="Q18" s="154">
        <f>15+30-5-1+24+16-3+16+52+30+25-10</f>
        <v>189</v>
      </c>
      <c r="R18" s="154">
        <f>30+3+7+10-1</f>
        <v>49</v>
      </c>
      <c r="S18" s="154">
        <f>30+10-1-1-1</f>
        <v>37</v>
      </c>
      <c r="T18" s="144">
        <f>SUM(B18:S18)</f>
        <v>12393</v>
      </c>
    </row>
    <row r="19" spans="1:21" s="1" customFormat="1" ht="26.25" customHeight="1">
      <c r="A19" s="164" t="s">
        <v>17</v>
      </c>
      <c r="B19" s="156">
        <f>72-1-1-1</f>
        <v>69</v>
      </c>
      <c r="C19" s="156">
        <f>100-1-1-1+225-1-1+80+46-1-1+200+24-1-3-1+30-15-3-1</f>
        <v>674</v>
      </c>
      <c r="D19" s="156">
        <f>110+130+80-4-5-1-1+350-2-1-1+360-1-2-7-1-2+5+300-27-46-6</f>
        <v>1228</v>
      </c>
      <c r="E19" s="156">
        <f>190-3-2-3-4+350-3-1+320+35-1+27+5+27-1-1+32+365-37-1</f>
        <v>1294</v>
      </c>
      <c r="F19" s="156">
        <f>85+5-1-1-4-2+181-1-1+160-1+20-1-1-2-9+8+192-44-1</f>
        <v>582</v>
      </c>
      <c r="G19" s="156">
        <f>45-1-1-1-1+130-1+40-1+11-9+99-28-1</f>
        <v>281</v>
      </c>
      <c r="H19" s="156">
        <f>30+2+44+40+10-2+30</f>
        <v>154</v>
      </c>
      <c r="I19" s="157">
        <v>20</v>
      </c>
      <c r="J19" s="157">
        <v>10</v>
      </c>
      <c r="K19" s="157">
        <f>95+24-2</f>
        <v>117</v>
      </c>
      <c r="L19" s="157">
        <f>150-17-3-3-3-11-5-1+250+269-11-1+30+50-1+90-1-3-1+199-4-3</f>
        <v>970</v>
      </c>
      <c r="M19" s="157">
        <f>250-6-17-1-7+50-4-2-1-2-1-1-8-10-1-5-2-2+498+220-25-1-1-1+190+40-1+50+300-11+350-1-1+59+391-2-16-7</f>
        <v>2261</v>
      </c>
      <c r="N19" s="156">
        <f>300-15-1-1-1-2-17-14-1-1-8-1-15-10-1-1-2-8-1-2+500-29-1-1-1-1+598+3-1-1+300-2-8+299+157+242-12-1-1-1</f>
        <v>2237</v>
      </c>
      <c r="O19" s="157">
        <f>162-1-4-3-1-1-1-1-6+250-4-23-1-1+170-1-2+66+100-1-7-1+48-1+300-18-1</f>
        <v>1017</v>
      </c>
      <c r="P19" s="157">
        <f>41-1+44-1-1+48-1-2+92-6+141+40-10-1</f>
        <v>383</v>
      </c>
      <c r="Q19" s="157">
        <f>40-1-2-2-3+22+15+70+33+20-1-1-2-2-1</f>
        <v>185</v>
      </c>
      <c r="R19" s="157">
        <f>20-1-1+20+10</f>
        <v>48</v>
      </c>
      <c r="S19" s="157">
        <f>20-1-3+20</f>
        <v>36</v>
      </c>
      <c r="T19" s="158">
        <f>SUM(B19:S19)</f>
        <v>11566</v>
      </c>
    </row>
    <row r="20" spans="1:21" s="1" customFormat="1" ht="23.25" customHeight="1">
      <c r="A20" s="165" t="s">
        <v>18</v>
      </c>
      <c r="B20" s="159">
        <f>34+5+71+9+15+2-15-3-3-1-1+1-12+1-2-2-2-1-1-1+1-2-1+72-1-1-1</f>
        <v>161</v>
      </c>
      <c r="C20" s="159">
        <f>0+10-10-3-1-1-1+42+70-1-8-3-2-13-3-2-20-1-1-40+1-1-3+1-1-8-1+43-3-1-25+3-1-1-1-1-6-5-2+36-1-5+1-1-8-2-1-1-1+28+9-3-1-1-1-1-1-1-4-1-4-26-1-1-2-4-2</f>
        <v>0</v>
      </c>
      <c r="D20" s="159">
        <f>35+80+80+80+16+6-11-8-10-3-19-4-2-1-1+5-8-1-8-3-4-6-3-3-1-1-1-1-30-7-3-1-60+1-1-1+1+1-86-6+2-2-6-2+45+48-2+2-50+3-1-6-8-1-2-10-1-4-16+31-6-2-1+1-6+1-1-14-1+15-1-2-1+16+10+2-4-1-1-1-1-1-1-1-2-1-8-5-4-1-2-1-3-3</f>
        <v>0</v>
      </c>
      <c r="E20" s="159">
        <f>18+61+80+80+80+80+65+20+20-5-4-2-1-19-1-3-1-1-1-5-2-1+1-11-2-2-8-1-4-30-6-1-4-60+1-1-70-4+1-3-1-1-5-26+1-4-1-1+1-4-7-1-1-20-2-1-1-15-3-6-2+1-5+1-12-1-1+12-1-1-1-1+31-2-1-1-6-1-1-1-21-20-4-2-1-1-1-3-1-1-44-43-2-1-2-6-1-5-1</f>
        <v>3</v>
      </c>
      <c r="F20" s="159">
        <f>65+80+30+5+5+12-30-1-3-6-23-4-1-5-1-1-6-5-3-10-1-40+1-35-1+2-1-1-1-2-7+6-1-1-2-5-7-2+28-6-1-3-6+1-4-1+6+4-1-1-2-1-1-4-8</f>
        <v>0</v>
      </c>
      <c r="G20" s="159">
        <f>7+30+80+80+5+2-5-3-4-12-1-1-5-3-10+1-10+1-1-3+4-1-1-2-5-1-1-5+1-15+20-1-20-1-4-19-4-1-5-78-8-1</f>
        <v>0</v>
      </c>
      <c r="H20" s="159">
        <f>16+72+31-1-3-1-2-1-10+1-1+1-1-2-3-3-1-1-4-12+5-1-10-1-3-8-3-6-2-1-2-1-25-1-1</f>
        <v>15</v>
      </c>
      <c r="I20" s="159">
        <f>30-1-6+5-1-1-1-2-17-1-1-4</f>
        <v>0</v>
      </c>
      <c r="J20" s="159">
        <f>30+23+5-1-2-4</f>
        <v>51</v>
      </c>
      <c r="K20" s="159">
        <f>18+60+20+29-2-1-1+1-7+1-1-2-1-2-1+1-3-1-3-1-1-1-2-1-23-1-1-1</f>
        <v>73</v>
      </c>
      <c r="L20" s="159">
        <f>48+30+60+60+14+54+39+33-2-1-2-2-2-3-3-1-1-1-7-26-1-3-20-2-2-40+1-3-2-30-2+1-1-3-1-1+3-1-1-1-1-3-1-2-1-1-1-1-1-1-3+19-23-2-1+1-1-6-1-1+5-4-1-1-2-5-1-1-1-1-2-12-1-1-2-17-1-1-1-31-1-1-3-1-1-5-7-1-2-1-1-1-3-38</f>
        <v>0</v>
      </c>
      <c r="M20" s="160">
        <f>1-2+1-3-1+4+30+41+60-25-15+2-1-5-32+2-3+1-1-7-1+1-1-1-1-1-7-4-4-3-1-1-15-1-5-2+12-5+12-1-1+2-19+2-2+10-1-9+4+19-1-6-2-4-1+100-1-2-1-1-64-1-19-1-4-1-1-1-1-3-1-1-6</f>
        <v>0</v>
      </c>
      <c r="N20" s="160">
        <f>32+12+45+40+2+45-8-5-2-12-10-4-1-10-2-10-5-3-4-4-4-3-2-1-27-46-6-1-6-3-6+9-6-30+36+41-13-3-2-1-3-3-2-60+45+1+1-1-34-1-1+36+45+45+60-28-20-7-1-1-5-1-32+2-1-1-1-1-1-1-1-3-8-2-1-3-1-1-20-1-2-5-3+23+80-10-1-1-1-1+2-90-1+1+1-2+20-1-1-6-3-2-1-1-1-1-1-1-1+3+8-11+100-12-1-1-47-8-2-1-4-23-1</f>
        <v>0</v>
      </c>
      <c r="O20" s="159">
        <f>49+1-1-49+10-5-1-1-3+1-1+100-12-1-12-1-2-2-4-14-52</f>
        <v>0</v>
      </c>
      <c r="P20" s="159">
        <f>13+44+66+56-1-8-1-1-1-1-2-1-3-10-1-1-4+1-3-16-4-1-1-7-5-1-1-1+1-1-4-1-6-1-1-5-3-7-3-1-25-1+1+49+3-1-2-1+9-3-1-1-3-1-1-1-1-1-1-4-1-2-8-1-5+60-4-1-7-2-8-1-1-1-1-1-3-1-1-1-1-2</f>
        <v>94</v>
      </c>
      <c r="Q20" s="159">
        <f>15+30+4-1-1-1-1-1-1-5-10-1+1+1+1-1-4-1-3-1-1-5-2-1-1-4-1-1-3-1</f>
        <v>0</v>
      </c>
      <c r="R20" s="159">
        <f>13+20-1-1-1-5-1-3-1-1-1-1-10-1-1-2+2-1-2</f>
        <v>2</v>
      </c>
      <c r="S20" s="159">
        <f>23+15+15-1-1-2-1-1-1-2-1-1</f>
        <v>42</v>
      </c>
      <c r="T20" s="144">
        <f t="shared" si="0"/>
        <v>441</v>
      </c>
    </row>
    <row r="21" spans="1:21" s="1" customFormat="1" ht="23.25" customHeight="1">
      <c r="A21" s="165" t="s">
        <v>24</v>
      </c>
      <c r="B21" s="115">
        <f>0+1-1</f>
        <v>0</v>
      </c>
      <c r="C21" s="115">
        <f>26+20-2+1-1-3-1-12-1-1-4-4-1-1-1</f>
        <v>15</v>
      </c>
      <c r="D21" s="115">
        <f>24+19+50-9-1-1+1-1-3-1-1-1-27-1-1-1-1-1-1+1</f>
        <v>44</v>
      </c>
      <c r="E21" s="115">
        <f>60+20+10-1+1-1-6-1+1-1-1-3-34-2-1</f>
        <v>41</v>
      </c>
      <c r="F21" s="115">
        <f>14-1-2+1-1-2-9</f>
        <v>0</v>
      </c>
      <c r="G21" s="115">
        <f>15-1-2+1-1-1-9-1</f>
        <v>1</v>
      </c>
      <c r="H21" s="115">
        <f>10-3+1-1-7</f>
        <v>0</v>
      </c>
      <c r="I21" s="115">
        <f>8-2-1-5</f>
        <v>0</v>
      </c>
      <c r="J21" s="115">
        <f>19-1-1-16</f>
        <v>1</v>
      </c>
      <c r="K21" s="115">
        <f>14+1-1-14</f>
        <v>0</v>
      </c>
      <c r="L21" s="115">
        <f>26+52+1-1-2-3-1-1-3-1-2-49-2-1-2-1-1-2</f>
        <v>7</v>
      </c>
      <c r="M21" s="115">
        <f>51+19+60-55-2+1-1-1-1-1-1-4-1-1-50-2-1-1-1-1-1-1-2-3</f>
        <v>0</v>
      </c>
      <c r="N21" s="115">
        <f>20+60+3-36-1-1-5-1-1+1-1-4-1-1-1-4-4-1-1-15-6</f>
        <v>0</v>
      </c>
      <c r="O21" s="115">
        <f>33+5+23-10-1-1-2+1-1-1-1-1-1-4-1-12-1-1-1-23</f>
        <v>0</v>
      </c>
      <c r="P21" s="115">
        <f>4-3+1-1-1+1-1</f>
        <v>0</v>
      </c>
      <c r="Q21" s="115">
        <f>6+43-1-3+1-1-1-2-1-5</f>
        <v>36</v>
      </c>
      <c r="R21" s="115">
        <f>5-1-1-2</f>
        <v>1</v>
      </c>
      <c r="S21" s="115">
        <f>7-1-1-1-4</f>
        <v>0</v>
      </c>
      <c r="T21" s="144">
        <f t="shared" si="0"/>
        <v>146</v>
      </c>
    </row>
    <row r="22" spans="1:21" s="1" customFormat="1" ht="23.25" customHeight="1">
      <c r="A22" s="165" t="s">
        <v>25</v>
      </c>
      <c r="B22" s="115">
        <f>8</f>
        <v>8</v>
      </c>
      <c r="C22" s="115">
        <f>8-1-1-1+1</f>
        <v>6</v>
      </c>
      <c r="D22" s="115">
        <f>0</f>
        <v>0</v>
      </c>
      <c r="E22" s="115">
        <f>1-1</f>
        <v>0</v>
      </c>
      <c r="F22" s="115">
        <f>0</f>
        <v>0</v>
      </c>
      <c r="G22" s="115">
        <f>0</f>
        <v>0</v>
      </c>
      <c r="H22" s="115">
        <f>4</f>
        <v>4</v>
      </c>
      <c r="I22" s="115">
        <f>3</f>
        <v>3</v>
      </c>
      <c r="J22" s="115">
        <f>4</f>
        <v>4</v>
      </c>
      <c r="K22" s="115">
        <f>4-1-1+1</f>
        <v>3</v>
      </c>
      <c r="L22" s="115">
        <f>0</f>
        <v>0</v>
      </c>
      <c r="M22" s="115">
        <v>0</v>
      </c>
      <c r="N22" s="115">
        <v>0</v>
      </c>
      <c r="O22" s="115">
        <v>0</v>
      </c>
      <c r="P22" s="115">
        <v>0</v>
      </c>
      <c r="Q22" s="115">
        <v>0</v>
      </c>
      <c r="R22" s="115">
        <f>5</f>
        <v>5</v>
      </c>
      <c r="S22" s="115">
        <f>1</f>
        <v>1</v>
      </c>
      <c r="T22" s="144">
        <f t="shared" si="0"/>
        <v>34</v>
      </c>
    </row>
    <row r="23" spans="1:21" s="1" customFormat="1" ht="23.25" customHeight="1">
      <c r="A23" s="165" t="s">
        <v>19</v>
      </c>
      <c r="B23" s="115">
        <f>20-1-2</f>
        <v>17</v>
      </c>
      <c r="C23" s="115">
        <f>11-1+1-5-2-1-1-1-1</f>
        <v>0</v>
      </c>
      <c r="D23" s="115">
        <f>27+15-2-1-2+1-1-5-2-13-1-1-1-2-1</f>
        <v>11</v>
      </c>
      <c r="E23" s="115">
        <f>7-7+1-1</f>
        <v>0</v>
      </c>
      <c r="F23" s="115">
        <f>13-1-1+1+1-6-2-2-2-1</f>
        <v>0</v>
      </c>
      <c r="G23" s="115">
        <f>10-1-3-2-1-2-1</f>
        <v>0</v>
      </c>
      <c r="H23" s="115">
        <f>13-3+3-2-1-4</f>
        <v>6</v>
      </c>
      <c r="I23" s="115">
        <f>2-1</f>
        <v>1</v>
      </c>
      <c r="J23" s="115">
        <f>7-1-2-2</f>
        <v>2</v>
      </c>
      <c r="K23" s="115">
        <f>27-2</f>
        <v>25</v>
      </c>
      <c r="L23" s="115">
        <f>30+45-2-20-10-1+1-5-5-1-1-1-1-1-1-2-1</f>
        <v>24</v>
      </c>
      <c r="M23" s="115">
        <f>21+69-1-10-20-10-2-2+1-1-1-5-1-1-3-1-1-2-1-1-2-1-4-1-1-2-17+45-3-17-1-1-2+1</f>
        <v>22</v>
      </c>
      <c r="N23" s="115">
        <f>10+60+60+45-10-3-10-20-10-1-1-1-1-1+1-5-1-3-5-1-2-15-2-45-18-1-1-1-1-2-1-1-1</f>
        <v>12</v>
      </c>
      <c r="O23" s="115">
        <f>46-1-1-6-1-2-5-2-1-1-2-3-2-6-1-2-2-8</f>
        <v>0</v>
      </c>
      <c r="P23" s="115">
        <f>20-1-1-1+1-2-1-2-1-2-1-8-1</f>
        <v>0</v>
      </c>
      <c r="Q23" s="115">
        <f>18-2-6-3-2-1</f>
        <v>4</v>
      </c>
      <c r="R23" s="115">
        <f>4-1-2</f>
        <v>1</v>
      </c>
      <c r="S23" s="115">
        <f>11-1-1</f>
        <v>9</v>
      </c>
      <c r="T23" s="144">
        <f>SUM(B23:S23)</f>
        <v>134</v>
      </c>
    </row>
    <row r="24" spans="1:21" s="1" customFormat="1" ht="24.75" customHeight="1">
      <c r="A24" s="165" t="s">
        <v>26</v>
      </c>
      <c r="B24" s="115">
        <f>11-1-1</f>
        <v>9</v>
      </c>
      <c r="C24" s="115">
        <f>27-1+1-4-1-1-1-1-14-1-1-2-1</f>
        <v>0</v>
      </c>
      <c r="D24" s="115">
        <f>18-1-1-3-1+1-1-8-3-1</f>
        <v>0</v>
      </c>
      <c r="E24" s="115">
        <f>20-3-3-3-1-1+2-1-1-7-1-1</f>
        <v>0</v>
      </c>
      <c r="F24" s="115">
        <f>11+1-1-4-1-1</f>
        <v>5</v>
      </c>
      <c r="G24" s="115">
        <f>0</f>
        <v>0</v>
      </c>
      <c r="H24" s="115">
        <f>0</f>
        <v>0</v>
      </c>
      <c r="I24" s="115">
        <f>5+1</f>
        <v>6</v>
      </c>
      <c r="J24" s="115">
        <f>11</f>
        <v>11</v>
      </c>
      <c r="K24" s="115">
        <f>18+12-16</f>
        <v>14</v>
      </c>
      <c r="L24" s="115">
        <f>23+51+18-3-1-1-1+1-3-1-1-1-1-1-1-1-14-2-1</f>
        <v>60</v>
      </c>
      <c r="M24" s="115">
        <f>24+60+30-1-2-2+1-55-2-2-1+2-1-11-2-7-2-1-2-1-17-1-1+1</f>
        <v>7</v>
      </c>
      <c r="N24" s="115">
        <f>19+80+10-1-1-6-5-70+1-2-2+1-1-20-1-2+2-1-1</f>
        <v>0</v>
      </c>
      <c r="O24" s="115">
        <f>24+32-2-1-15-2-1-11-2-2-1-1-17-1</f>
        <v>0</v>
      </c>
      <c r="P24" s="115">
        <f>29+2-3-1-1-2-2-1-1-1-5-2</f>
        <v>12</v>
      </c>
      <c r="Q24" s="115">
        <f>12-1</f>
        <v>11</v>
      </c>
      <c r="R24" s="115">
        <f>8+9-1</f>
        <v>16</v>
      </c>
      <c r="S24" s="115">
        <f>15+9-1</f>
        <v>23</v>
      </c>
      <c r="T24" s="144">
        <f>SUM(B24:S24)</f>
        <v>174</v>
      </c>
    </row>
    <row r="25" spans="1:21" s="1" customFormat="1" ht="26.25" customHeight="1">
      <c r="A25" s="165" t="s">
        <v>27</v>
      </c>
      <c r="B25" s="24">
        <v>0</v>
      </c>
      <c r="C25" s="24">
        <v>0</v>
      </c>
      <c r="D25" s="24">
        <v>0</v>
      </c>
      <c r="E25" s="24">
        <v>0</v>
      </c>
      <c r="F25" s="24">
        <v>0</v>
      </c>
      <c r="G25" s="24">
        <v>0</v>
      </c>
      <c r="H25" s="24">
        <v>0</v>
      </c>
      <c r="I25" s="24">
        <v>0</v>
      </c>
      <c r="J25" s="24">
        <v>0</v>
      </c>
      <c r="K25" s="24">
        <v>0</v>
      </c>
      <c r="L25" s="24">
        <v>0</v>
      </c>
      <c r="M25" s="24">
        <v>0</v>
      </c>
      <c r="N25" s="24">
        <v>0</v>
      </c>
      <c r="O25" s="24">
        <f>3</f>
        <v>3</v>
      </c>
      <c r="P25" s="24">
        <v>0</v>
      </c>
      <c r="Q25" s="24">
        <f>2</f>
        <v>2</v>
      </c>
      <c r="R25" s="24">
        <v>0</v>
      </c>
      <c r="S25" s="24">
        <v>0</v>
      </c>
      <c r="T25" s="144">
        <f>SUM(B25:S25)</f>
        <v>5</v>
      </c>
    </row>
    <row r="26" spans="1:21" s="1" customFormat="1" ht="27.75" customHeight="1">
      <c r="A26" s="161"/>
      <c r="B26" s="162"/>
      <c r="C26" s="162"/>
      <c r="D26" s="162"/>
      <c r="E26" s="162"/>
      <c r="F26" s="162"/>
      <c r="G26" s="162"/>
      <c r="H26" s="162"/>
      <c r="I26" s="162"/>
      <c r="J26" s="162"/>
      <c r="K26" s="162"/>
      <c r="L26" s="162"/>
      <c r="M26" s="162"/>
      <c r="N26" s="162"/>
      <c r="O26" s="162"/>
      <c r="P26" s="162"/>
      <c r="Q26" s="162"/>
      <c r="R26" s="162"/>
      <c r="S26" s="162"/>
      <c r="T26" s="163">
        <f>SUM(T17:T25)</f>
        <v>26660</v>
      </c>
    </row>
    <row r="27" spans="1:21" s="8" customFormat="1" ht="32.25" customHeight="1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 s="26"/>
      <c r="U27" s="77" t="s">
        <v>28</v>
      </c>
    </row>
    <row r="29" spans="1:21" s="1" customFormat="1" ht="36.75" customHeight="1">
      <c r="A29" s="342" t="s">
        <v>29</v>
      </c>
      <c r="B29" s="325"/>
      <c r="C29" s="325"/>
      <c r="D29" s="325"/>
      <c r="E29" s="325"/>
      <c r="F29" s="325"/>
      <c r="G29" s="325"/>
      <c r="H29" s="325"/>
      <c r="I29" s="325"/>
      <c r="J29" s="325"/>
      <c r="K29" s="325"/>
      <c r="L29" s="325"/>
      <c r="M29" s="325"/>
      <c r="N29" s="325"/>
      <c r="O29" s="325"/>
      <c r="P29" s="325"/>
      <c r="Q29" s="325"/>
      <c r="R29" s="325"/>
      <c r="S29" s="325"/>
      <c r="T29" s="326"/>
    </row>
    <row r="30" spans="1:21" s="172" customFormat="1" ht="20.100000000000001" customHeight="1">
      <c r="A30" s="171"/>
      <c r="B30" s="370" t="s">
        <v>3</v>
      </c>
      <c r="C30" s="371"/>
      <c r="D30" s="371"/>
      <c r="E30" s="371"/>
      <c r="F30" s="371"/>
      <c r="G30" s="371"/>
      <c r="H30" s="371"/>
      <c r="I30" s="371"/>
      <c r="J30" s="372"/>
      <c r="K30" s="370" t="s">
        <v>4</v>
      </c>
      <c r="L30" s="371"/>
      <c r="M30" s="371"/>
      <c r="N30" s="371"/>
      <c r="O30" s="371"/>
      <c r="P30" s="371"/>
      <c r="Q30" s="371"/>
      <c r="R30" s="371"/>
      <c r="S30" s="372"/>
      <c r="T30" s="148"/>
    </row>
    <row r="31" spans="1:21" s="172" customFormat="1" ht="26.25" customHeight="1">
      <c r="A31" s="103"/>
      <c r="B31" s="87" t="s">
        <v>6</v>
      </c>
      <c r="C31" s="87" t="s">
        <v>7</v>
      </c>
      <c r="D31" s="87" t="s">
        <v>8</v>
      </c>
      <c r="E31" s="87" t="s">
        <v>9</v>
      </c>
      <c r="F31" s="87" t="s">
        <v>10</v>
      </c>
      <c r="G31" s="87" t="s">
        <v>11</v>
      </c>
      <c r="H31" s="87" t="s">
        <v>12</v>
      </c>
      <c r="I31" s="87" t="s">
        <v>13</v>
      </c>
      <c r="J31" s="87" t="s">
        <v>14</v>
      </c>
      <c r="K31" s="87" t="s">
        <v>6</v>
      </c>
      <c r="L31" s="87" t="s">
        <v>7</v>
      </c>
      <c r="M31" s="87" t="s">
        <v>8</v>
      </c>
      <c r="N31" s="87" t="s">
        <v>9</v>
      </c>
      <c r="O31" s="87" t="s">
        <v>10</v>
      </c>
      <c r="P31" s="87" t="s">
        <v>11</v>
      </c>
      <c r="Q31" s="87" t="s">
        <v>12</v>
      </c>
      <c r="R31" s="87" t="s">
        <v>13</v>
      </c>
      <c r="S31" s="87" t="s">
        <v>14</v>
      </c>
      <c r="T31" s="148" t="s">
        <v>15</v>
      </c>
    </row>
    <row r="32" spans="1:21" s="1" customFormat="1" ht="26.25" customHeight="1">
      <c r="A32" s="165" t="s">
        <v>22</v>
      </c>
      <c r="B32" s="115">
        <f>45+44-1+1-2+1-1-1-1-1-1-1</f>
        <v>82</v>
      </c>
      <c r="C32" s="115">
        <f>17+50+45+30+30+20+37+50+50-5-1-6-1-1-4+1-3-2+1-1-2-4-5-1-1-1-1-5-1-1-6-11-3-1-3-1-1</f>
        <v>259</v>
      </c>
      <c r="D32" s="115">
        <f>47+50+45+25+45+44+56+14+20+31+40+45+45+49+14+24-4-2-6-2-1-4-2-1+1-1-5-19+1-5-1-1-4-1-3-1-1-1-1-5-1-1-2-1-1-1-1-1-1-21-2-1-21-1-4-5+2-1-1</f>
        <v>460</v>
      </c>
      <c r="E32" s="115">
        <f>30+40+45+45+45+45+45+45+50+50+23+50-9-6-1-1-1-4+1-1-1-5-7+1-2-2-3-1-1-1-1-2-8-1-1-1-1-1-14-2-8-1-20-1-1-1-3-4-1-1</f>
        <v>396</v>
      </c>
      <c r="F32" s="115">
        <f>52+30+40+40+40+49+50+48-2-2-4-1-2+1-1-5-3+1-1-3-1-1-4-1-1-2-1-1-1-11-2-1-3-1-1</f>
        <v>295</v>
      </c>
      <c r="G32" s="115">
        <f>36+14+40+20+24+1-2+1-2-1-1-2-6-1-1-1</f>
        <v>119</v>
      </c>
      <c r="H32" s="115">
        <f>6+10-1+1-1-1-1-5-1</f>
        <v>7</v>
      </c>
      <c r="I32" s="115">
        <f>17-1-1</f>
        <v>15</v>
      </c>
      <c r="J32" s="115">
        <f>21</f>
        <v>21</v>
      </c>
      <c r="K32" s="115">
        <f>35+10+1+1-3-1-1-42</f>
        <v>0</v>
      </c>
      <c r="L32" s="115">
        <f>1+34+60+60+60+25+45+50+31-2-1-2-2-1+1-1-8+1-2-1-1-2-1-3-1-1-1-4-3-135-28-1-1-1-1-7-1-31-1-9-2-4-2+1-1-1-1-1-1</f>
        <v>103</v>
      </c>
      <c r="M32" s="115">
        <f>26+40+43+50+45+45+20+2+40+40+45+45+45+40+40+50+50+45+45+31+15+25-6-1-1-1-3-1-10-2-1-1-9+3-1-1-9-3-1+1-1-16-31-1+1-10+34-8-1-1-2-4-9-10-6-1-1-3-1-2-1-4-2-2-2-1-3-3-1-1-1-1-1-1-133-1-6-17-3-91-10-1-1-1-4-1-12-3-1-2-3-6-1-7</f>
        <v>379</v>
      </c>
      <c r="N32" s="115">
        <f>10+40+15+25+50+50+45+45+39+32+60+60+60-5-4-8-4-1-1-1-1-2-7+1-2-6-7-1-1+1-1-1-25-26+1-10-10-1-1-2-2-1-9-30-6-1-1-2-1-1-2-6-1-1-1-6-1-2-1-3-93-2-2-1-2-9-1-1-1-68-10-9-15-3-1-1-1-2-1-1-4-12-1-1-1-1-1-1-1-1-30</f>
        <v>50</v>
      </c>
      <c r="O32" s="168">
        <f>31+50+31+45+30+4+45+45+25-6-6-1-3-2-1-2+1-1-1-25-4+1-3-5-2-3-1-2-20-1-1-1-5-2-1-1-1-1-1-1-26-1-1-1-1-1-16-10-1-12-3-1-1-1-2-1-3-7-1-1-1-1-3</f>
        <v>108</v>
      </c>
      <c r="P32" s="115">
        <f>29+50+35+40+2+4+30-2-1-1+1-1-6-6+1-1-1-5-5-1-1-1-1-3-1-4-1-1-7-1-1-3-1-2-1-1-1-2-1-5-1-1</f>
        <v>121</v>
      </c>
      <c r="Q32" s="115">
        <f>15+9+19+8-1-1-1-1+1-1-5-2-1-2-1-1-1-1</f>
        <v>33</v>
      </c>
      <c r="R32" s="115">
        <f>17-1-1-1-1-1-1-2-1-1</f>
        <v>7</v>
      </c>
      <c r="S32" s="115">
        <f>18-1-1-1-1-1</f>
        <v>13</v>
      </c>
      <c r="T32" s="169">
        <f>SUM(B32:S32)</f>
        <v>2468</v>
      </c>
    </row>
    <row r="33" spans="1:16383" s="1" customFormat="1" ht="24.75" customHeight="1">
      <c r="A33" s="165" t="s">
        <v>30</v>
      </c>
      <c r="B33" s="115">
        <f>0+40+16-1-1-4-1+1-2+1+2-1-2-1-4-1-1-1-1-1</f>
        <v>38</v>
      </c>
      <c r="C33" s="115">
        <f>9+10+50+2+39+45+18+25+19+35-1-2-3+1-11-2-2-1-5+5-2-9-1+1-1+2-1-1-12-1-2-1-5-3-17-2-2-33-3-1-5-7-5-1-4-1-4-3-1-16-2-2+1+1-1-12</f>
        <v>75</v>
      </c>
      <c r="D33" s="115">
        <f>4+45+15+31+39+50+26+23+35+50-1-1-1-4-8-11-2-1-4-13+13-19-18-1+1-1+19-3-1-1-6-1-6-3-1-65-11-1-1-5-2-1-1-18-5-1-2-1-1-1-1-1-1-1-1+1-21-2-1-16-1-1-1-1-3</f>
        <v>77</v>
      </c>
      <c r="E33" s="115">
        <f>33+3+45+45+27+3+25+50+9-1-1-2-7-1-1-1-13-2-4-1-12+12-7-19-2+1+7-1-1-1-2-2-7-2-1-43-2-9-4-1-17-5-1-1-1-27-1-1-1-9-1-2-1-4</f>
        <v>38</v>
      </c>
      <c r="F33" s="115">
        <f>10+60+51+45+11+30+40+15+1+9-1-4-1-7-1-1-1-1+1-3-11-2+1+3-2-2-1-1-5-1-1-8-2-1-4-25-1-1-1-1-8-1-6</f>
        <v>172</v>
      </c>
      <c r="G33" s="115">
        <f>24+39+27+14+4-1-1-2-2-1+1-20-1-4-1-5-1-1-1</f>
        <v>68</v>
      </c>
      <c r="H33" s="115">
        <f>44+11-8+1-3-2-1</f>
        <v>42</v>
      </c>
      <c r="I33" s="115">
        <f>17+15-1</f>
        <v>31</v>
      </c>
      <c r="J33" s="115">
        <f>16+15-1</f>
        <v>30</v>
      </c>
      <c r="K33" s="115">
        <f>29+45+20+59-1+1-1-1+1-2-1-1-1-3-1-1-4-1-1-1</f>
        <v>135</v>
      </c>
      <c r="L33" s="115">
        <f>49+45+45+45+60+20+13+53-21-1-2-1-9-5-8-4-4+4-1-1-3+2-5-1-1-6-3-3-1-2-5-2-1-53-1-1-4-10-3-1-1-7-1-1-1-14+1-1-6</f>
        <v>142</v>
      </c>
      <c r="M33" s="115">
        <f>2+17+45+45+45+45+36+15+50+44+45+22+41+20+50+49-21-1-2-10-15-1-1-2-3-14-1-9-2-7-3+1-1-8-1-1+8-1-31-16-1+1-20+31-3-12-8-2-8-3-10-1-4-3-1-1-1-76-1-1-2-1-4-1-1-3-1-16-20-1-2-1-1-1-1-1-1-1-1-1-4-1-1-1-1-1-1-1-14-1-1-1-1-4-1-1-1-2-21-3-3-3-1-1-1-4-1</f>
        <v>168</v>
      </c>
      <c r="N33" s="115">
        <f>11+47+45+45+45+45+11+19+36+50+50+13+60+45-21-1-1-1-7-2-4-11-1-11-3-20-1-1-1-7-6-1-1-5-11-1+11+1-26-19-3+2-20+26-2-1-3-3-7-1-2-3-20-2-3-52-5-1-1-6-2-1-4-2-2-25-30-2-1-2-6-1-3-1-1-1-2-1-10-4-1-1-2-1-1-1-2-1-20-1-2-1-1-3</f>
        <v>125</v>
      </c>
      <c r="O33" s="168">
        <f>34+45+45+40+43+27+44+45+35+45-1-1-1-10-1-11-4-2-7-3-4-3-1+3-4-37+1-5+4-3-3-1-1-2-5-1-1-20-10-2-3-1-5-1-1-3-1-1-6-9-15-1-1-1-1-1-1-2-1-1-1-1-1-13-2-3-6-1-1-6-1-1-1-1-3-1</f>
        <v>168</v>
      </c>
      <c r="P33" s="115">
        <f>10+22+39+29+45+45-1-1-8-2-2-2-2-2-1-1+2-6-14+1-2+6-2-2-1-2+1-3-1-1-1-2-2-1-1-10-1-1-1-4-1-1-2-1-1-1-3-1</f>
        <v>109</v>
      </c>
      <c r="Q33" s="115">
        <f>16+15+15+43+13-4-1+1-1-2-11-1+1-3-3-1-5-1-1-1-1-1-3-1-1</f>
        <v>62</v>
      </c>
      <c r="R33" s="115">
        <f>21+20+10-1-1</f>
        <v>49</v>
      </c>
      <c r="S33" s="115">
        <f>17+20-1-1-1-1</f>
        <v>33</v>
      </c>
      <c r="T33" s="169">
        <f>SUM(B33:S33)</f>
        <v>1562</v>
      </c>
    </row>
    <row r="34" spans="1:16383" ht="31.5">
      <c r="A34" s="131"/>
      <c r="B34" s="131"/>
      <c r="C34" s="131"/>
      <c r="D34" s="131"/>
      <c r="E34" s="131"/>
      <c r="F34" s="131"/>
      <c r="G34" s="131"/>
      <c r="H34" s="131"/>
      <c r="I34" s="131"/>
      <c r="J34" s="131"/>
      <c r="K34" s="131"/>
      <c r="L34" s="131"/>
      <c r="M34" s="131"/>
      <c r="N34" s="131"/>
      <c r="O34" s="131"/>
      <c r="P34" s="131"/>
      <c r="Q34" s="131"/>
      <c r="R34" s="131"/>
      <c r="S34" s="131"/>
      <c r="T34" s="170">
        <f>SUM(T32:T33)</f>
        <v>4030</v>
      </c>
    </row>
    <row r="37" spans="1:16383" s="1" customFormat="1" ht="30" customHeight="1">
      <c r="A37" s="366" t="s">
        <v>31</v>
      </c>
      <c r="B37" s="366"/>
      <c r="C37" s="366"/>
      <c r="D37" s="366"/>
      <c r="E37" s="366"/>
      <c r="F37" s="366"/>
      <c r="G37" s="366"/>
      <c r="H37" s="366"/>
      <c r="I37" s="366"/>
      <c r="J37" s="366"/>
      <c r="K37" s="366"/>
      <c r="L37" s="366"/>
      <c r="M37" s="366"/>
      <c r="N37" s="366"/>
      <c r="O37" s="366"/>
      <c r="P37" s="366"/>
      <c r="Q37" s="366"/>
      <c r="R37" s="366"/>
      <c r="S37" s="366"/>
      <c r="T37" s="366"/>
    </row>
    <row r="38" spans="1:16383" s="179" customFormat="1" ht="24.75" customHeight="1">
      <c r="A38" s="106" t="s">
        <v>2</v>
      </c>
      <c r="B38" s="322" t="s">
        <v>3</v>
      </c>
      <c r="C38" s="322"/>
      <c r="D38" s="322"/>
      <c r="E38" s="322"/>
      <c r="F38" s="322"/>
      <c r="G38" s="322"/>
      <c r="H38" s="322"/>
      <c r="I38" s="322"/>
      <c r="J38" s="322"/>
      <c r="K38" s="106"/>
      <c r="L38" s="106"/>
      <c r="M38" s="367" t="s">
        <v>4</v>
      </c>
      <c r="N38" s="367"/>
      <c r="O38" s="367"/>
      <c r="P38" s="367"/>
      <c r="Q38" s="367"/>
      <c r="R38" s="367"/>
      <c r="S38" s="367"/>
      <c r="T38" s="367"/>
    </row>
    <row r="39" spans="1:16383" s="172" customFormat="1" ht="27" customHeight="1">
      <c r="A39" s="103" t="s">
        <v>5</v>
      </c>
      <c r="B39" s="87" t="s">
        <v>6</v>
      </c>
      <c r="C39" s="87" t="s">
        <v>7</v>
      </c>
      <c r="D39" s="87" t="s">
        <v>8</v>
      </c>
      <c r="E39" s="87" t="s">
        <v>9</v>
      </c>
      <c r="F39" s="87" t="s">
        <v>10</v>
      </c>
      <c r="G39" s="87" t="s">
        <v>11</v>
      </c>
      <c r="H39" s="87" t="s">
        <v>12</v>
      </c>
      <c r="I39" s="87" t="s">
        <v>13</v>
      </c>
      <c r="J39" s="87" t="s">
        <v>14</v>
      </c>
      <c r="K39" s="87" t="s">
        <v>6</v>
      </c>
      <c r="L39" s="87" t="s">
        <v>7</v>
      </c>
      <c r="M39" s="87" t="s">
        <v>8</v>
      </c>
      <c r="N39" s="87" t="s">
        <v>9</v>
      </c>
      <c r="O39" s="87" t="s">
        <v>10</v>
      </c>
      <c r="P39" s="87" t="s">
        <v>11</v>
      </c>
      <c r="Q39" s="87" t="s">
        <v>12</v>
      </c>
      <c r="R39" s="87" t="s">
        <v>13</v>
      </c>
      <c r="S39" s="87" t="s">
        <v>14</v>
      </c>
      <c r="T39" s="148" t="s">
        <v>15</v>
      </c>
    </row>
    <row r="40" spans="1:16383" s="1" customFormat="1" ht="24" customHeight="1">
      <c r="A40" s="165" t="s">
        <v>22</v>
      </c>
      <c r="B40" s="115">
        <f>31+211-1-1-1+1-1-2-1-1-2-1</f>
        <v>232</v>
      </c>
      <c r="C40" s="168">
        <f>29+640-4-1-2-8-4-1-3-1-1-1-1-6-1-1-7-1-1-4-1-1-3-1-1-1-50-4-1-20-3-1-1-2-1-2-1-1-2-4-10-1</f>
        <v>509</v>
      </c>
      <c r="D40" s="168">
        <f>40+585-4-1-11-10-5-4-1-3-7-1-1-1-1-1-1+1-13-3-2-3-5-5-3-1-1-3-1-1-1-1-4-5-2-10-1-3-1-2-1+7-1-3-3-7-1-1-1-1-1-1-1-3-1-9-1-1-15</f>
        <v>458</v>
      </c>
      <c r="E40" s="168">
        <f>47+666-1-9-5-1-1-1-2-4-4-1-1-1-1-2-1+1-9-2-1-1-6-6-4-1-1-1-1-5-1-4-3-1-5+45+15-1-1-1-3-1-11-2-2-1-1-1-2-4-20</f>
        <v>636</v>
      </c>
      <c r="F40" s="168">
        <f>7+209-2-3-6-1-2-4-2-2-1-1-2-1-8-4-1-1-1-1+40+30+45+45-1-1-1-1-1-1-2-6-15</f>
        <v>304</v>
      </c>
      <c r="G40" s="168">
        <f>17+122-2-1-1-5-1+40-1-1-5</f>
        <v>162</v>
      </c>
      <c r="H40" s="168">
        <f>24+78-1-1-5+45-2</f>
        <v>138</v>
      </c>
      <c r="I40" s="168">
        <f>23-1</f>
        <v>22</v>
      </c>
      <c r="J40" s="168">
        <f>29</f>
        <v>29</v>
      </c>
      <c r="K40" s="168">
        <f>31+15+20+24+49+25-1-1-1+1-1-1</f>
        <v>160</v>
      </c>
      <c r="L40" s="168">
        <f>35+26+63+60+60+22+20+45+35+35-1-2-1-2-6-5-1-2-1-1-1+2-4-1-60-1-3+1-5-3-3-1-1-1-6-2-2-12+45+30+45+45+43+45+27+50-1</f>
        <v>605</v>
      </c>
      <c r="M40" s="168">
        <f>36+45+45+45+45+45+60+60+45+45+45+50+28+32+45+45+45+60+45+34-2-20-1-2-7+2-1-2-5-15-5-1-16-1-7-4-1-1+1-11-3-2-30-3-3-9-6-4-1-7-1-1-2-2-6-1-1-5-5-10-5-1-13-1-31+45+45+45+45+45+40+45+40+45+45+45+45+50+45-16-1-1-1-1-15-2-2-1-1-3-1-1-1-3-1-3-1-1-1-5-1-1-1-1-10-1-1</f>
        <v>1195</v>
      </c>
      <c r="N40" s="168">
        <f>66+46+50+50+26+50+45+49+50+35+45+45+45+22+45+50-16-6-2-2+2-1-1-3-3-8-6-1-1-11-2-8-1-5-2-1+1-1-4-1-1-5-1-1-1-4-1-1-29-12-4-15-1-1-1-5-2-3-2-1-1-1-1-1-3-3-1-1-1-1-4-7-10-3-5-1-1-12-1-24+45+45+45+45+45+45+45+45+45+50+45+50+45+45+45+45-1+1-1-1-5-3-1-1-1-1-16-1-1-1-2-1-1-1-7-1-1-6-3-10</f>
        <v>1127</v>
      </c>
      <c r="O40" s="168">
        <f>27+9+15+45+45+45+33+12+17+3+45-1-9-1-1-1+1-2-3-4-2-3-1-2-1+1-1-1-1-7-30-1-1+1-1-16-9-5-1-2-1-1-3-1-2-4-2-5-1-5-2-2-5-10+45+53+45+45+45+45+45+45-1-1-2-1-1-2-1-3-1-1-1-3-1-1-2-3-10</f>
        <v>481</v>
      </c>
      <c r="P40" s="168">
        <f>18+47+60+5+15+60+18+44+41+1-1-1-1-1-2-1-3-2-2-2-3-1-9-3-1-1-2+1-1-3-3+45+19-1-1-1-1-5</f>
        <v>322</v>
      </c>
      <c r="Q40" s="168">
        <f>31+40+45+50-5+1-1-6-6-1-1-3-1-1</f>
        <v>142</v>
      </c>
      <c r="R40" s="168">
        <f>22+10+15-1-1-3</f>
        <v>42</v>
      </c>
      <c r="S40" s="168">
        <f>27</f>
        <v>27</v>
      </c>
      <c r="T40" s="169">
        <f>SUM(B40:S40)</f>
        <v>6591</v>
      </c>
    </row>
    <row r="41" spans="1:16383" s="1" customFormat="1" ht="25.5" customHeight="1">
      <c r="A41" s="165" t="s">
        <v>18</v>
      </c>
      <c r="B41" s="115">
        <f>1-1+45-1-2+1-2-1-1-1-4+2-1-2-4-1-1-1-1</f>
        <v>25</v>
      </c>
      <c r="C41" s="115">
        <f>0+3+86-3-2-3-1-1-10+86-1-2-2-1-5-9+2-1-4-1-2-1-5-2-1-1-1-1-1-2-2-11+1-1-1-1-1-1-2-3-2-4-1-1+1-1-1-1-1-1-1-2-1-1-1-1-1-1-1</f>
        <v>70</v>
      </c>
      <c r="D41" s="115">
        <f>36-3-1-9+60+1-4-1-6-1-24-1-1-1-8-5+1-1-2-1-1-1-1-1-2-3-8-3-5-4+4-2-2</f>
        <v>0</v>
      </c>
      <c r="E41" s="115">
        <f>60-1-4+60-3-1-3-3-1-1-30-4-1-1-3-11+1+2-1-1-4-1-7-1-4-1-2-2-32</f>
        <v>0</v>
      </c>
      <c r="F41" s="115">
        <f>6-1-4+60-1-1-1-9-1-1-2+1-1-1-2-1-1-2-1-1-1-6-8-2-1-2-1-3-2-8-1-1</f>
        <v>0</v>
      </c>
      <c r="G41" s="115">
        <f>22+29-1-1-1-1-1+1-1-1-1-2-1-2-2-8-1-5-1-2-1-10-9</f>
        <v>0</v>
      </c>
      <c r="H41" s="115">
        <f>36-1-3-2+1-1-3-1-4-1</f>
        <v>21</v>
      </c>
      <c r="I41" s="115">
        <f>4+10-1-1-1</f>
        <v>11</v>
      </c>
      <c r="J41" s="115">
        <f>5+10-1-1-1</f>
        <v>12</v>
      </c>
      <c r="K41" s="115">
        <f>11-1-1+1-1-1-3-1-1</f>
        <v>3</v>
      </c>
      <c r="L41" s="115">
        <f>40-3+128-1-1-5-1-1-1-6-3+1-2-2-1-10-2-2-1-1-1-2-3-2-4-1-1-1-1-4-5-27+1-1-1-2-1-1-1</f>
        <v>68</v>
      </c>
      <c r="M41" s="115">
        <f>21-9+230+210-3-2-11-12-4-1-1-1-12-1+2-1-2-5-2-1-1-5-1-1-1-24-3-1-4-5-1-15-1-5-4-1-1-1-7-1-5-19-1-1-6-2-3-2-1-1-1-2+45+50+45-10-7-48-1-1-1-1-1-1-1-3-1-1-1-10-1-1-1-1-1-1-1-1-1-16-5-1-4</f>
        <v>285</v>
      </c>
      <c r="N41" s="115">
        <f>15-1-1-1+45-1-5-19-2-1-1-13-2-1-1-1-1-12+3-1+1+2-2-3+3+45+52-1-1-10-6-15-3-3-1-1-12-3-6-1-4-4-2-1-1-8-11+45-26-7-5-10+1-1+45-3-1-1-1</f>
        <v>39</v>
      </c>
      <c r="O41" s="115">
        <f>16-1+70-3-6-1-2-9-2+1-1+45+45-1-1-5-4-1-1-1-2-3-1-1-1-2-1-5-7-5-16-4+4-1-3-1-1-6-1+45-6-3-16-2-3-1-3-1-30-1-1-1-4-54</f>
        <v>0</v>
      </c>
      <c r="P41" s="115">
        <f>0+39-2-1-1-1+2-1-9-2-1-1-1-2-3-6-3+3-1-1-3-5</f>
        <v>0</v>
      </c>
      <c r="Q41" s="115">
        <f>13+15-1-1+1+2-9-1-5-1-1-5-1</f>
        <v>6</v>
      </c>
      <c r="R41" s="115">
        <f>2+5-1+1-1-2-1-1</f>
        <v>2</v>
      </c>
      <c r="S41" s="115">
        <f>7+5-1-1-1-1-1-3</f>
        <v>4</v>
      </c>
      <c r="T41" s="169">
        <f>SUM(B41:S41)</f>
        <v>546</v>
      </c>
    </row>
    <row r="42" spans="1:16383" s="1" customFormat="1" ht="26.25" customHeight="1">
      <c r="A42" s="173"/>
      <c r="B42" s="174"/>
      <c r="C42" s="174"/>
      <c r="D42" s="174"/>
      <c r="E42" s="174"/>
      <c r="F42" s="174"/>
      <c r="G42" s="174"/>
      <c r="H42" s="174"/>
      <c r="I42" s="174"/>
      <c r="J42" s="174"/>
      <c r="K42" s="174"/>
      <c r="L42" s="174"/>
      <c r="M42" s="174"/>
      <c r="N42" s="174"/>
      <c r="O42" s="174"/>
      <c r="P42" s="174"/>
      <c r="Q42" s="174"/>
      <c r="R42" s="174"/>
      <c r="S42" s="174"/>
      <c r="T42" s="175">
        <f>SUM(T40:T41)</f>
        <v>7137</v>
      </c>
      <c r="U42" s="12"/>
      <c r="V42" s="12"/>
      <c r="W42" s="12"/>
      <c r="X42" s="12"/>
      <c r="Y42" s="12"/>
      <c r="Z42" s="12"/>
      <c r="AA42" s="12"/>
      <c r="AB42" s="12"/>
      <c r="AC42" s="12"/>
      <c r="AD42" s="12"/>
      <c r="AE42" s="12"/>
      <c r="AF42" s="12"/>
      <c r="AG42" s="12"/>
      <c r="AH42" s="12"/>
      <c r="AI42" s="12"/>
      <c r="AJ42" s="12"/>
      <c r="AK42" s="12"/>
      <c r="AL42" s="12"/>
      <c r="AM42" s="12"/>
      <c r="AN42" s="12"/>
      <c r="AO42" s="12"/>
      <c r="AP42" s="12"/>
      <c r="AQ42" s="12"/>
      <c r="AR42" s="12"/>
      <c r="AS42" s="12"/>
      <c r="AT42" s="12"/>
      <c r="AU42" s="12"/>
      <c r="AV42" s="12"/>
      <c r="AW42" s="12"/>
      <c r="AX42" s="12"/>
      <c r="AY42" s="12"/>
      <c r="AZ42" s="12"/>
      <c r="BA42" s="12"/>
      <c r="BB42" s="12"/>
      <c r="BC42" s="12"/>
      <c r="BD42" s="12"/>
      <c r="BE42" s="12"/>
      <c r="BF42" s="12"/>
      <c r="BG42" s="12"/>
      <c r="BH42" s="12"/>
      <c r="BI42" s="12"/>
      <c r="BJ42" s="12"/>
      <c r="BK42" s="12"/>
      <c r="BL42" s="12"/>
      <c r="BM42" s="12"/>
      <c r="BN42" s="12"/>
      <c r="BO42" s="12"/>
      <c r="BP42" s="12"/>
      <c r="BQ42" s="12"/>
      <c r="BR42" s="12"/>
      <c r="BS42" s="12"/>
      <c r="BT42" s="12"/>
      <c r="BU42" s="33"/>
      <c r="BV42" s="33"/>
      <c r="BW42" s="33"/>
      <c r="BX42" s="33"/>
      <c r="BY42" s="33"/>
      <c r="BZ42" s="33"/>
      <c r="CA42" s="33"/>
      <c r="CB42" s="33"/>
      <c r="CC42" s="33"/>
      <c r="CD42" s="33"/>
      <c r="CE42" s="33"/>
      <c r="CF42" s="33"/>
      <c r="CG42" s="33"/>
      <c r="CH42" s="33"/>
      <c r="CI42" s="33"/>
      <c r="CJ42" s="33"/>
      <c r="CK42" s="33"/>
      <c r="CL42" s="33"/>
      <c r="CM42" s="33"/>
      <c r="CN42" s="33"/>
      <c r="CO42" s="33"/>
      <c r="CP42" s="33"/>
      <c r="CQ42" s="33"/>
      <c r="CR42" s="33"/>
      <c r="CS42" s="33"/>
      <c r="CT42" s="33"/>
      <c r="CU42" s="33"/>
      <c r="CV42" s="33"/>
      <c r="CW42" s="33"/>
      <c r="CX42" s="33"/>
      <c r="CY42" s="33"/>
      <c r="CZ42" s="33"/>
      <c r="DA42" s="33"/>
      <c r="DB42" s="33"/>
      <c r="DC42" s="33"/>
      <c r="DD42" s="33"/>
      <c r="DE42" s="33"/>
      <c r="DF42" s="33"/>
      <c r="DG42" s="33"/>
      <c r="DH42" s="33"/>
      <c r="DI42" s="33"/>
      <c r="DJ42" s="33"/>
      <c r="DK42" s="33"/>
      <c r="DL42" s="33"/>
      <c r="DM42" s="33"/>
      <c r="DN42" s="33"/>
      <c r="DO42" s="33"/>
      <c r="DP42" s="33"/>
      <c r="DQ42" s="33"/>
      <c r="DR42" s="33"/>
      <c r="DS42" s="33"/>
      <c r="DT42" s="33"/>
      <c r="DU42" s="33"/>
      <c r="DV42" s="33"/>
      <c r="DW42" s="33"/>
      <c r="DX42" s="33"/>
      <c r="DY42" s="33"/>
      <c r="DZ42" s="33"/>
      <c r="EA42" s="33"/>
      <c r="EB42" s="33"/>
      <c r="EC42" s="33"/>
      <c r="ED42" s="33"/>
      <c r="EE42" s="33"/>
      <c r="EF42" s="33"/>
      <c r="EG42" s="33"/>
      <c r="EH42" s="33"/>
      <c r="EI42" s="33"/>
      <c r="EJ42" s="33"/>
      <c r="EK42" s="33"/>
      <c r="EL42" s="33"/>
      <c r="EM42" s="33"/>
      <c r="EN42" s="33"/>
      <c r="EO42" s="33"/>
      <c r="EP42" s="33"/>
      <c r="EQ42" s="33"/>
      <c r="ER42" s="33"/>
      <c r="ES42" s="33"/>
      <c r="ET42" s="33"/>
      <c r="EU42" s="33"/>
      <c r="EV42" s="33"/>
      <c r="EW42" s="33"/>
      <c r="EX42" s="33"/>
      <c r="EY42" s="33"/>
      <c r="EZ42" s="33"/>
      <c r="FA42" s="33"/>
      <c r="FB42" s="33"/>
      <c r="FC42" s="33"/>
      <c r="FD42" s="33"/>
      <c r="FE42" s="33"/>
      <c r="FF42" s="33"/>
      <c r="FG42" s="33"/>
      <c r="FH42" s="33"/>
      <c r="FI42" s="33"/>
      <c r="FJ42" s="33"/>
      <c r="FK42" s="33"/>
      <c r="FL42" s="33"/>
      <c r="FM42" s="33"/>
      <c r="FN42" s="33"/>
      <c r="FO42" s="33"/>
      <c r="FP42" s="33"/>
      <c r="FQ42" s="33"/>
      <c r="FR42" s="33"/>
      <c r="FS42" s="33"/>
      <c r="FT42" s="33"/>
      <c r="FU42" s="33"/>
      <c r="FV42" s="33"/>
      <c r="FW42" s="33"/>
      <c r="FX42" s="33"/>
      <c r="FY42" s="33"/>
      <c r="FZ42" s="33"/>
      <c r="GA42" s="33"/>
      <c r="GB42" s="33"/>
      <c r="GC42" s="33"/>
      <c r="GD42" s="33"/>
      <c r="GE42" s="33"/>
      <c r="GF42" s="33"/>
      <c r="GG42" s="33"/>
      <c r="GH42" s="33"/>
      <c r="GI42" s="33"/>
      <c r="GJ42" s="33"/>
      <c r="GK42" s="33"/>
      <c r="GL42" s="33"/>
      <c r="GM42" s="33"/>
      <c r="GN42" s="33"/>
      <c r="GO42" s="33"/>
      <c r="GP42" s="33"/>
      <c r="GQ42" s="33"/>
      <c r="GR42" s="33"/>
      <c r="GS42" s="33"/>
      <c r="GT42" s="33"/>
      <c r="GU42" s="33"/>
      <c r="GV42" s="33"/>
      <c r="GW42" s="33"/>
      <c r="GX42" s="33"/>
      <c r="GY42" s="33"/>
      <c r="GZ42" s="33"/>
      <c r="HA42" s="33"/>
      <c r="HB42" s="33"/>
      <c r="HC42" s="33"/>
      <c r="HD42" s="33"/>
      <c r="HE42" s="33"/>
      <c r="HF42" s="33"/>
      <c r="HG42" s="33"/>
      <c r="HH42" s="33"/>
      <c r="HI42" s="33"/>
      <c r="HJ42" s="33"/>
      <c r="HK42" s="33"/>
      <c r="HL42" s="33"/>
      <c r="HM42" s="33"/>
      <c r="HN42" s="33"/>
      <c r="HO42" s="33"/>
      <c r="HP42" s="33"/>
      <c r="HQ42" s="33"/>
      <c r="HR42" s="33"/>
      <c r="HS42" s="33"/>
      <c r="HT42" s="33"/>
      <c r="HU42" s="33"/>
      <c r="HV42" s="33"/>
      <c r="HW42" s="33"/>
      <c r="HX42" s="33"/>
      <c r="HY42" s="33"/>
      <c r="HZ42" s="33"/>
      <c r="IA42" s="33"/>
      <c r="IB42" s="33"/>
      <c r="IC42" s="33"/>
      <c r="ID42" s="33"/>
      <c r="IE42" s="33"/>
      <c r="IF42" s="33"/>
      <c r="IG42" s="33"/>
      <c r="IH42" s="33"/>
      <c r="II42" s="33"/>
      <c r="IJ42" s="33"/>
      <c r="IK42" s="33"/>
      <c r="IL42" s="33"/>
      <c r="IM42" s="33"/>
      <c r="IN42" s="33"/>
      <c r="IO42" s="33"/>
      <c r="IP42" s="33"/>
      <c r="IQ42" s="33"/>
      <c r="IR42" s="33"/>
      <c r="IS42" s="33"/>
      <c r="IT42" s="33"/>
      <c r="IU42" s="33"/>
      <c r="IV42" s="33"/>
      <c r="IW42" s="33"/>
      <c r="IX42" s="33"/>
      <c r="IY42" s="33"/>
      <c r="IZ42" s="33"/>
      <c r="JA42" s="33"/>
      <c r="JB42" s="33"/>
      <c r="JC42" s="33"/>
      <c r="JD42" s="33"/>
      <c r="JE42" s="33"/>
      <c r="JF42" s="33"/>
      <c r="JG42" s="33"/>
      <c r="JH42" s="33"/>
      <c r="JI42" s="33"/>
      <c r="JJ42" s="33"/>
      <c r="JK42" s="33"/>
      <c r="JL42" s="33"/>
      <c r="JM42" s="33"/>
      <c r="JN42" s="33"/>
      <c r="JO42" s="33"/>
      <c r="JP42" s="33"/>
      <c r="JQ42" s="33"/>
      <c r="JR42" s="33"/>
      <c r="JS42" s="33"/>
      <c r="JT42" s="33"/>
      <c r="JU42" s="33"/>
      <c r="JV42" s="33"/>
      <c r="JW42" s="33"/>
      <c r="JX42" s="33"/>
      <c r="JY42" s="33"/>
      <c r="JZ42" s="33"/>
      <c r="KA42" s="33"/>
      <c r="KB42" s="33"/>
      <c r="KC42" s="33"/>
      <c r="KD42" s="33"/>
      <c r="KE42" s="33"/>
      <c r="KF42" s="33"/>
      <c r="KG42" s="33"/>
      <c r="KH42" s="33"/>
      <c r="KI42" s="33"/>
      <c r="KJ42" s="33"/>
      <c r="KK42" s="33"/>
      <c r="KL42" s="33"/>
      <c r="KM42" s="33"/>
      <c r="KN42" s="33"/>
      <c r="KO42" s="33"/>
      <c r="KP42" s="33"/>
      <c r="KQ42" s="33"/>
      <c r="KR42" s="33"/>
      <c r="KS42" s="33"/>
      <c r="KT42" s="33"/>
      <c r="KU42" s="33"/>
      <c r="KV42" s="33"/>
      <c r="KW42" s="33"/>
      <c r="KX42" s="33"/>
      <c r="KY42" s="33"/>
      <c r="KZ42" s="33"/>
      <c r="LA42" s="33"/>
      <c r="LB42" s="33"/>
      <c r="LC42" s="33"/>
      <c r="LD42" s="33"/>
      <c r="LE42" s="33"/>
      <c r="LF42" s="33"/>
      <c r="LG42" s="33"/>
      <c r="LH42" s="33"/>
      <c r="LI42" s="33"/>
      <c r="LJ42" s="33"/>
      <c r="LK42" s="33"/>
      <c r="LL42" s="33"/>
      <c r="LM42" s="33"/>
      <c r="LN42" s="33"/>
      <c r="LO42" s="33"/>
      <c r="LP42" s="33"/>
      <c r="LQ42" s="33"/>
      <c r="LR42" s="33"/>
      <c r="LS42" s="33"/>
      <c r="LT42" s="33"/>
      <c r="LU42" s="33"/>
      <c r="LV42" s="33"/>
      <c r="LW42" s="33"/>
      <c r="LX42" s="33"/>
      <c r="LY42" s="33"/>
      <c r="LZ42" s="33"/>
      <c r="MA42" s="33"/>
      <c r="MB42" s="33"/>
      <c r="MC42" s="33"/>
      <c r="MD42" s="33"/>
      <c r="ME42" s="33"/>
      <c r="MF42" s="33"/>
      <c r="MG42" s="33"/>
      <c r="MH42" s="33"/>
      <c r="MI42" s="33"/>
      <c r="MJ42" s="33"/>
      <c r="MK42" s="33"/>
      <c r="ML42" s="33"/>
      <c r="MM42" s="33"/>
      <c r="MN42" s="33"/>
      <c r="MO42" s="33"/>
      <c r="MP42" s="33"/>
      <c r="MQ42" s="33"/>
      <c r="MR42" s="33"/>
      <c r="MS42" s="33"/>
      <c r="MT42" s="33"/>
      <c r="MU42" s="33"/>
      <c r="MV42" s="33"/>
      <c r="MW42" s="33"/>
      <c r="MX42" s="33"/>
      <c r="MY42" s="33"/>
      <c r="MZ42" s="33"/>
      <c r="NA42" s="33"/>
      <c r="NB42" s="33"/>
      <c r="NC42" s="33"/>
      <c r="ND42" s="33"/>
      <c r="NE42" s="33"/>
      <c r="NF42" s="33"/>
      <c r="NG42" s="33"/>
      <c r="NH42" s="33"/>
      <c r="NI42" s="33"/>
      <c r="NJ42" s="33"/>
      <c r="NK42" s="33"/>
      <c r="NL42" s="33"/>
      <c r="NM42" s="33"/>
      <c r="NN42" s="33"/>
      <c r="NO42" s="33"/>
      <c r="NP42" s="33"/>
      <c r="NQ42" s="33"/>
      <c r="NR42" s="33"/>
      <c r="NS42" s="33"/>
      <c r="NT42" s="33"/>
      <c r="NU42" s="33"/>
      <c r="NV42" s="33"/>
      <c r="NW42" s="33"/>
      <c r="NX42" s="33"/>
      <c r="NY42" s="33"/>
      <c r="NZ42" s="33"/>
      <c r="OA42" s="33"/>
      <c r="OB42" s="33"/>
      <c r="OC42" s="33"/>
      <c r="OD42" s="33"/>
      <c r="OE42" s="33"/>
      <c r="OF42" s="33"/>
      <c r="OG42" s="33"/>
      <c r="OH42" s="33"/>
      <c r="OI42" s="33"/>
      <c r="OJ42" s="33"/>
      <c r="OK42" s="33"/>
      <c r="OL42" s="33"/>
      <c r="OM42" s="33"/>
      <c r="ON42" s="33"/>
      <c r="OO42" s="33"/>
      <c r="OP42" s="33"/>
      <c r="OQ42" s="33"/>
      <c r="OR42" s="33"/>
      <c r="OS42" s="33"/>
      <c r="OT42" s="33"/>
      <c r="OU42" s="33"/>
      <c r="OV42" s="33"/>
      <c r="OW42" s="33"/>
      <c r="OX42" s="33"/>
      <c r="OY42" s="33"/>
      <c r="OZ42" s="33"/>
      <c r="PA42" s="33"/>
      <c r="PB42" s="33"/>
      <c r="PC42" s="33"/>
      <c r="PD42" s="33"/>
      <c r="PE42" s="33"/>
      <c r="PF42" s="33"/>
      <c r="PG42" s="33"/>
      <c r="PH42" s="33"/>
      <c r="PI42" s="33"/>
      <c r="PJ42" s="33"/>
      <c r="PK42" s="33"/>
      <c r="PL42" s="33"/>
      <c r="PM42" s="33"/>
      <c r="PN42" s="33"/>
      <c r="PO42" s="33"/>
      <c r="PP42" s="33"/>
      <c r="PQ42" s="33"/>
      <c r="PR42" s="33"/>
      <c r="PS42" s="33"/>
      <c r="PT42" s="33"/>
      <c r="PU42" s="33"/>
      <c r="PV42" s="33"/>
      <c r="PW42" s="33"/>
      <c r="PX42" s="33"/>
      <c r="PY42" s="33"/>
      <c r="PZ42" s="33"/>
      <c r="QA42" s="33"/>
      <c r="QB42" s="33"/>
      <c r="QC42" s="33"/>
      <c r="QD42" s="33"/>
      <c r="QE42" s="33"/>
      <c r="QF42" s="33"/>
      <c r="QG42" s="33"/>
      <c r="QH42" s="33"/>
      <c r="QI42" s="33"/>
      <c r="QJ42" s="33"/>
      <c r="QK42" s="33"/>
      <c r="QL42" s="33"/>
      <c r="QM42" s="33"/>
      <c r="QN42" s="33"/>
      <c r="QO42" s="33"/>
      <c r="QP42" s="33"/>
      <c r="QQ42" s="33"/>
      <c r="QR42" s="33"/>
      <c r="QS42" s="33"/>
      <c r="QT42" s="33"/>
      <c r="QU42" s="33"/>
      <c r="QV42" s="33"/>
      <c r="QW42" s="33"/>
      <c r="QX42" s="33"/>
      <c r="QY42" s="33"/>
      <c r="QZ42" s="33"/>
      <c r="RA42" s="33"/>
      <c r="RB42" s="33"/>
      <c r="RC42" s="33"/>
      <c r="RD42" s="33"/>
      <c r="RE42" s="33"/>
      <c r="RF42" s="33"/>
      <c r="RG42" s="33"/>
      <c r="RH42" s="33"/>
      <c r="RI42" s="33"/>
      <c r="RJ42" s="33"/>
      <c r="RK42" s="33"/>
      <c r="RL42" s="33"/>
      <c r="RM42" s="33"/>
      <c r="RN42" s="33"/>
      <c r="RO42" s="33"/>
      <c r="RP42" s="33"/>
      <c r="RQ42" s="33"/>
      <c r="RR42" s="33"/>
      <c r="RS42" s="33"/>
      <c r="RT42" s="33"/>
      <c r="RU42" s="33"/>
      <c r="RV42" s="33"/>
      <c r="RW42" s="33"/>
      <c r="RX42" s="33"/>
      <c r="RY42" s="33"/>
      <c r="RZ42" s="33"/>
      <c r="SA42" s="33"/>
      <c r="SB42" s="33"/>
      <c r="SC42" s="33"/>
      <c r="SD42" s="33"/>
      <c r="SE42" s="33"/>
      <c r="SF42" s="33"/>
      <c r="SG42" s="33"/>
      <c r="SH42" s="33"/>
      <c r="SI42" s="33"/>
      <c r="SJ42" s="33"/>
      <c r="SK42" s="33"/>
      <c r="SL42" s="33"/>
      <c r="SM42" s="33"/>
      <c r="SN42" s="33"/>
      <c r="SO42" s="33"/>
      <c r="SP42" s="33"/>
      <c r="SQ42" s="33"/>
      <c r="SR42" s="33"/>
      <c r="SS42" s="33"/>
      <c r="ST42" s="33"/>
      <c r="SU42" s="33"/>
      <c r="SV42" s="33"/>
      <c r="SW42" s="33"/>
      <c r="SX42" s="33"/>
      <c r="SY42" s="33"/>
      <c r="SZ42" s="33"/>
      <c r="TA42" s="33"/>
      <c r="TB42" s="33"/>
      <c r="TC42" s="33"/>
      <c r="TD42" s="33"/>
      <c r="TE42" s="33"/>
      <c r="TF42" s="33"/>
      <c r="TG42" s="33"/>
      <c r="TH42" s="33"/>
      <c r="TI42" s="33"/>
      <c r="TJ42" s="33"/>
      <c r="TK42" s="33"/>
      <c r="TL42" s="33"/>
      <c r="TM42" s="33"/>
      <c r="TN42" s="33"/>
      <c r="TO42" s="33"/>
      <c r="TP42" s="33"/>
      <c r="TQ42" s="33"/>
      <c r="TR42" s="33"/>
      <c r="TS42" s="33"/>
      <c r="TT42" s="33"/>
      <c r="TU42" s="33"/>
      <c r="TV42" s="33"/>
      <c r="TW42" s="33"/>
      <c r="TX42" s="33"/>
      <c r="TY42" s="33"/>
      <c r="TZ42" s="33"/>
      <c r="UA42" s="33"/>
      <c r="UB42" s="33"/>
      <c r="UC42" s="33"/>
      <c r="UD42" s="33"/>
      <c r="UE42" s="33"/>
      <c r="UF42" s="33"/>
      <c r="UG42" s="33"/>
      <c r="UH42" s="33"/>
      <c r="UI42" s="33"/>
      <c r="UJ42" s="33"/>
      <c r="UK42" s="33"/>
      <c r="UL42" s="33"/>
      <c r="UM42" s="33"/>
      <c r="UN42" s="33"/>
      <c r="UO42" s="33"/>
      <c r="UP42" s="33"/>
      <c r="UQ42" s="33"/>
      <c r="UR42" s="33"/>
      <c r="US42" s="33"/>
      <c r="UT42" s="33"/>
      <c r="UU42" s="33"/>
      <c r="UV42" s="33"/>
      <c r="UW42" s="33"/>
      <c r="UX42" s="33"/>
      <c r="UY42" s="33"/>
      <c r="UZ42" s="33"/>
      <c r="VA42" s="33"/>
      <c r="VB42" s="33"/>
      <c r="VC42" s="33"/>
      <c r="VD42" s="33"/>
      <c r="VE42" s="33"/>
      <c r="VF42" s="33"/>
      <c r="VG42" s="33"/>
      <c r="VH42" s="33"/>
      <c r="VI42" s="33"/>
      <c r="VJ42" s="33"/>
      <c r="VK42" s="33"/>
      <c r="VL42" s="33"/>
      <c r="VM42" s="33"/>
      <c r="VN42" s="33"/>
      <c r="VO42" s="33"/>
      <c r="VP42" s="33"/>
      <c r="VQ42" s="33"/>
      <c r="VR42" s="33"/>
      <c r="VS42" s="33"/>
      <c r="VT42" s="33"/>
      <c r="VU42" s="33"/>
      <c r="VV42" s="33"/>
      <c r="VW42" s="33"/>
      <c r="VX42" s="33"/>
      <c r="VY42" s="33"/>
      <c r="VZ42" s="33"/>
      <c r="WA42" s="33"/>
      <c r="WB42" s="33"/>
      <c r="WC42" s="33"/>
      <c r="WD42" s="33"/>
      <c r="WE42" s="33"/>
      <c r="WF42" s="33"/>
      <c r="WG42" s="33"/>
      <c r="WH42" s="33"/>
      <c r="WI42" s="33"/>
      <c r="WJ42" s="33"/>
      <c r="WK42" s="33"/>
      <c r="WL42" s="33"/>
      <c r="WM42" s="33"/>
      <c r="WN42" s="33"/>
      <c r="WO42" s="33"/>
      <c r="WP42" s="33"/>
      <c r="WQ42" s="33"/>
      <c r="WR42" s="33"/>
      <c r="WS42" s="33"/>
      <c r="WT42" s="33"/>
      <c r="WU42" s="33"/>
      <c r="WV42" s="33"/>
      <c r="WW42" s="33"/>
      <c r="WX42" s="33"/>
      <c r="WY42" s="33"/>
      <c r="WZ42" s="33"/>
      <c r="XA42" s="33"/>
      <c r="XB42" s="33"/>
      <c r="XC42" s="33"/>
      <c r="XD42" s="33"/>
      <c r="XE42" s="33"/>
      <c r="XF42" s="33"/>
      <c r="XG42" s="33"/>
      <c r="XH42" s="33"/>
      <c r="XI42" s="33"/>
      <c r="XJ42" s="33"/>
      <c r="XK42" s="33"/>
      <c r="XL42" s="33"/>
      <c r="XM42" s="33"/>
      <c r="XN42" s="33"/>
      <c r="XO42" s="33"/>
      <c r="XP42" s="33"/>
      <c r="XQ42" s="33"/>
      <c r="XR42" s="33"/>
      <c r="XS42" s="33"/>
      <c r="XT42" s="33"/>
      <c r="XU42" s="33"/>
      <c r="XV42" s="33"/>
      <c r="XW42" s="33"/>
      <c r="XX42" s="33"/>
      <c r="XY42" s="33"/>
      <c r="XZ42" s="33"/>
      <c r="YA42" s="33"/>
      <c r="YB42" s="33"/>
      <c r="YC42" s="33"/>
      <c r="YD42" s="33"/>
      <c r="YE42" s="33"/>
      <c r="YF42" s="33"/>
      <c r="YG42" s="33"/>
      <c r="YH42" s="33"/>
      <c r="YI42" s="33"/>
      <c r="YJ42" s="33"/>
      <c r="YK42" s="33"/>
      <c r="YL42" s="33"/>
      <c r="YM42" s="33"/>
      <c r="YN42" s="33"/>
      <c r="YO42" s="33"/>
      <c r="YP42" s="33"/>
      <c r="YQ42" s="33"/>
      <c r="YR42" s="33"/>
      <c r="YS42" s="33"/>
      <c r="YT42" s="33"/>
      <c r="YU42" s="33"/>
      <c r="YV42" s="33"/>
      <c r="YW42" s="33"/>
      <c r="YX42" s="33"/>
      <c r="YY42" s="33"/>
      <c r="YZ42" s="33"/>
      <c r="ZA42" s="33"/>
      <c r="ZB42" s="33"/>
      <c r="ZC42" s="33"/>
      <c r="ZD42" s="33"/>
      <c r="ZE42" s="33"/>
      <c r="ZF42" s="33"/>
      <c r="ZG42" s="33"/>
      <c r="ZH42" s="33"/>
      <c r="ZI42" s="33"/>
      <c r="ZJ42" s="33"/>
      <c r="ZK42" s="33"/>
      <c r="ZL42" s="33"/>
      <c r="ZM42" s="33"/>
      <c r="ZN42" s="33"/>
      <c r="ZO42" s="33"/>
      <c r="ZP42" s="33"/>
      <c r="ZQ42" s="33"/>
      <c r="ZR42" s="33"/>
      <c r="ZS42" s="33"/>
      <c r="ZT42" s="33"/>
      <c r="ZU42" s="33"/>
      <c r="ZV42" s="33"/>
      <c r="ZW42" s="33"/>
      <c r="ZX42" s="33"/>
      <c r="ZY42" s="33"/>
      <c r="ZZ42" s="33"/>
      <c r="AAA42" s="33"/>
      <c r="AAB42" s="33"/>
      <c r="AAC42" s="33"/>
      <c r="AAD42" s="33"/>
      <c r="AAE42" s="33"/>
      <c r="AAF42" s="33"/>
      <c r="AAG42" s="33"/>
      <c r="AAH42" s="33"/>
      <c r="AAI42" s="33"/>
      <c r="AAJ42" s="33"/>
      <c r="AAK42" s="33"/>
      <c r="AAL42" s="33"/>
      <c r="AAM42" s="33"/>
      <c r="AAN42" s="33"/>
      <c r="AAO42" s="33"/>
      <c r="AAP42" s="33"/>
      <c r="AAQ42" s="33"/>
      <c r="AAR42" s="33"/>
      <c r="AAS42" s="33"/>
      <c r="AAT42" s="33"/>
      <c r="AAU42" s="33"/>
      <c r="AAV42" s="33"/>
      <c r="AAW42" s="33"/>
      <c r="AAX42" s="33"/>
      <c r="AAY42" s="33"/>
      <c r="AAZ42" s="33"/>
      <c r="ABA42" s="33"/>
      <c r="ABB42" s="33"/>
      <c r="ABC42" s="33"/>
      <c r="ABD42" s="33"/>
      <c r="ABE42" s="33"/>
      <c r="ABF42" s="33"/>
      <c r="ABG42" s="33"/>
      <c r="ABH42" s="33"/>
      <c r="ABI42" s="33"/>
      <c r="ABJ42" s="33"/>
      <c r="ABK42" s="33"/>
      <c r="ABL42" s="33"/>
      <c r="ABM42" s="33"/>
      <c r="ABN42" s="33"/>
      <c r="ABO42" s="33"/>
      <c r="ABP42" s="33"/>
      <c r="ABQ42" s="33"/>
      <c r="ABR42" s="33"/>
      <c r="ABS42" s="33"/>
      <c r="ABT42" s="33"/>
      <c r="ABU42" s="33"/>
      <c r="ABV42" s="33"/>
      <c r="ABW42" s="33"/>
      <c r="ABX42" s="33"/>
      <c r="ABY42" s="33"/>
      <c r="ABZ42" s="33"/>
      <c r="ACA42" s="33"/>
      <c r="ACB42" s="33"/>
      <c r="ACC42" s="33"/>
      <c r="ACD42" s="33"/>
      <c r="ACE42" s="33"/>
      <c r="ACF42" s="33"/>
      <c r="ACG42" s="33"/>
      <c r="ACH42" s="33"/>
      <c r="ACI42" s="33"/>
      <c r="ACJ42" s="33"/>
      <c r="ACK42" s="33"/>
      <c r="ACL42" s="33"/>
      <c r="ACM42" s="33"/>
      <c r="ACN42" s="33"/>
      <c r="ACO42" s="33"/>
      <c r="ACP42" s="33"/>
      <c r="ACQ42" s="33"/>
      <c r="ACR42" s="33"/>
      <c r="ACS42" s="33"/>
      <c r="ACT42" s="33"/>
      <c r="ACU42" s="33"/>
      <c r="ACV42" s="33"/>
      <c r="ACW42" s="33"/>
      <c r="ACX42" s="33"/>
      <c r="ACY42" s="33"/>
      <c r="ACZ42" s="33"/>
      <c r="ADA42" s="33"/>
      <c r="ADB42" s="33"/>
      <c r="ADC42" s="33"/>
      <c r="ADD42" s="33"/>
      <c r="ADE42" s="33"/>
      <c r="ADF42" s="33"/>
      <c r="ADG42" s="33"/>
      <c r="ADH42" s="33"/>
      <c r="ADI42" s="33"/>
      <c r="ADJ42" s="33"/>
      <c r="ADK42" s="33"/>
      <c r="ADL42" s="33"/>
      <c r="ADM42" s="33"/>
      <c r="ADN42" s="33"/>
      <c r="ADO42" s="33"/>
      <c r="ADP42" s="33"/>
      <c r="ADQ42" s="33"/>
      <c r="ADR42" s="33"/>
      <c r="ADS42" s="33"/>
      <c r="ADT42" s="33"/>
      <c r="ADU42" s="33"/>
      <c r="ADV42" s="33"/>
      <c r="ADW42" s="33"/>
      <c r="ADX42" s="33"/>
      <c r="ADY42" s="33"/>
      <c r="ADZ42" s="33"/>
      <c r="AEA42" s="33"/>
      <c r="AEB42" s="33"/>
      <c r="AEC42" s="33"/>
      <c r="AED42" s="33"/>
      <c r="AEE42" s="33"/>
      <c r="AEF42" s="33"/>
      <c r="AEG42" s="33"/>
      <c r="AEH42" s="33"/>
      <c r="AEI42" s="33"/>
      <c r="AEJ42" s="33"/>
      <c r="AEK42" s="33"/>
      <c r="AEL42" s="33"/>
      <c r="AEM42" s="33"/>
      <c r="AEN42" s="33"/>
      <c r="AEO42" s="33"/>
      <c r="AEP42" s="33"/>
      <c r="AEQ42" s="33"/>
      <c r="AER42" s="33"/>
      <c r="AES42" s="33"/>
      <c r="AET42" s="33"/>
      <c r="AEU42" s="33"/>
      <c r="AEV42" s="33"/>
      <c r="AEW42" s="33"/>
      <c r="AEX42" s="33"/>
      <c r="AEY42" s="33"/>
      <c r="AEZ42" s="33"/>
      <c r="AFA42" s="33"/>
      <c r="AFB42" s="33"/>
      <c r="AFC42" s="33"/>
      <c r="AFD42" s="33"/>
      <c r="AFE42" s="33"/>
      <c r="AFF42" s="33"/>
      <c r="AFG42" s="33"/>
      <c r="AFH42" s="33"/>
      <c r="AFI42" s="33"/>
      <c r="AFJ42" s="33"/>
      <c r="AFK42" s="33"/>
      <c r="AFL42" s="33"/>
      <c r="AFM42" s="33"/>
      <c r="AFN42" s="33"/>
      <c r="AFO42" s="33"/>
      <c r="AFP42" s="33"/>
      <c r="AFQ42" s="33"/>
      <c r="AFR42" s="33"/>
      <c r="AFS42" s="33"/>
      <c r="AFT42" s="33"/>
      <c r="AFU42" s="33"/>
      <c r="AFV42" s="33"/>
      <c r="AFW42" s="33"/>
      <c r="AFX42" s="33"/>
      <c r="AFY42" s="33"/>
      <c r="AFZ42" s="33"/>
      <c r="AGA42" s="33"/>
      <c r="AGB42" s="33"/>
      <c r="AGC42" s="33"/>
      <c r="AGD42" s="33"/>
      <c r="AGE42" s="33"/>
      <c r="AGF42" s="33"/>
      <c r="AGG42" s="33"/>
      <c r="AGH42" s="33"/>
      <c r="AGI42" s="33"/>
      <c r="AGJ42" s="33"/>
      <c r="AGK42" s="33"/>
      <c r="AGL42" s="33"/>
      <c r="AGM42" s="33"/>
      <c r="AGN42" s="33"/>
      <c r="AGO42" s="33"/>
      <c r="AGP42" s="33"/>
      <c r="AGQ42" s="33"/>
      <c r="AGR42" s="33"/>
      <c r="AGS42" s="33"/>
      <c r="AGT42" s="33"/>
      <c r="AGU42" s="33"/>
      <c r="AGV42" s="33"/>
      <c r="AGW42" s="33"/>
      <c r="AGX42" s="33"/>
      <c r="AGY42" s="33"/>
      <c r="AGZ42" s="33"/>
      <c r="AHA42" s="33"/>
      <c r="AHB42" s="33"/>
      <c r="AHC42" s="33"/>
      <c r="AHD42" s="33"/>
      <c r="AHE42" s="33"/>
      <c r="AHF42" s="33"/>
      <c r="AHG42" s="33"/>
      <c r="AHH42" s="33"/>
      <c r="AHI42" s="33"/>
      <c r="AHJ42" s="33"/>
      <c r="AHK42" s="33"/>
      <c r="AHL42" s="33"/>
      <c r="AHM42" s="33"/>
      <c r="AHN42" s="33"/>
      <c r="AHO42" s="33"/>
      <c r="AHP42" s="33"/>
      <c r="AHQ42" s="33"/>
      <c r="AHR42" s="33"/>
      <c r="AHS42" s="33"/>
      <c r="AHT42" s="33"/>
      <c r="AHU42" s="33"/>
      <c r="AHV42" s="33"/>
      <c r="AHW42" s="33"/>
      <c r="AHX42" s="33"/>
      <c r="AHY42" s="33"/>
      <c r="AHZ42" s="33"/>
      <c r="AIA42" s="33"/>
      <c r="AIB42" s="33"/>
      <c r="AIC42" s="33"/>
      <c r="AID42" s="33"/>
      <c r="AIE42" s="33"/>
      <c r="AIF42" s="33"/>
      <c r="AIG42" s="33"/>
      <c r="AIH42" s="33"/>
      <c r="AII42" s="33"/>
      <c r="AIJ42" s="33"/>
      <c r="AIK42" s="33"/>
      <c r="AIL42" s="33"/>
      <c r="AIM42" s="33"/>
      <c r="AIN42" s="33"/>
      <c r="AIO42" s="33"/>
      <c r="AIP42" s="33"/>
      <c r="AIQ42" s="33"/>
      <c r="AIR42" s="33"/>
      <c r="AIS42" s="33"/>
      <c r="AIT42" s="33"/>
      <c r="AIU42" s="33"/>
      <c r="AIV42" s="33"/>
      <c r="AIW42" s="33"/>
      <c r="AIX42" s="33"/>
      <c r="AIY42" s="33"/>
      <c r="AIZ42" s="33"/>
      <c r="AJA42" s="33"/>
      <c r="AJB42" s="33"/>
      <c r="AJC42" s="33"/>
      <c r="AJD42" s="33"/>
      <c r="AJE42" s="33"/>
      <c r="AJF42" s="33"/>
      <c r="AJG42" s="33"/>
      <c r="AJH42" s="33"/>
      <c r="AJI42" s="33"/>
      <c r="AJJ42" s="33"/>
      <c r="AJK42" s="33"/>
      <c r="AJL42" s="33"/>
      <c r="AJM42" s="33"/>
      <c r="AJN42" s="33"/>
      <c r="AJO42" s="33"/>
      <c r="AJP42" s="33"/>
      <c r="AJQ42" s="33"/>
      <c r="AJR42" s="33"/>
      <c r="AJS42" s="33"/>
      <c r="AJT42" s="33"/>
      <c r="AJU42" s="33"/>
      <c r="AJV42" s="33"/>
      <c r="AJW42" s="33"/>
      <c r="AJX42" s="33"/>
      <c r="AJY42" s="33"/>
      <c r="AJZ42" s="33"/>
      <c r="AKA42" s="33"/>
      <c r="AKB42" s="33"/>
      <c r="AKC42" s="33"/>
      <c r="AKD42" s="33"/>
      <c r="AKE42" s="33"/>
      <c r="AKF42" s="33"/>
      <c r="AKG42" s="33"/>
      <c r="AKH42" s="33"/>
      <c r="AKI42" s="33"/>
      <c r="AKJ42" s="33"/>
      <c r="AKK42" s="33"/>
      <c r="AKL42" s="33"/>
      <c r="AKM42" s="33"/>
      <c r="AKN42" s="33"/>
      <c r="AKO42" s="33"/>
      <c r="AKP42" s="33"/>
      <c r="AKQ42" s="33"/>
      <c r="AKR42" s="33"/>
      <c r="AKS42" s="33"/>
      <c r="AKT42" s="33"/>
      <c r="AKU42" s="33"/>
      <c r="AKV42" s="33"/>
      <c r="AKW42" s="33"/>
      <c r="AKX42" s="33"/>
      <c r="AKY42" s="33"/>
      <c r="AKZ42" s="33"/>
      <c r="ALA42" s="33"/>
      <c r="ALB42" s="33"/>
      <c r="ALC42" s="33"/>
      <c r="ALD42" s="33"/>
      <c r="ALE42" s="33"/>
      <c r="ALF42" s="33"/>
      <c r="ALG42" s="33"/>
      <c r="ALH42" s="33"/>
      <c r="ALI42" s="33"/>
      <c r="ALJ42" s="33"/>
      <c r="ALK42" s="33"/>
      <c r="ALL42" s="33"/>
      <c r="ALM42" s="33"/>
      <c r="ALN42" s="33"/>
      <c r="ALO42" s="33"/>
      <c r="ALP42" s="33"/>
      <c r="ALQ42" s="33"/>
      <c r="ALR42" s="33"/>
      <c r="ALS42" s="33"/>
      <c r="ALT42" s="33"/>
      <c r="ALU42" s="33"/>
      <c r="ALV42" s="33"/>
      <c r="ALW42" s="33"/>
      <c r="ALX42" s="33"/>
      <c r="ALY42" s="33"/>
      <c r="ALZ42" s="33"/>
      <c r="AMA42" s="33"/>
      <c r="AMB42" s="33"/>
      <c r="AMC42" s="33"/>
      <c r="AMD42" s="33"/>
      <c r="AME42" s="33"/>
      <c r="AMF42" s="33"/>
      <c r="AMG42" s="33"/>
      <c r="AMH42" s="33"/>
      <c r="AMI42" s="33"/>
      <c r="AMJ42" s="33"/>
      <c r="AMK42" s="33"/>
      <c r="AML42" s="33"/>
      <c r="AMM42" s="33"/>
      <c r="AMN42" s="33"/>
      <c r="AMO42" s="33"/>
      <c r="AMP42" s="33"/>
      <c r="AMQ42" s="33"/>
      <c r="AMR42" s="33"/>
      <c r="AMS42" s="33"/>
      <c r="AMT42" s="33"/>
      <c r="AMU42" s="33"/>
      <c r="AMV42" s="33"/>
      <c r="AMW42" s="33"/>
      <c r="AMX42" s="33"/>
      <c r="AMY42" s="33"/>
      <c r="AMZ42" s="33"/>
      <c r="ANA42" s="33"/>
      <c r="ANB42" s="33"/>
      <c r="ANC42" s="33"/>
      <c r="AND42" s="33"/>
      <c r="ANE42" s="33"/>
      <c r="ANF42" s="33"/>
      <c r="ANG42" s="33"/>
      <c r="ANH42" s="33"/>
      <c r="ANI42" s="33"/>
      <c r="ANJ42" s="33"/>
      <c r="ANK42" s="33"/>
      <c r="ANL42" s="33"/>
      <c r="ANM42" s="33"/>
      <c r="ANN42" s="33"/>
      <c r="ANO42" s="33"/>
      <c r="ANP42" s="33"/>
      <c r="ANQ42" s="33"/>
      <c r="ANR42" s="33"/>
      <c r="ANS42" s="33"/>
      <c r="ANT42" s="33"/>
      <c r="ANU42" s="33"/>
      <c r="ANV42" s="33"/>
      <c r="ANW42" s="33"/>
      <c r="ANX42" s="33"/>
      <c r="ANY42" s="33"/>
      <c r="ANZ42" s="33"/>
      <c r="AOA42" s="33"/>
      <c r="AOB42" s="33"/>
      <c r="AOC42" s="33"/>
      <c r="AOD42" s="33"/>
      <c r="AOE42" s="33"/>
      <c r="AOF42" s="33"/>
      <c r="AOG42" s="33"/>
      <c r="AOH42" s="33"/>
      <c r="AOI42" s="33"/>
      <c r="AOJ42" s="33"/>
      <c r="AOK42" s="33"/>
      <c r="AOL42" s="33"/>
      <c r="AOM42" s="33"/>
      <c r="AON42" s="33"/>
      <c r="AOO42" s="33"/>
      <c r="AOP42" s="33"/>
      <c r="AOQ42" s="33"/>
      <c r="AOR42" s="33"/>
      <c r="AOS42" s="33"/>
      <c r="AOT42" s="33"/>
      <c r="AOU42" s="33"/>
      <c r="AOV42" s="33"/>
      <c r="AOW42" s="33"/>
      <c r="AOX42" s="33"/>
      <c r="AOY42" s="33"/>
      <c r="AOZ42" s="33"/>
      <c r="APA42" s="33"/>
      <c r="APB42" s="33"/>
      <c r="APC42" s="33"/>
      <c r="APD42" s="33"/>
      <c r="APE42" s="33"/>
      <c r="APF42" s="33"/>
      <c r="APG42" s="33"/>
      <c r="APH42" s="33"/>
      <c r="API42" s="33"/>
      <c r="APJ42" s="33"/>
      <c r="APK42" s="33"/>
      <c r="APL42" s="33"/>
      <c r="APM42" s="33"/>
      <c r="APN42" s="33"/>
      <c r="APO42" s="33"/>
      <c r="APP42" s="33"/>
      <c r="APQ42" s="33"/>
      <c r="APR42" s="33"/>
      <c r="APS42" s="33"/>
      <c r="APT42" s="33"/>
      <c r="APU42" s="33"/>
      <c r="APV42" s="33"/>
      <c r="APW42" s="33"/>
      <c r="APX42" s="33"/>
      <c r="APY42" s="33"/>
      <c r="APZ42" s="33"/>
      <c r="AQA42" s="33"/>
      <c r="AQB42" s="33"/>
      <c r="AQC42" s="33"/>
      <c r="AQD42" s="33"/>
      <c r="AQE42" s="33"/>
      <c r="AQF42" s="33"/>
      <c r="AQG42" s="33"/>
      <c r="AQH42" s="33"/>
      <c r="AQI42" s="33"/>
      <c r="AQJ42" s="33"/>
      <c r="AQK42" s="33"/>
      <c r="AQL42" s="33"/>
      <c r="AQM42" s="33"/>
      <c r="AQN42" s="33"/>
      <c r="AQO42" s="33"/>
      <c r="AQP42" s="33"/>
      <c r="AQQ42" s="33"/>
      <c r="AQR42" s="33"/>
      <c r="AQS42" s="33"/>
      <c r="AQT42" s="33"/>
      <c r="AQU42" s="33"/>
      <c r="AQV42" s="33"/>
      <c r="AQW42" s="33"/>
      <c r="AQX42" s="33"/>
      <c r="AQY42" s="33"/>
      <c r="AQZ42" s="33"/>
      <c r="ARA42" s="33"/>
      <c r="ARB42" s="33"/>
      <c r="ARC42" s="33"/>
      <c r="ARD42" s="33"/>
      <c r="ARE42" s="33"/>
      <c r="ARF42" s="33"/>
      <c r="ARG42" s="33"/>
      <c r="ARH42" s="33"/>
      <c r="ARI42" s="33"/>
      <c r="ARJ42" s="33"/>
      <c r="ARK42" s="33"/>
      <c r="ARL42" s="33"/>
      <c r="ARM42" s="33"/>
      <c r="ARN42" s="33"/>
      <c r="ARO42" s="33"/>
      <c r="ARP42" s="33"/>
      <c r="ARQ42" s="33"/>
      <c r="ARR42" s="33"/>
      <c r="ARS42" s="33"/>
      <c r="ART42" s="33"/>
      <c r="ARU42" s="33"/>
      <c r="ARV42" s="33"/>
      <c r="ARW42" s="33"/>
      <c r="ARX42" s="33"/>
      <c r="ARY42" s="33"/>
      <c r="ARZ42" s="33"/>
      <c r="ASA42" s="33"/>
      <c r="ASB42" s="33"/>
      <c r="ASC42" s="33"/>
      <c r="ASD42" s="33"/>
      <c r="ASE42" s="33"/>
      <c r="ASF42" s="33"/>
      <c r="ASG42" s="33"/>
      <c r="ASH42" s="33"/>
      <c r="ASI42" s="33"/>
      <c r="ASJ42" s="33"/>
      <c r="ASK42" s="33"/>
      <c r="ASL42" s="33"/>
      <c r="ASM42" s="33"/>
      <c r="ASN42" s="33"/>
      <c r="ASO42" s="33"/>
      <c r="ASP42" s="33"/>
      <c r="ASQ42" s="33"/>
      <c r="ASR42" s="33"/>
      <c r="ASS42" s="33"/>
      <c r="AST42" s="33"/>
      <c r="ASU42" s="33"/>
      <c r="ASV42" s="33"/>
      <c r="ASW42" s="33"/>
      <c r="ASX42" s="33"/>
      <c r="ASY42" s="33"/>
      <c r="ASZ42" s="33"/>
      <c r="ATA42" s="33"/>
      <c r="ATB42" s="33"/>
      <c r="ATC42" s="33"/>
      <c r="ATD42" s="33"/>
      <c r="ATE42" s="33"/>
      <c r="ATF42" s="33"/>
      <c r="ATG42" s="33"/>
      <c r="ATH42" s="33"/>
      <c r="ATI42" s="33"/>
      <c r="ATJ42" s="33"/>
      <c r="ATK42" s="33"/>
      <c r="ATL42" s="33"/>
      <c r="ATM42" s="33"/>
      <c r="ATN42" s="33"/>
      <c r="ATO42" s="33"/>
      <c r="ATP42" s="33"/>
      <c r="ATQ42" s="33"/>
      <c r="ATR42" s="33"/>
      <c r="ATS42" s="33"/>
      <c r="ATT42" s="33"/>
      <c r="ATU42" s="33"/>
      <c r="ATV42" s="33"/>
      <c r="ATW42" s="33"/>
      <c r="ATX42" s="33"/>
      <c r="ATY42" s="33"/>
      <c r="ATZ42" s="33"/>
      <c r="AUA42" s="33"/>
      <c r="AUB42" s="33"/>
      <c r="AUC42" s="33"/>
      <c r="AUD42" s="33"/>
      <c r="AUE42" s="33"/>
      <c r="AUF42" s="33"/>
      <c r="AUG42" s="33"/>
      <c r="AUH42" s="33"/>
      <c r="AUI42" s="33"/>
      <c r="AUJ42" s="33"/>
      <c r="AUK42" s="33"/>
      <c r="AUL42" s="33"/>
      <c r="AUM42" s="33"/>
      <c r="AUN42" s="33"/>
      <c r="AUO42" s="33"/>
      <c r="AUP42" s="33"/>
      <c r="AUQ42" s="33"/>
      <c r="AUR42" s="33"/>
      <c r="AUS42" s="33"/>
      <c r="AUT42" s="33"/>
      <c r="AUU42" s="33"/>
      <c r="AUV42" s="33"/>
      <c r="AUW42" s="33"/>
      <c r="AUX42" s="33"/>
      <c r="AUY42" s="33"/>
      <c r="AUZ42" s="33"/>
      <c r="AVA42" s="33"/>
      <c r="AVB42" s="33"/>
      <c r="AVC42" s="33"/>
      <c r="AVD42" s="33"/>
      <c r="AVE42" s="33"/>
      <c r="AVF42" s="33"/>
      <c r="AVG42" s="33"/>
      <c r="AVH42" s="33"/>
      <c r="AVI42" s="33"/>
      <c r="AVJ42" s="33"/>
      <c r="AVK42" s="33"/>
      <c r="AVL42" s="33"/>
      <c r="AVM42" s="33"/>
      <c r="AVN42" s="33"/>
      <c r="AVO42" s="33"/>
      <c r="AVP42" s="33"/>
      <c r="AVQ42" s="33"/>
      <c r="AVR42" s="33"/>
      <c r="AVS42" s="33"/>
      <c r="AVT42" s="33"/>
      <c r="AVU42" s="33"/>
      <c r="AVV42" s="33"/>
      <c r="AVW42" s="33"/>
      <c r="AVX42" s="33"/>
      <c r="AVY42" s="33"/>
      <c r="AVZ42" s="33"/>
      <c r="AWA42" s="33"/>
      <c r="AWB42" s="33"/>
      <c r="AWC42" s="33"/>
      <c r="AWD42" s="33"/>
      <c r="AWE42" s="33"/>
      <c r="AWF42" s="33"/>
      <c r="AWG42" s="33"/>
      <c r="AWH42" s="33"/>
      <c r="AWI42" s="33"/>
      <c r="AWJ42" s="33"/>
      <c r="AWK42" s="33"/>
      <c r="AWL42" s="33"/>
      <c r="AWM42" s="33"/>
      <c r="AWN42" s="33"/>
      <c r="AWO42" s="33"/>
      <c r="AWP42" s="33"/>
      <c r="AWQ42" s="33"/>
      <c r="AWR42" s="33"/>
      <c r="AWS42" s="33"/>
      <c r="AWT42" s="33"/>
      <c r="AWU42" s="33"/>
      <c r="AWV42" s="33"/>
      <c r="AWW42" s="33"/>
      <c r="AWX42" s="33"/>
      <c r="AWY42" s="33"/>
      <c r="AWZ42" s="33"/>
      <c r="AXA42" s="33"/>
      <c r="AXB42" s="33"/>
      <c r="AXC42" s="33"/>
      <c r="AXD42" s="33"/>
      <c r="AXE42" s="33"/>
      <c r="AXF42" s="33"/>
      <c r="AXG42" s="33"/>
      <c r="AXH42" s="33"/>
      <c r="AXI42" s="33"/>
      <c r="AXJ42" s="33"/>
      <c r="AXK42" s="33"/>
      <c r="AXL42" s="33"/>
      <c r="AXM42" s="33"/>
      <c r="AXN42" s="33"/>
      <c r="AXO42" s="33"/>
      <c r="AXP42" s="33"/>
      <c r="AXQ42" s="33"/>
      <c r="AXR42" s="33"/>
      <c r="AXS42" s="33"/>
      <c r="AXT42" s="33"/>
      <c r="AXU42" s="33"/>
      <c r="AXV42" s="33"/>
      <c r="AXW42" s="33"/>
      <c r="AXX42" s="33"/>
      <c r="AXY42" s="33"/>
      <c r="AXZ42" s="33"/>
      <c r="AYA42" s="33"/>
      <c r="AYB42" s="33"/>
      <c r="AYC42" s="33"/>
      <c r="AYD42" s="33"/>
      <c r="AYE42" s="33"/>
      <c r="AYF42" s="33"/>
      <c r="AYG42" s="33"/>
      <c r="AYH42" s="33"/>
      <c r="AYI42" s="33"/>
      <c r="AYJ42" s="33"/>
      <c r="AYK42" s="33"/>
      <c r="AYL42" s="33"/>
      <c r="AYM42" s="33"/>
      <c r="AYN42" s="33"/>
      <c r="AYO42" s="33"/>
      <c r="AYP42" s="33"/>
      <c r="AYQ42" s="33"/>
      <c r="AYR42" s="33"/>
      <c r="AYS42" s="33"/>
      <c r="AYT42" s="33"/>
      <c r="AYU42" s="33"/>
      <c r="AYV42" s="33"/>
      <c r="AYW42" s="33"/>
      <c r="AYX42" s="33"/>
      <c r="AYY42" s="33"/>
      <c r="AYZ42" s="33"/>
      <c r="AZA42" s="33"/>
      <c r="AZB42" s="33"/>
      <c r="AZC42" s="33"/>
      <c r="AZD42" s="33"/>
      <c r="AZE42" s="33"/>
      <c r="AZF42" s="33"/>
      <c r="AZG42" s="33"/>
      <c r="AZH42" s="33"/>
      <c r="AZI42" s="33"/>
      <c r="AZJ42" s="33"/>
      <c r="AZK42" s="33"/>
      <c r="AZL42" s="33"/>
      <c r="AZM42" s="33"/>
      <c r="AZN42" s="33"/>
      <c r="AZO42" s="33"/>
      <c r="AZP42" s="33"/>
      <c r="AZQ42" s="33"/>
      <c r="AZR42" s="33"/>
      <c r="AZS42" s="33"/>
      <c r="AZT42" s="33"/>
      <c r="AZU42" s="33"/>
      <c r="AZV42" s="33"/>
      <c r="AZW42" s="33"/>
      <c r="AZX42" s="33"/>
      <c r="AZY42" s="33"/>
      <c r="AZZ42" s="33"/>
      <c r="BAA42" s="33"/>
      <c r="BAB42" s="33"/>
      <c r="BAC42" s="33"/>
      <c r="BAD42" s="33"/>
      <c r="BAE42" s="33"/>
      <c r="BAF42" s="33"/>
      <c r="BAG42" s="33"/>
      <c r="BAH42" s="33"/>
      <c r="BAI42" s="33"/>
      <c r="BAJ42" s="33"/>
      <c r="BAK42" s="33"/>
      <c r="BAL42" s="33"/>
      <c r="BAM42" s="33"/>
      <c r="BAN42" s="33"/>
      <c r="BAO42" s="33"/>
      <c r="BAP42" s="33"/>
      <c r="BAQ42" s="33"/>
      <c r="BAR42" s="33"/>
      <c r="BAS42" s="33"/>
      <c r="BAT42" s="33"/>
      <c r="BAU42" s="33"/>
      <c r="BAV42" s="33"/>
      <c r="BAW42" s="33"/>
      <c r="BAX42" s="33"/>
      <c r="BAY42" s="33"/>
      <c r="BAZ42" s="33"/>
      <c r="BBA42" s="33"/>
      <c r="BBB42" s="33"/>
      <c r="BBC42" s="33"/>
      <c r="BBD42" s="33"/>
      <c r="BBE42" s="33"/>
      <c r="BBF42" s="33"/>
      <c r="BBG42" s="33"/>
      <c r="BBH42" s="33"/>
      <c r="BBI42" s="33"/>
      <c r="BBJ42" s="33"/>
      <c r="BBK42" s="33"/>
      <c r="BBL42" s="33"/>
      <c r="BBM42" s="33"/>
      <c r="BBN42" s="33"/>
      <c r="BBO42" s="33"/>
      <c r="BBP42" s="33"/>
      <c r="BBQ42" s="33"/>
      <c r="BBR42" s="33"/>
      <c r="BBS42" s="33"/>
      <c r="BBT42" s="33"/>
      <c r="BBU42" s="33"/>
      <c r="BBV42" s="33"/>
      <c r="BBW42" s="33"/>
      <c r="BBX42" s="33"/>
      <c r="BBY42" s="33"/>
      <c r="BBZ42" s="33"/>
      <c r="BCA42" s="33"/>
      <c r="BCB42" s="33"/>
      <c r="BCC42" s="33"/>
      <c r="BCD42" s="33"/>
      <c r="BCE42" s="33"/>
      <c r="BCF42" s="33"/>
      <c r="BCG42" s="33"/>
      <c r="BCH42" s="33"/>
      <c r="BCI42" s="33"/>
      <c r="BCJ42" s="33"/>
      <c r="BCK42" s="33"/>
      <c r="BCL42" s="33"/>
      <c r="BCM42" s="33"/>
      <c r="BCN42" s="33"/>
      <c r="BCO42" s="33"/>
      <c r="BCP42" s="33"/>
      <c r="BCQ42" s="33"/>
      <c r="BCR42" s="33"/>
      <c r="BCS42" s="33"/>
      <c r="BCT42" s="33"/>
      <c r="BCU42" s="33"/>
      <c r="BCV42" s="33"/>
      <c r="BCW42" s="33"/>
      <c r="BCX42" s="33"/>
      <c r="BCY42" s="33"/>
      <c r="BCZ42" s="33"/>
      <c r="BDA42" s="33"/>
      <c r="BDB42" s="33"/>
      <c r="BDC42" s="33"/>
      <c r="BDD42" s="33"/>
      <c r="BDE42" s="33"/>
      <c r="BDF42" s="33"/>
      <c r="BDG42" s="33"/>
      <c r="BDH42" s="33"/>
      <c r="BDI42" s="33"/>
      <c r="BDJ42" s="33"/>
      <c r="BDK42" s="33"/>
      <c r="BDL42" s="33"/>
      <c r="BDM42" s="33"/>
      <c r="BDN42" s="33"/>
      <c r="BDO42" s="33"/>
      <c r="BDP42" s="33"/>
      <c r="BDQ42" s="33"/>
      <c r="BDR42" s="33"/>
      <c r="BDS42" s="33"/>
      <c r="BDT42" s="33"/>
      <c r="BDU42" s="33"/>
      <c r="BDV42" s="33"/>
      <c r="BDW42" s="33"/>
      <c r="BDX42" s="33"/>
      <c r="BDY42" s="33"/>
      <c r="BDZ42" s="33"/>
      <c r="BEA42" s="33"/>
      <c r="BEB42" s="33"/>
      <c r="BEC42" s="33"/>
      <c r="BED42" s="33"/>
      <c r="BEE42" s="33"/>
      <c r="BEF42" s="33"/>
      <c r="BEG42" s="33"/>
      <c r="BEH42" s="33"/>
      <c r="BEI42" s="33"/>
      <c r="BEJ42" s="33"/>
      <c r="BEK42" s="33"/>
      <c r="BEL42" s="33"/>
      <c r="BEM42" s="33"/>
      <c r="BEN42" s="33"/>
      <c r="BEO42" s="33"/>
      <c r="BEP42" s="33"/>
      <c r="BEQ42" s="33"/>
      <c r="BER42" s="33"/>
      <c r="BES42" s="33"/>
      <c r="BET42" s="33"/>
      <c r="BEU42" s="33"/>
      <c r="BEV42" s="33"/>
      <c r="BEW42" s="33"/>
      <c r="BEX42" s="33"/>
      <c r="BEY42" s="33"/>
      <c r="BEZ42" s="33"/>
      <c r="BFA42" s="33"/>
      <c r="BFB42" s="33"/>
      <c r="BFC42" s="33"/>
      <c r="BFD42" s="33"/>
      <c r="BFE42" s="33"/>
      <c r="BFF42" s="33"/>
      <c r="BFG42" s="33"/>
      <c r="BFH42" s="33"/>
      <c r="BFI42" s="33"/>
      <c r="BFJ42" s="33"/>
      <c r="BFK42" s="33"/>
      <c r="BFL42" s="33"/>
      <c r="BFM42" s="33"/>
      <c r="BFN42" s="33"/>
      <c r="BFO42" s="33"/>
      <c r="BFP42" s="33"/>
      <c r="BFQ42" s="33"/>
      <c r="BFR42" s="33"/>
      <c r="BFS42" s="33"/>
      <c r="BFT42" s="33"/>
      <c r="BFU42" s="33"/>
      <c r="BFV42" s="33"/>
      <c r="BFW42" s="33"/>
      <c r="BFX42" s="33"/>
      <c r="BFY42" s="33"/>
      <c r="BFZ42" s="33"/>
      <c r="BGA42" s="33"/>
      <c r="BGB42" s="33"/>
      <c r="BGC42" s="33"/>
      <c r="BGD42" s="33"/>
      <c r="BGE42" s="33"/>
      <c r="BGF42" s="33"/>
      <c r="BGG42" s="33"/>
      <c r="BGH42" s="33"/>
      <c r="BGI42" s="33"/>
      <c r="BGJ42" s="33"/>
      <c r="BGK42" s="33"/>
      <c r="BGL42" s="33"/>
      <c r="BGM42" s="33"/>
      <c r="BGN42" s="33"/>
      <c r="BGO42" s="33"/>
      <c r="BGP42" s="33"/>
      <c r="BGQ42" s="33"/>
      <c r="BGR42" s="33"/>
      <c r="BGS42" s="33"/>
      <c r="BGT42" s="33"/>
      <c r="BGU42" s="33"/>
      <c r="BGV42" s="33"/>
      <c r="BGW42" s="33"/>
      <c r="BGX42" s="33"/>
      <c r="BGY42" s="33"/>
      <c r="BGZ42" s="33"/>
      <c r="BHA42" s="33"/>
      <c r="BHB42" s="33"/>
      <c r="BHC42" s="33"/>
      <c r="BHD42" s="33"/>
      <c r="BHE42" s="33"/>
      <c r="BHF42" s="33"/>
      <c r="BHG42" s="33"/>
      <c r="BHH42" s="33"/>
      <c r="BHI42" s="33"/>
      <c r="BHJ42" s="33"/>
      <c r="BHK42" s="33"/>
      <c r="BHL42" s="33"/>
      <c r="BHM42" s="33"/>
      <c r="BHN42" s="33"/>
      <c r="BHO42" s="33"/>
      <c r="BHP42" s="33"/>
      <c r="BHQ42" s="33"/>
      <c r="BHR42" s="33"/>
      <c r="BHS42" s="33"/>
      <c r="BHT42" s="33"/>
      <c r="BHU42" s="33"/>
      <c r="BHV42" s="33"/>
      <c r="BHW42" s="33"/>
      <c r="BHX42" s="33"/>
      <c r="BHY42" s="33"/>
      <c r="BHZ42" s="33"/>
      <c r="BIA42" s="33"/>
      <c r="BIB42" s="33"/>
      <c r="BIC42" s="33"/>
      <c r="BID42" s="33"/>
      <c r="BIE42" s="33"/>
      <c r="BIF42" s="33"/>
      <c r="BIG42" s="33"/>
      <c r="BIH42" s="33"/>
      <c r="BII42" s="33"/>
      <c r="BIJ42" s="33"/>
      <c r="BIK42" s="33"/>
      <c r="BIL42" s="33"/>
      <c r="BIM42" s="33"/>
      <c r="BIN42" s="33"/>
      <c r="BIO42" s="33"/>
      <c r="BIP42" s="33"/>
      <c r="BIQ42" s="33"/>
      <c r="BIR42" s="33"/>
      <c r="BIS42" s="33"/>
      <c r="BIT42" s="33"/>
      <c r="BIU42" s="33"/>
      <c r="BIV42" s="33"/>
      <c r="BIW42" s="33"/>
      <c r="BIX42" s="33"/>
      <c r="BIY42" s="33"/>
      <c r="BIZ42" s="33"/>
      <c r="BJA42" s="33"/>
      <c r="BJB42" s="33"/>
      <c r="BJC42" s="33"/>
      <c r="BJD42" s="33"/>
      <c r="BJE42" s="33"/>
      <c r="BJF42" s="33"/>
      <c r="BJG42" s="33"/>
      <c r="BJH42" s="33"/>
      <c r="BJI42" s="33"/>
      <c r="BJJ42" s="33"/>
      <c r="BJK42" s="33"/>
      <c r="BJL42" s="33"/>
      <c r="BJM42" s="33"/>
      <c r="BJN42" s="33"/>
      <c r="BJO42" s="33"/>
      <c r="BJP42" s="33"/>
      <c r="BJQ42" s="33"/>
      <c r="BJR42" s="33"/>
      <c r="BJS42" s="33"/>
      <c r="BJT42" s="33"/>
      <c r="BJU42" s="33"/>
      <c r="BJV42" s="33"/>
      <c r="BJW42" s="33"/>
      <c r="BJX42" s="33"/>
      <c r="BJY42" s="33"/>
      <c r="BJZ42" s="33"/>
      <c r="BKA42" s="33"/>
      <c r="BKB42" s="33"/>
      <c r="BKC42" s="33"/>
      <c r="BKD42" s="33"/>
      <c r="BKE42" s="33"/>
      <c r="BKF42" s="33"/>
      <c r="BKG42" s="33"/>
      <c r="BKH42" s="33"/>
      <c r="BKI42" s="33"/>
      <c r="BKJ42" s="33"/>
      <c r="BKK42" s="33"/>
      <c r="BKL42" s="33"/>
      <c r="BKM42" s="33"/>
      <c r="BKN42" s="33"/>
      <c r="BKO42" s="33"/>
      <c r="BKP42" s="33"/>
      <c r="BKQ42" s="33"/>
      <c r="BKR42" s="33"/>
      <c r="BKS42" s="33"/>
      <c r="BKT42" s="33"/>
      <c r="BKU42" s="33"/>
      <c r="BKV42" s="33"/>
      <c r="BKW42" s="33"/>
      <c r="BKX42" s="33"/>
      <c r="BKY42" s="33"/>
      <c r="BKZ42" s="33"/>
      <c r="BLA42" s="33"/>
      <c r="BLB42" s="33"/>
      <c r="BLC42" s="33"/>
      <c r="BLD42" s="33"/>
      <c r="BLE42" s="33"/>
      <c r="BLF42" s="33"/>
      <c r="BLG42" s="33"/>
      <c r="BLH42" s="33"/>
      <c r="BLI42" s="33"/>
      <c r="BLJ42" s="33"/>
      <c r="BLK42" s="33"/>
      <c r="BLL42" s="33"/>
      <c r="BLM42" s="33"/>
      <c r="BLN42" s="33"/>
      <c r="BLO42" s="33"/>
      <c r="BLP42" s="33"/>
      <c r="BLQ42" s="33"/>
      <c r="BLR42" s="33"/>
      <c r="BLS42" s="33"/>
      <c r="BLT42" s="33"/>
      <c r="BLU42" s="33"/>
      <c r="BLV42" s="33"/>
      <c r="BLW42" s="33"/>
      <c r="BLX42" s="33"/>
      <c r="BLY42" s="33"/>
      <c r="BLZ42" s="33"/>
      <c r="BMA42" s="33"/>
      <c r="BMB42" s="33"/>
      <c r="BMC42" s="33"/>
      <c r="BMD42" s="33"/>
      <c r="BME42" s="33"/>
      <c r="BMF42" s="33"/>
      <c r="BMG42" s="33"/>
      <c r="BMH42" s="33"/>
      <c r="BMI42" s="33"/>
      <c r="BMJ42" s="33"/>
      <c r="BMK42" s="33"/>
      <c r="BML42" s="33"/>
      <c r="BMM42" s="33"/>
      <c r="BMN42" s="33"/>
      <c r="BMO42" s="33"/>
      <c r="BMP42" s="33"/>
      <c r="BMQ42" s="33"/>
      <c r="BMR42" s="33"/>
      <c r="BMS42" s="33"/>
      <c r="BMT42" s="33"/>
      <c r="BMU42" s="33"/>
      <c r="BMV42" s="33"/>
      <c r="BMW42" s="33"/>
      <c r="BMX42" s="33"/>
      <c r="BMY42" s="33"/>
      <c r="BMZ42" s="33"/>
      <c r="BNA42" s="33"/>
      <c r="BNB42" s="33"/>
      <c r="BNC42" s="33"/>
      <c r="BND42" s="33"/>
      <c r="BNE42" s="33"/>
      <c r="BNF42" s="33"/>
      <c r="BNG42" s="33"/>
      <c r="BNH42" s="33"/>
      <c r="BNI42" s="33"/>
      <c r="BNJ42" s="33"/>
      <c r="BNK42" s="33"/>
      <c r="BNL42" s="33"/>
      <c r="BNM42" s="33"/>
      <c r="BNN42" s="33"/>
      <c r="BNO42" s="33"/>
      <c r="BNP42" s="33"/>
      <c r="BNQ42" s="33"/>
      <c r="BNR42" s="33"/>
      <c r="BNS42" s="33"/>
      <c r="BNT42" s="33"/>
      <c r="BNU42" s="33"/>
      <c r="BNV42" s="33"/>
      <c r="BNW42" s="33"/>
      <c r="BNX42" s="33"/>
      <c r="BNY42" s="33"/>
      <c r="BNZ42" s="33"/>
      <c r="BOA42" s="33"/>
      <c r="BOB42" s="33"/>
      <c r="BOC42" s="33"/>
      <c r="BOD42" s="33"/>
      <c r="BOE42" s="33"/>
      <c r="BOF42" s="33"/>
      <c r="BOG42" s="33"/>
      <c r="BOH42" s="33"/>
      <c r="BOI42" s="33"/>
      <c r="BOJ42" s="33"/>
      <c r="BOK42" s="33"/>
      <c r="BOL42" s="33"/>
      <c r="BOM42" s="33"/>
      <c r="BON42" s="33"/>
      <c r="BOO42" s="33"/>
      <c r="BOP42" s="33"/>
      <c r="BOQ42" s="33"/>
      <c r="BOR42" s="33"/>
      <c r="BOS42" s="33"/>
      <c r="BOT42" s="33"/>
      <c r="BOU42" s="33"/>
      <c r="BOV42" s="33"/>
      <c r="BOW42" s="33"/>
      <c r="BOX42" s="33"/>
      <c r="BOY42" s="33"/>
      <c r="BOZ42" s="33"/>
      <c r="BPA42" s="33"/>
      <c r="BPB42" s="33"/>
      <c r="BPC42" s="33"/>
      <c r="BPD42" s="33"/>
      <c r="BPE42" s="33"/>
      <c r="BPF42" s="33"/>
      <c r="BPG42" s="33"/>
      <c r="BPH42" s="33"/>
      <c r="BPI42" s="33"/>
      <c r="BPJ42" s="33"/>
      <c r="BPK42" s="33"/>
      <c r="BPL42" s="33"/>
      <c r="BPM42" s="33"/>
      <c r="BPN42" s="33"/>
      <c r="BPO42" s="33"/>
      <c r="BPP42" s="33"/>
      <c r="BPQ42" s="33"/>
      <c r="BPR42" s="33"/>
      <c r="BPS42" s="33"/>
      <c r="BPT42" s="33"/>
      <c r="BPU42" s="33"/>
      <c r="BPV42" s="33"/>
      <c r="BPW42" s="33"/>
      <c r="BPX42" s="33"/>
      <c r="BPY42" s="33"/>
      <c r="BPZ42" s="33"/>
      <c r="BQA42" s="33"/>
      <c r="BQB42" s="33"/>
      <c r="BQC42" s="33"/>
      <c r="BQD42" s="33"/>
      <c r="BQE42" s="33"/>
      <c r="BQF42" s="33"/>
      <c r="BQG42" s="33"/>
      <c r="BQH42" s="33"/>
      <c r="BQI42" s="33"/>
      <c r="BQJ42" s="33"/>
      <c r="BQK42" s="33"/>
      <c r="BQL42" s="33"/>
      <c r="BQM42" s="33"/>
      <c r="BQN42" s="33"/>
      <c r="BQO42" s="33"/>
      <c r="BQP42" s="33"/>
      <c r="BQQ42" s="33"/>
      <c r="BQR42" s="33"/>
      <c r="BQS42" s="33"/>
      <c r="BQT42" s="33"/>
      <c r="BQU42" s="33"/>
      <c r="BQV42" s="33"/>
      <c r="BQW42" s="33"/>
      <c r="BQX42" s="33"/>
      <c r="BQY42" s="33"/>
      <c r="BQZ42" s="33"/>
      <c r="BRA42" s="33"/>
      <c r="BRB42" s="33"/>
      <c r="BRC42" s="33"/>
      <c r="BRD42" s="33"/>
      <c r="BRE42" s="33"/>
      <c r="BRF42" s="33"/>
      <c r="BRG42" s="33"/>
      <c r="BRH42" s="33"/>
      <c r="BRI42" s="33"/>
      <c r="BRJ42" s="33"/>
      <c r="BRK42" s="33"/>
      <c r="BRL42" s="33"/>
      <c r="BRM42" s="33"/>
      <c r="BRN42" s="33"/>
      <c r="BRO42" s="33"/>
      <c r="BRP42" s="33"/>
      <c r="BRQ42" s="33"/>
      <c r="BRR42" s="33"/>
      <c r="BRS42" s="33"/>
      <c r="BRT42" s="33"/>
      <c r="BRU42" s="33"/>
      <c r="BRV42" s="33"/>
      <c r="BRW42" s="33"/>
      <c r="BRX42" s="33"/>
      <c r="BRY42" s="33"/>
      <c r="BRZ42" s="33"/>
      <c r="BSA42" s="33"/>
      <c r="BSB42" s="33"/>
      <c r="BSC42" s="33"/>
      <c r="BSD42" s="33"/>
      <c r="BSE42" s="33"/>
      <c r="BSF42" s="33"/>
      <c r="BSG42" s="33"/>
      <c r="BSH42" s="33"/>
      <c r="BSI42" s="33"/>
      <c r="BSJ42" s="33"/>
      <c r="BSK42" s="33"/>
      <c r="BSL42" s="33"/>
      <c r="BSM42" s="33"/>
      <c r="BSN42" s="33"/>
      <c r="BSO42" s="33"/>
      <c r="BSP42" s="33"/>
      <c r="BSQ42" s="33"/>
      <c r="BSR42" s="33"/>
      <c r="BSS42" s="33"/>
      <c r="BST42" s="33"/>
      <c r="BSU42" s="33"/>
      <c r="BSV42" s="33"/>
      <c r="BSW42" s="33"/>
      <c r="BSX42" s="33"/>
      <c r="BSY42" s="33"/>
      <c r="BSZ42" s="33"/>
      <c r="BTA42" s="33"/>
      <c r="BTB42" s="33"/>
      <c r="BTC42" s="33"/>
      <c r="BTD42" s="33"/>
      <c r="BTE42" s="33"/>
      <c r="BTF42" s="33"/>
      <c r="BTG42" s="33"/>
      <c r="BTH42" s="33"/>
      <c r="BTI42" s="33"/>
      <c r="BTJ42" s="33"/>
      <c r="BTK42" s="33"/>
      <c r="BTL42" s="33"/>
      <c r="BTM42" s="33"/>
      <c r="BTN42" s="33"/>
      <c r="BTO42" s="33"/>
      <c r="BTP42" s="33"/>
      <c r="BTQ42" s="33"/>
      <c r="BTR42" s="33"/>
      <c r="BTS42" s="33"/>
      <c r="BTT42" s="33"/>
      <c r="BTU42" s="33"/>
      <c r="BTV42" s="33"/>
      <c r="BTW42" s="33"/>
      <c r="BTX42" s="33"/>
      <c r="BTY42" s="33"/>
      <c r="BTZ42" s="33"/>
      <c r="BUA42" s="33"/>
      <c r="BUB42" s="33"/>
      <c r="BUC42" s="33"/>
      <c r="BUD42" s="33"/>
      <c r="BUE42" s="33"/>
      <c r="BUF42" s="33"/>
      <c r="BUG42" s="33"/>
      <c r="BUH42" s="33"/>
      <c r="BUI42" s="33"/>
      <c r="BUJ42" s="33"/>
      <c r="BUK42" s="33"/>
      <c r="BUL42" s="33"/>
      <c r="BUM42" s="33"/>
      <c r="BUN42" s="33"/>
      <c r="BUO42" s="33"/>
      <c r="BUP42" s="33"/>
      <c r="BUQ42" s="33"/>
      <c r="BUR42" s="33"/>
      <c r="BUS42" s="33"/>
      <c r="BUT42" s="33"/>
      <c r="BUU42" s="33"/>
      <c r="BUV42" s="33"/>
      <c r="BUW42" s="33"/>
      <c r="BUX42" s="33"/>
      <c r="BUY42" s="33"/>
      <c r="BUZ42" s="33"/>
      <c r="BVA42" s="33"/>
      <c r="BVB42" s="33"/>
      <c r="BVC42" s="33"/>
      <c r="BVD42" s="33"/>
      <c r="BVE42" s="33"/>
      <c r="BVF42" s="33"/>
      <c r="BVG42" s="33"/>
      <c r="BVH42" s="33"/>
      <c r="BVI42" s="33"/>
      <c r="BVJ42" s="33"/>
      <c r="BVK42" s="33"/>
      <c r="BVL42" s="33"/>
      <c r="BVM42" s="33"/>
      <c r="BVN42" s="33"/>
      <c r="BVO42" s="33"/>
      <c r="BVP42" s="33"/>
      <c r="BVQ42" s="33"/>
      <c r="BVR42" s="33"/>
      <c r="BVS42" s="33"/>
      <c r="BVT42" s="33"/>
      <c r="BVU42" s="33"/>
      <c r="BVV42" s="33"/>
      <c r="BVW42" s="33"/>
      <c r="BVX42" s="33"/>
      <c r="BVY42" s="33"/>
      <c r="BVZ42" s="33"/>
      <c r="BWA42" s="33"/>
      <c r="BWB42" s="33"/>
      <c r="BWC42" s="33"/>
      <c r="BWD42" s="33"/>
      <c r="BWE42" s="33"/>
      <c r="BWF42" s="33"/>
      <c r="BWG42" s="33"/>
      <c r="BWH42" s="33"/>
      <c r="BWI42" s="33"/>
      <c r="BWJ42" s="33"/>
      <c r="BWK42" s="33"/>
      <c r="BWL42" s="33"/>
      <c r="BWM42" s="33"/>
      <c r="BWN42" s="33"/>
      <c r="BWO42" s="33"/>
      <c r="BWP42" s="33"/>
      <c r="BWQ42" s="33"/>
      <c r="BWR42" s="33"/>
      <c r="BWS42" s="33"/>
      <c r="BWT42" s="33"/>
      <c r="BWU42" s="33"/>
      <c r="BWV42" s="33"/>
      <c r="BWW42" s="33"/>
      <c r="BWX42" s="33"/>
      <c r="BWY42" s="33"/>
      <c r="BWZ42" s="33"/>
      <c r="BXA42" s="33"/>
      <c r="BXB42" s="33"/>
      <c r="BXC42" s="33"/>
      <c r="BXD42" s="33"/>
      <c r="BXE42" s="33"/>
      <c r="BXF42" s="33"/>
      <c r="BXG42" s="33"/>
      <c r="BXH42" s="33"/>
      <c r="BXI42" s="33"/>
      <c r="BXJ42" s="33"/>
      <c r="BXK42" s="33"/>
      <c r="BXL42" s="33"/>
      <c r="BXM42" s="33"/>
      <c r="BXN42" s="33"/>
      <c r="BXO42" s="33"/>
      <c r="BXP42" s="33"/>
      <c r="BXQ42" s="33"/>
      <c r="BXR42" s="33"/>
      <c r="BXS42" s="33"/>
      <c r="BXT42" s="33"/>
      <c r="BXU42" s="33"/>
      <c r="BXV42" s="33"/>
      <c r="BXW42" s="33"/>
      <c r="BXX42" s="33"/>
      <c r="BXY42" s="33"/>
      <c r="BXZ42" s="33"/>
      <c r="BYA42" s="33"/>
      <c r="BYB42" s="33"/>
      <c r="BYC42" s="33"/>
      <c r="BYD42" s="33"/>
      <c r="BYE42" s="33"/>
      <c r="BYF42" s="33"/>
      <c r="BYG42" s="33"/>
      <c r="BYH42" s="33"/>
      <c r="BYI42" s="33"/>
      <c r="BYJ42" s="33"/>
      <c r="BYK42" s="33"/>
      <c r="BYL42" s="33"/>
      <c r="BYM42" s="33"/>
      <c r="BYN42" s="33"/>
      <c r="BYO42" s="33"/>
      <c r="BYP42" s="33"/>
      <c r="BYQ42" s="33"/>
      <c r="BYR42" s="33"/>
      <c r="BYS42" s="33"/>
      <c r="BYT42" s="33"/>
      <c r="BYU42" s="33"/>
      <c r="BYV42" s="33"/>
      <c r="BYW42" s="33"/>
      <c r="BYX42" s="33"/>
      <c r="BYY42" s="33"/>
      <c r="BYZ42" s="33"/>
      <c r="BZA42" s="33"/>
      <c r="BZB42" s="33"/>
      <c r="BZC42" s="33"/>
      <c r="BZD42" s="33"/>
      <c r="BZE42" s="33"/>
      <c r="BZF42" s="33"/>
      <c r="BZG42" s="33"/>
      <c r="BZH42" s="33"/>
      <c r="BZI42" s="33"/>
      <c r="BZJ42" s="33"/>
      <c r="BZK42" s="33"/>
      <c r="BZL42" s="33"/>
      <c r="BZM42" s="33"/>
      <c r="BZN42" s="33"/>
      <c r="BZO42" s="33"/>
      <c r="BZP42" s="33"/>
      <c r="BZQ42" s="33"/>
      <c r="BZR42" s="33"/>
      <c r="BZS42" s="33"/>
      <c r="BZT42" s="33"/>
      <c r="BZU42" s="33"/>
      <c r="BZV42" s="33"/>
      <c r="BZW42" s="33"/>
      <c r="BZX42" s="33"/>
      <c r="BZY42" s="33"/>
      <c r="BZZ42" s="33"/>
      <c r="CAA42" s="33"/>
      <c r="CAB42" s="33"/>
      <c r="CAC42" s="33"/>
      <c r="CAD42" s="33"/>
      <c r="CAE42" s="33"/>
      <c r="CAF42" s="33"/>
      <c r="CAG42" s="33"/>
      <c r="CAH42" s="33"/>
      <c r="CAI42" s="33"/>
      <c r="CAJ42" s="33"/>
      <c r="CAK42" s="33"/>
      <c r="CAL42" s="33"/>
      <c r="CAM42" s="33"/>
      <c r="CAN42" s="33"/>
      <c r="CAO42" s="33"/>
      <c r="CAP42" s="33"/>
      <c r="CAQ42" s="33"/>
      <c r="CAR42" s="33"/>
      <c r="CAS42" s="33"/>
      <c r="CAT42" s="33"/>
      <c r="CAU42" s="33"/>
      <c r="CAV42" s="33"/>
      <c r="CAW42" s="33"/>
      <c r="CAX42" s="33"/>
      <c r="CAY42" s="33"/>
      <c r="CAZ42" s="33"/>
      <c r="CBA42" s="33"/>
      <c r="CBB42" s="33"/>
      <c r="CBC42" s="33"/>
      <c r="CBD42" s="33"/>
      <c r="CBE42" s="33"/>
      <c r="CBF42" s="33"/>
      <c r="CBG42" s="33"/>
      <c r="CBH42" s="33"/>
      <c r="CBI42" s="33"/>
      <c r="CBJ42" s="33"/>
      <c r="CBK42" s="33"/>
      <c r="CBL42" s="33"/>
      <c r="CBM42" s="33"/>
      <c r="CBN42" s="33"/>
      <c r="CBO42" s="33"/>
      <c r="CBP42" s="33"/>
      <c r="CBQ42" s="33"/>
      <c r="CBR42" s="33"/>
      <c r="CBS42" s="33"/>
      <c r="CBT42" s="33"/>
      <c r="CBU42" s="33"/>
      <c r="CBV42" s="33"/>
      <c r="CBW42" s="33"/>
      <c r="CBX42" s="33"/>
      <c r="CBY42" s="33"/>
      <c r="CBZ42" s="33"/>
      <c r="CCA42" s="33"/>
      <c r="CCB42" s="33"/>
      <c r="CCC42" s="33"/>
      <c r="CCD42" s="33"/>
      <c r="CCE42" s="33"/>
      <c r="CCF42" s="33"/>
      <c r="CCG42" s="33"/>
      <c r="CCH42" s="33"/>
      <c r="CCI42" s="33"/>
      <c r="CCJ42" s="33"/>
      <c r="CCK42" s="33"/>
      <c r="CCL42" s="33"/>
      <c r="CCM42" s="33"/>
      <c r="CCN42" s="33"/>
      <c r="CCO42" s="33"/>
      <c r="CCP42" s="33"/>
      <c r="CCQ42" s="33"/>
      <c r="CCR42" s="33"/>
      <c r="CCS42" s="33"/>
      <c r="CCT42" s="33"/>
      <c r="CCU42" s="33"/>
      <c r="CCV42" s="33"/>
      <c r="CCW42" s="33"/>
      <c r="CCX42" s="33"/>
      <c r="CCY42" s="33"/>
      <c r="CCZ42" s="33"/>
      <c r="CDA42" s="33"/>
      <c r="CDB42" s="33"/>
      <c r="CDC42" s="33"/>
      <c r="CDD42" s="33"/>
      <c r="CDE42" s="33"/>
      <c r="CDF42" s="33"/>
      <c r="CDG42" s="33"/>
      <c r="CDH42" s="33"/>
      <c r="CDI42" s="33"/>
      <c r="CDJ42" s="33"/>
      <c r="CDK42" s="33"/>
      <c r="CDL42" s="33"/>
      <c r="CDM42" s="33"/>
      <c r="CDN42" s="33"/>
      <c r="CDO42" s="33"/>
      <c r="CDP42" s="33"/>
      <c r="CDQ42" s="33"/>
      <c r="CDR42" s="33"/>
      <c r="CDS42" s="33"/>
      <c r="CDT42" s="33"/>
      <c r="CDU42" s="33"/>
      <c r="CDV42" s="33"/>
      <c r="CDW42" s="33"/>
      <c r="CDX42" s="33"/>
      <c r="CDY42" s="33"/>
      <c r="CDZ42" s="33"/>
      <c r="CEA42" s="33"/>
      <c r="CEB42" s="33"/>
      <c r="CEC42" s="33"/>
      <c r="CED42" s="33"/>
      <c r="CEE42" s="33"/>
      <c r="CEF42" s="33"/>
      <c r="CEG42" s="33"/>
      <c r="CEH42" s="33"/>
      <c r="CEI42" s="33"/>
      <c r="CEJ42" s="33"/>
      <c r="CEK42" s="33"/>
      <c r="CEL42" s="33"/>
      <c r="CEM42" s="33"/>
      <c r="CEN42" s="33"/>
      <c r="CEO42" s="33"/>
      <c r="CEP42" s="33"/>
      <c r="CEQ42" s="33"/>
      <c r="CER42" s="33"/>
      <c r="CES42" s="33"/>
      <c r="CET42" s="33"/>
      <c r="CEU42" s="33"/>
      <c r="CEV42" s="33"/>
      <c r="CEW42" s="33"/>
      <c r="CEX42" s="33"/>
      <c r="CEY42" s="33"/>
      <c r="CEZ42" s="33"/>
      <c r="CFA42" s="33"/>
      <c r="CFB42" s="33"/>
      <c r="CFC42" s="33"/>
      <c r="CFD42" s="33"/>
      <c r="CFE42" s="33"/>
      <c r="CFF42" s="33"/>
      <c r="CFG42" s="33"/>
      <c r="CFH42" s="33"/>
      <c r="CFI42" s="33"/>
      <c r="CFJ42" s="33"/>
      <c r="CFK42" s="33"/>
      <c r="CFL42" s="33"/>
      <c r="CFM42" s="33"/>
      <c r="CFN42" s="33"/>
      <c r="CFO42" s="33"/>
      <c r="CFP42" s="33"/>
      <c r="CFQ42" s="33"/>
      <c r="CFR42" s="33"/>
      <c r="CFS42" s="33"/>
      <c r="CFT42" s="33"/>
      <c r="CFU42" s="33"/>
      <c r="CFV42" s="33"/>
      <c r="CFW42" s="33"/>
      <c r="CFX42" s="33"/>
      <c r="CFY42" s="33"/>
      <c r="CFZ42" s="33"/>
      <c r="CGA42" s="33"/>
      <c r="CGB42" s="33"/>
      <c r="CGC42" s="33"/>
      <c r="CGD42" s="33"/>
      <c r="CGE42" s="33"/>
      <c r="CGF42" s="33"/>
      <c r="CGG42" s="33"/>
      <c r="CGH42" s="33"/>
      <c r="CGI42" s="33"/>
      <c r="CGJ42" s="33"/>
      <c r="CGK42" s="33"/>
      <c r="CGL42" s="33"/>
      <c r="CGM42" s="33"/>
      <c r="CGN42" s="33"/>
      <c r="CGO42" s="33"/>
      <c r="CGP42" s="33"/>
      <c r="CGQ42" s="33"/>
      <c r="CGR42" s="33"/>
      <c r="CGS42" s="33"/>
      <c r="CGT42" s="33"/>
      <c r="CGU42" s="33"/>
      <c r="CGV42" s="33"/>
      <c r="CGW42" s="33"/>
      <c r="CGX42" s="33"/>
      <c r="CGY42" s="33"/>
      <c r="CGZ42" s="33"/>
      <c r="CHA42" s="33"/>
      <c r="CHB42" s="33"/>
      <c r="CHC42" s="33"/>
      <c r="CHD42" s="33"/>
      <c r="CHE42" s="33"/>
      <c r="CHF42" s="33"/>
      <c r="CHG42" s="33"/>
      <c r="CHH42" s="33"/>
      <c r="CHI42" s="33"/>
      <c r="CHJ42" s="33"/>
      <c r="CHK42" s="33"/>
      <c r="CHL42" s="33"/>
      <c r="CHM42" s="33"/>
      <c r="CHN42" s="33"/>
      <c r="CHO42" s="33"/>
      <c r="CHP42" s="33"/>
      <c r="CHQ42" s="33"/>
      <c r="CHR42" s="33"/>
      <c r="CHS42" s="33"/>
      <c r="CHT42" s="33"/>
      <c r="CHU42" s="33"/>
      <c r="CHV42" s="33"/>
      <c r="CHW42" s="33"/>
      <c r="CHX42" s="33"/>
      <c r="CHY42" s="33"/>
      <c r="CHZ42" s="33"/>
      <c r="CIA42" s="33"/>
      <c r="CIB42" s="33"/>
      <c r="CIC42" s="33"/>
      <c r="CID42" s="33"/>
      <c r="CIE42" s="33"/>
      <c r="CIF42" s="33"/>
      <c r="CIG42" s="33"/>
      <c r="CIH42" s="33"/>
      <c r="CII42" s="33"/>
      <c r="CIJ42" s="33"/>
      <c r="CIK42" s="33"/>
      <c r="CIL42" s="33"/>
      <c r="CIM42" s="33"/>
      <c r="CIN42" s="33"/>
      <c r="CIO42" s="33"/>
      <c r="CIP42" s="33"/>
      <c r="CIQ42" s="33"/>
      <c r="CIR42" s="33"/>
      <c r="CIS42" s="33"/>
      <c r="CIT42" s="33"/>
      <c r="CIU42" s="33"/>
      <c r="CIV42" s="33"/>
      <c r="CIW42" s="33"/>
      <c r="CIX42" s="33"/>
      <c r="CIY42" s="33"/>
      <c r="CIZ42" s="33"/>
      <c r="CJA42" s="33"/>
      <c r="CJB42" s="33"/>
      <c r="CJC42" s="33"/>
      <c r="CJD42" s="33"/>
      <c r="CJE42" s="33"/>
      <c r="CJF42" s="33"/>
      <c r="CJG42" s="33"/>
      <c r="CJH42" s="33"/>
      <c r="CJI42" s="33"/>
      <c r="CJJ42" s="33"/>
      <c r="CJK42" s="33"/>
      <c r="CJL42" s="33"/>
      <c r="CJM42" s="33"/>
      <c r="CJN42" s="33"/>
      <c r="CJO42" s="33"/>
      <c r="CJP42" s="33"/>
      <c r="CJQ42" s="33"/>
      <c r="CJR42" s="33"/>
      <c r="CJS42" s="33"/>
      <c r="CJT42" s="33"/>
      <c r="CJU42" s="33"/>
      <c r="CJV42" s="33"/>
      <c r="CJW42" s="33"/>
      <c r="CJX42" s="33"/>
      <c r="CJY42" s="33"/>
      <c r="CJZ42" s="33"/>
      <c r="CKA42" s="33"/>
      <c r="CKB42" s="33"/>
      <c r="CKC42" s="33"/>
      <c r="CKD42" s="33"/>
      <c r="CKE42" s="33"/>
      <c r="CKF42" s="33"/>
      <c r="CKG42" s="33"/>
      <c r="CKH42" s="33"/>
      <c r="CKI42" s="33"/>
      <c r="CKJ42" s="33"/>
      <c r="CKK42" s="33"/>
      <c r="CKL42" s="33"/>
      <c r="CKM42" s="33"/>
      <c r="CKN42" s="33"/>
      <c r="CKO42" s="33"/>
      <c r="CKP42" s="33"/>
      <c r="CKQ42" s="33"/>
      <c r="CKR42" s="33"/>
      <c r="CKS42" s="33"/>
      <c r="CKT42" s="33"/>
      <c r="CKU42" s="33"/>
      <c r="CKV42" s="33"/>
      <c r="CKW42" s="33"/>
      <c r="CKX42" s="33"/>
      <c r="CKY42" s="33"/>
      <c r="CKZ42" s="33"/>
      <c r="CLA42" s="33"/>
      <c r="CLB42" s="33"/>
      <c r="CLC42" s="33"/>
      <c r="CLD42" s="33"/>
      <c r="CLE42" s="33"/>
      <c r="CLF42" s="33"/>
      <c r="CLG42" s="33"/>
      <c r="CLH42" s="33"/>
      <c r="CLI42" s="33"/>
      <c r="CLJ42" s="33"/>
      <c r="CLK42" s="33"/>
      <c r="CLL42" s="33"/>
      <c r="CLM42" s="33"/>
      <c r="CLN42" s="33"/>
      <c r="CLO42" s="33"/>
      <c r="CLP42" s="33"/>
      <c r="CLQ42" s="33"/>
      <c r="CLR42" s="33"/>
      <c r="CLS42" s="33"/>
      <c r="CLT42" s="33"/>
      <c r="CLU42" s="33"/>
      <c r="CLV42" s="33"/>
      <c r="CLW42" s="33"/>
      <c r="CLX42" s="33"/>
      <c r="CLY42" s="33"/>
      <c r="CLZ42" s="33"/>
      <c r="CMA42" s="33"/>
      <c r="CMB42" s="33"/>
      <c r="CMC42" s="33"/>
      <c r="CMD42" s="33"/>
      <c r="CME42" s="33"/>
      <c r="CMF42" s="33"/>
      <c r="CMG42" s="33"/>
      <c r="CMH42" s="33"/>
      <c r="CMI42" s="33"/>
      <c r="CMJ42" s="33"/>
      <c r="CMK42" s="33"/>
      <c r="CML42" s="33"/>
      <c r="CMM42" s="33"/>
      <c r="CMN42" s="33"/>
      <c r="CMO42" s="33"/>
      <c r="CMP42" s="33"/>
      <c r="CMQ42" s="33"/>
      <c r="CMR42" s="33"/>
      <c r="CMS42" s="33"/>
      <c r="CMT42" s="33"/>
      <c r="CMU42" s="33"/>
      <c r="CMV42" s="33"/>
      <c r="CMW42" s="33"/>
      <c r="CMX42" s="33"/>
      <c r="CMY42" s="33"/>
      <c r="CMZ42" s="33"/>
      <c r="CNA42" s="33"/>
      <c r="CNB42" s="33"/>
      <c r="CNC42" s="33"/>
      <c r="CND42" s="33"/>
      <c r="CNE42" s="33"/>
      <c r="CNF42" s="33"/>
      <c r="CNG42" s="33"/>
      <c r="CNH42" s="33"/>
      <c r="CNI42" s="33"/>
      <c r="CNJ42" s="33"/>
      <c r="CNK42" s="33"/>
      <c r="CNL42" s="33"/>
      <c r="CNM42" s="33"/>
      <c r="CNN42" s="33"/>
      <c r="CNO42" s="33"/>
      <c r="CNP42" s="33"/>
      <c r="CNQ42" s="33"/>
      <c r="CNR42" s="33"/>
      <c r="CNS42" s="33"/>
      <c r="CNT42" s="33"/>
      <c r="CNU42" s="33"/>
      <c r="CNV42" s="33"/>
      <c r="CNW42" s="33"/>
      <c r="CNX42" s="33"/>
      <c r="CNY42" s="33"/>
      <c r="CNZ42" s="33"/>
      <c r="COA42" s="33"/>
      <c r="COB42" s="33"/>
      <c r="COC42" s="33"/>
      <c r="COD42" s="33"/>
      <c r="COE42" s="33"/>
      <c r="COF42" s="33"/>
      <c r="COG42" s="33"/>
      <c r="COH42" s="33"/>
      <c r="COI42" s="33"/>
      <c r="COJ42" s="33"/>
      <c r="COK42" s="33"/>
      <c r="COL42" s="33"/>
      <c r="COM42" s="33"/>
      <c r="CON42" s="33"/>
      <c r="COO42" s="33"/>
      <c r="COP42" s="33"/>
      <c r="COQ42" s="33"/>
      <c r="COR42" s="33"/>
      <c r="COS42" s="33"/>
      <c r="COT42" s="33"/>
      <c r="COU42" s="33"/>
      <c r="COV42" s="33"/>
      <c r="COW42" s="33"/>
      <c r="COX42" s="33"/>
      <c r="COY42" s="33"/>
      <c r="COZ42" s="33"/>
      <c r="CPA42" s="33"/>
      <c r="CPB42" s="33"/>
      <c r="CPC42" s="33"/>
      <c r="CPD42" s="33"/>
      <c r="CPE42" s="33"/>
      <c r="CPF42" s="33"/>
      <c r="CPG42" s="33"/>
      <c r="CPH42" s="33"/>
      <c r="CPI42" s="33"/>
      <c r="CPJ42" s="33"/>
      <c r="CPK42" s="33"/>
      <c r="CPL42" s="33"/>
      <c r="CPM42" s="33"/>
      <c r="CPN42" s="33"/>
      <c r="CPO42" s="33"/>
      <c r="CPP42" s="33"/>
      <c r="CPQ42" s="33"/>
      <c r="CPR42" s="33"/>
      <c r="CPS42" s="33"/>
      <c r="CPT42" s="33"/>
      <c r="CPU42" s="33"/>
      <c r="CPV42" s="33"/>
      <c r="CPW42" s="33"/>
      <c r="CPX42" s="33"/>
      <c r="CPY42" s="33"/>
      <c r="CPZ42" s="33"/>
      <c r="CQA42" s="33"/>
      <c r="CQB42" s="33"/>
      <c r="CQC42" s="33"/>
      <c r="CQD42" s="33"/>
      <c r="CQE42" s="33"/>
      <c r="CQF42" s="33"/>
      <c r="CQG42" s="33"/>
      <c r="CQH42" s="33"/>
      <c r="CQI42" s="33"/>
      <c r="CQJ42" s="33"/>
      <c r="CQK42" s="33"/>
      <c r="CQL42" s="33"/>
      <c r="CQM42" s="33"/>
      <c r="CQN42" s="33"/>
      <c r="CQO42" s="33"/>
      <c r="CQP42" s="33"/>
      <c r="CQQ42" s="33"/>
      <c r="CQR42" s="33"/>
      <c r="CQS42" s="33"/>
      <c r="CQT42" s="33"/>
      <c r="CQU42" s="33"/>
      <c r="CQV42" s="33"/>
      <c r="CQW42" s="33"/>
      <c r="CQX42" s="33"/>
      <c r="CQY42" s="33"/>
      <c r="CQZ42" s="33"/>
      <c r="CRA42" s="33"/>
      <c r="CRB42" s="33"/>
      <c r="CRC42" s="33"/>
      <c r="CRD42" s="33"/>
      <c r="CRE42" s="33"/>
      <c r="CRF42" s="33"/>
      <c r="CRG42" s="33"/>
      <c r="CRH42" s="33"/>
      <c r="CRI42" s="33"/>
      <c r="CRJ42" s="33"/>
      <c r="CRK42" s="33"/>
      <c r="CRL42" s="33"/>
      <c r="CRM42" s="33"/>
      <c r="CRN42" s="33"/>
      <c r="CRO42" s="33"/>
      <c r="CRP42" s="33"/>
      <c r="CRQ42" s="33"/>
      <c r="CRR42" s="33"/>
      <c r="CRS42" s="33"/>
      <c r="CRT42" s="33"/>
      <c r="CRU42" s="33"/>
      <c r="CRV42" s="33"/>
      <c r="CRW42" s="33"/>
      <c r="CRX42" s="33"/>
      <c r="CRY42" s="33"/>
      <c r="CRZ42" s="33"/>
      <c r="CSA42" s="33"/>
      <c r="CSB42" s="33"/>
      <c r="CSC42" s="33"/>
      <c r="CSD42" s="33"/>
      <c r="CSE42" s="33"/>
      <c r="CSF42" s="33"/>
      <c r="CSG42" s="33"/>
      <c r="CSH42" s="33"/>
      <c r="CSI42" s="33"/>
      <c r="CSJ42" s="33"/>
      <c r="CSK42" s="33"/>
      <c r="CSL42" s="33"/>
      <c r="CSM42" s="33"/>
      <c r="CSN42" s="33"/>
      <c r="CSO42" s="33"/>
      <c r="CSP42" s="33"/>
      <c r="CSQ42" s="33"/>
      <c r="CSR42" s="33"/>
      <c r="CSS42" s="33"/>
      <c r="CST42" s="33"/>
      <c r="CSU42" s="33"/>
      <c r="CSV42" s="33"/>
      <c r="CSW42" s="33"/>
      <c r="CSX42" s="33"/>
      <c r="CSY42" s="33"/>
      <c r="CSZ42" s="33"/>
      <c r="CTA42" s="33"/>
      <c r="CTB42" s="33"/>
      <c r="CTC42" s="33"/>
      <c r="CTD42" s="33"/>
      <c r="CTE42" s="33"/>
      <c r="CTF42" s="33"/>
      <c r="CTG42" s="33"/>
      <c r="CTH42" s="33"/>
      <c r="CTI42" s="33"/>
      <c r="CTJ42" s="33"/>
      <c r="CTK42" s="33"/>
      <c r="CTL42" s="33"/>
      <c r="CTM42" s="33"/>
      <c r="CTN42" s="33"/>
      <c r="CTO42" s="33"/>
      <c r="CTP42" s="33"/>
      <c r="CTQ42" s="33"/>
      <c r="CTR42" s="33"/>
      <c r="CTS42" s="33"/>
      <c r="CTT42" s="33"/>
      <c r="CTU42" s="33"/>
      <c r="CTV42" s="33"/>
      <c r="CTW42" s="33"/>
      <c r="CTX42" s="33"/>
      <c r="CTY42" s="33"/>
      <c r="CTZ42" s="33"/>
      <c r="CUA42" s="33"/>
      <c r="CUB42" s="33"/>
      <c r="CUC42" s="33"/>
      <c r="CUD42" s="33"/>
      <c r="CUE42" s="33"/>
      <c r="CUF42" s="33"/>
      <c r="CUG42" s="33"/>
      <c r="CUH42" s="33"/>
      <c r="CUI42" s="33"/>
      <c r="CUJ42" s="33"/>
      <c r="CUK42" s="33"/>
      <c r="CUL42" s="33"/>
      <c r="CUM42" s="33"/>
      <c r="CUN42" s="33"/>
      <c r="CUO42" s="33"/>
      <c r="CUP42" s="33"/>
      <c r="CUQ42" s="33"/>
      <c r="CUR42" s="33"/>
      <c r="CUS42" s="33"/>
      <c r="CUT42" s="33"/>
      <c r="CUU42" s="33"/>
      <c r="CUV42" s="33"/>
      <c r="CUW42" s="33"/>
      <c r="CUX42" s="33"/>
      <c r="CUY42" s="33"/>
      <c r="CUZ42" s="33"/>
      <c r="CVA42" s="33"/>
      <c r="CVB42" s="33"/>
      <c r="CVC42" s="33"/>
      <c r="CVD42" s="33"/>
      <c r="CVE42" s="33"/>
      <c r="CVF42" s="33"/>
      <c r="CVG42" s="33"/>
      <c r="CVH42" s="33"/>
      <c r="CVI42" s="33"/>
      <c r="CVJ42" s="33"/>
      <c r="CVK42" s="33"/>
      <c r="CVL42" s="33"/>
      <c r="CVM42" s="33"/>
      <c r="CVN42" s="33"/>
      <c r="CVO42" s="33"/>
      <c r="CVP42" s="33"/>
      <c r="CVQ42" s="33"/>
      <c r="CVR42" s="33"/>
      <c r="CVS42" s="33"/>
      <c r="CVT42" s="33"/>
      <c r="CVU42" s="33"/>
      <c r="CVV42" s="33"/>
      <c r="CVW42" s="33"/>
      <c r="CVX42" s="33"/>
      <c r="CVY42" s="33"/>
      <c r="CVZ42" s="33"/>
      <c r="CWA42" s="33"/>
      <c r="CWB42" s="33"/>
      <c r="CWC42" s="33"/>
      <c r="CWD42" s="33"/>
      <c r="CWE42" s="33"/>
      <c r="CWF42" s="33"/>
      <c r="CWG42" s="33"/>
      <c r="CWH42" s="33"/>
      <c r="CWI42" s="33"/>
      <c r="CWJ42" s="33"/>
      <c r="CWK42" s="33"/>
      <c r="CWL42" s="33"/>
      <c r="CWM42" s="33"/>
      <c r="CWN42" s="33"/>
      <c r="CWO42" s="33"/>
      <c r="CWP42" s="33"/>
      <c r="CWQ42" s="33"/>
      <c r="CWR42" s="33"/>
      <c r="CWS42" s="33"/>
      <c r="CWT42" s="33"/>
      <c r="CWU42" s="33"/>
      <c r="CWV42" s="33"/>
      <c r="CWW42" s="33"/>
      <c r="CWX42" s="33"/>
      <c r="CWY42" s="33"/>
      <c r="CWZ42" s="33"/>
      <c r="CXA42" s="33"/>
      <c r="CXB42" s="33"/>
      <c r="CXC42" s="33"/>
      <c r="CXD42" s="33"/>
      <c r="CXE42" s="33"/>
      <c r="CXF42" s="33"/>
      <c r="CXG42" s="33"/>
      <c r="CXH42" s="33"/>
      <c r="CXI42" s="33"/>
      <c r="CXJ42" s="33"/>
      <c r="CXK42" s="33"/>
      <c r="CXL42" s="33"/>
      <c r="CXM42" s="33"/>
      <c r="CXN42" s="33"/>
      <c r="CXO42" s="33"/>
      <c r="CXP42" s="33"/>
      <c r="CXQ42" s="33"/>
      <c r="CXR42" s="33"/>
      <c r="CXS42" s="33"/>
      <c r="CXT42" s="33"/>
      <c r="CXU42" s="33"/>
      <c r="CXV42" s="33"/>
      <c r="CXW42" s="33"/>
      <c r="CXX42" s="33"/>
      <c r="CXY42" s="33"/>
      <c r="CXZ42" s="33"/>
      <c r="CYA42" s="33"/>
      <c r="CYB42" s="33"/>
      <c r="CYC42" s="33"/>
      <c r="CYD42" s="33"/>
      <c r="CYE42" s="33"/>
      <c r="CYF42" s="33"/>
      <c r="CYG42" s="33"/>
      <c r="CYH42" s="33"/>
      <c r="CYI42" s="33"/>
      <c r="CYJ42" s="33"/>
      <c r="CYK42" s="33"/>
      <c r="CYL42" s="33"/>
      <c r="CYM42" s="33"/>
      <c r="CYN42" s="33"/>
      <c r="CYO42" s="33"/>
      <c r="CYP42" s="33"/>
      <c r="CYQ42" s="33"/>
      <c r="CYR42" s="33"/>
      <c r="CYS42" s="33"/>
      <c r="CYT42" s="33"/>
      <c r="CYU42" s="33"/>
      <c r="CYV42" s="33"/>
      <c r="CYW42" s="33"/>
      <c r="CYX42" s="33"/>
      <c r="CYY42" s="33"/>
      <c r="CYZ42" s="33"/>
      <c r="CZA42" s="33"/>
      <c r="CZB42" s="33"/>
      <c r="CZC42" s="33"/>
      <c r="CZD42" s="33"/>
      <c r="CZE42" s="33"/>
      <c r="CZF42" s="33"/>
      <c r="CZG42" s="33"/>
      <c r="CZH42" s="33"/>
      <c r="CZI42" s="33"/>
      <c r="CZJ42" s="33"/>
      <c r="CZK42" s="33"/>
      <c r="CZL42" s="33"/>
      <c r="CZM42" s="33"/>
      <c r="CZN42" s="33"/>
      <c r="CZO42" s="33"/>
      <c r="CZP42" s="33"/>
      <c r="CZQ42" s="33"/>
      <c r="CZR42" s="33"/>
      <c r="CZS42" s="33"/>
      <c r="CZT42" s="33"/>
      <c r="CZU42" s="33"/>
      <c r="CZV42" s="33"/>
      <c r="CZW42" s="33"/>
      <c r="CZX42" s="33"/>
      <c r="CZY42" s="33"/>
      <c r="CZZ42" s="33"/>
      <c r="DAA42" s="33"/>
      <c r="DAB42" s="33"/>
      <c r="DAC42" s="33"/>
      <c r="DAD42" s="33"/>
      <c r="DAE42" s="33"/>
      <c r="DAF42" s="33"/>
      <c r="DAG42" s="33"/>
      <c r="DAH42" s="33"/>
      <c r="DAI42" s="33"/>
      <c r="DAJ42" s="33"/>
      <c r="DAK42" s="33"/>
      <c r="DAL42" s="33"/>
      <c r="DAM42" s="33"/>
      <c r="DAN42" s="33"/>
      <c r="DAO42" s="33"/>
      <c r="DAP42" s="33"/>
      <c r="DAQ42" s="33"/>
      <c r="DAR42" s="33"/>
      <c r="DAS42" s="33"/>
      <c r="DAT42" s="33"/>
      <c r="DAU42" s="33"/>
      <c r="DAV42" s="33"/>
      <c r="DAW42" s="33"/>
      <c r="DAX42" s="33"/>
      <c r="DAY42" s="33"/>
      <c r="DAZ42" s="33"/>
      <c r="DBA42" s="33"/>
      <c r="DBB42" s="33"/>
      <c r="DBC42" s="33"/>
      <c r="DBD42" s="33"/>
      <c r="DBE42" s="33"/>
      <c r="DBF42" s="33"/>
      <c r="DBG42" s="33"/>
      <c r="DBH42" s="33"/>
      <c r="DBI42" s="33"/>
      <c r="DBJ42" s="33"/>
      <c r="DBK42" s="33"/>
      <c r="DBL42" s="33"/>
      <c r="DBM42" s="33"/>
      <c r="DBN42" s="33"/>
      <c r="DBO42" s="33"/>
      <c r="DBP42" s="33"/>
      <c r="DBQ42" s="33"/>
      <c r="DBR42" s="33"/>
      <c r="DBS42" s="33"/>
      <c r="DBT42" s="33"/>
      <c r="DBU42" s="33"/>
      <c r="DBV42" s="33"/>
      <c r="DBW42" s="33"/>
      <c r="DBX42" s="33"/>
      <c r="DBY42" s="33"/>
      <c r="DBZ42" s="33"/>
      <c r="DCA42" s="33"/>
      <c r="DCB42" s="33"/>
      <c r="DCC42" s="33"/>
      <c r="DCD42" s="33"/>
      <c r="DCE42" s="33"/>
      <c r="DCF42" s="33"/>
      <c r="DCG42" s="33"/>
      <c r="DCH42" s="33"/>
      <c r="DCI42" s="33"/>
      <c r="DCJ42" s="33"/>
      <c r="DCK42" s="33"/>
      <c r="DCL42" s="33"/>
      <c r="DCM42" s="33"/>
      <c r="DCN42" s="33"/>
      <c r="DCO42" s="33"/>
      <c r="DCP42" s="33"/>
      <c r="DCQ42" s="33"/>
      <c r="DCR42" s="33"/>
      <c r="DCS42" s="33"/>
      <c r="DCT42" s="33"/>
      <c r="DCU42" s="33"/>
      <c r="DCV42" s="33"/>
      <c r="DCW42" s="33"/>
      <c r="DCX42" s="33"/>
      <c r="DCY42" s="33"/>
      <c r="DCZ42" s="33"/>
      <c r="DDA42" s="33"/>
      <c r="DDB42" s="33"/>
      <c r="DDC42" s="33"/>
      <c r="DDD42" s="33"/>
      <c r="DDE42" s="33"/>
      <c r="DDF42" s="33"/>
      <c r="DDG42" s="33"/>
      <c r="DDH42" s="33"/>
      <c r="DDI42" s="33"/>
      <c r="DDJ42" s="33"/>
      <c r="DDK42" s="33"/>
      <c r="DDL42" s="33"/>
      <c r="DDM42" s="33"/>
      <c r="DDN42" s="33"/>
      <c r="DDO42" s="33"/>
      <c r="DDP42" s="33"/>
      <c r="DDQ42" s="33"/>
      <c r="DDR42" s="33"/>
      <c r="DDS42" s="33"/>
      <c r="DDT42" s="33"/>
      <c r="DDU42" s="33"/>
      <c r="DDV42" s="33"/>
      <c r="DDW42" s="33"/>
      <c r="DDX42" s="33"/>
      <c r="DDY42" s="33"/>
      <c r="DDZ42" s="33"/>
      <c r="DEA42" s="33"/>
      <c r="DEB42" s="33"/>
      <c r="DEC42" s="33"/>
      <c r="DED42" s="33"/>
      <c r="DEE42" s="33"/>
      <c r="DEF42" s="33"/>
      <c r="DEG42" s="33"/>
      <c r="DEH42" s="33"/>
      <c r="DEI42" s="33"/>
      <c r="DEJ42" s="33"/>
      <c r="DEK42" s="33"/>
      <c r="DEL42" s="33"/>
      <c r="DEM42" s="33"/>
      <c r="DEN42" s="33"/>
      <c r="DEO42" s="33"/>
      <c r="DEP42" s="33"/>
      <c r="DEQ42" s="33"/>
      <c r="DER42" s="33"/>
      <c r="DES42" s="33"/>
      <c r="DET42" s="33"/>
      <c r="DEU42" s="33"/>
      <c r="DEV42" s="33"/>
      <c r="DEW42" s="33"/>
      <c r="DEX42" s="33"/>
      <c r="DEY42" s="33"/>
      <c r="DEZ42" s="33"/>
      <c r="DFA42" s="33"/>
      <c r="DFB42" s="33"/>
      <c r="DFC42" s="33"/>
      <c r="DFD42" s="33"/>
      <c r="DFE42" s="33"/>
      <c r="DFF42" s="33"/>
      <c r="DFG42" s="33"/>
      <c r="DFH42" s="33"/>
      <c r="DFI42" s="33"/>
      <c r="DFJ42" s="33"/>
      <c r="DFK42" s="33"/>
      <c r="DFL42" s="33"/>
      <c r="DFM42" s="33"/>
      <c r="DFN42" s="33"/>
      <c r="DFO42" s="33"/>
      <c r="DFP42" s="33"/>
      <c r="DFQ42" s="33"/>
      <c r="DFR42" s="33"/>
      <c r="DFS42" s="33"/>
      <c r="DFT42" s="33"/>
      <c r="DFU42" s="33"/>
      <c r="DFV42" s="33"/>
      <c r="DFW42" s="33"/>
      <c r="DFX42" s="33"/>
      <c r="DFY42" s="33"/>
      <c r="DFZ42" s="33"/>
      <c r="DGA42" s="33"/>
      <c r="DGB42" s="33"/>
      <c r="DGC42" s="33"/>
      <c r="DGD42" s="33"/>
      <c r="DGE42" s="33"/>
      <c r="DGF42" s="33"/>
      <c r="DGG42" s="33"/>
      <c r="DGH42" s="33"/>
      <c r="DGI42" s="33"/>
      <c r="DGJ42" s="33"/>
      <c r="DGK42" s="33"/>
      <c r="DGL42" s="33"/>
      <c r="DGM42" s="33"/>
      <c r="DGN42" s="33"/>
      <c r="DGO42" s="33"/>
      <c r="DGP42" s="33"/>
      <c r="DGQ42" s="33"/>
      <c r="DGR42" s="33"/>
      <c r="DGS42" s="33"/>
      <c r="DGT42" s="33"/>
      <c r="DGU42" s="33"/>
      <c r="DGV42" s="33"/>
      <c r="DGW42" s="33"/>
      <c r="DGX42" s="33"/>
      <c r="DGY42" s="33"/>
      <c r="DGZ42" s="33"/>
      <c r="DHA42" s="33"/>
      <c r="DHB42" s="33"/>
      <c r="DHC42" s="33"/>
      <c r="DHD42" s="33"/>
      <c r="DHE42" s="33"/>
      <c r="DHF42" s="33"/>
      <c r="DHG42" s="33"/>
      <c r="DHH42" s="33"/>
      <c r="DHI42" s="33"/>
      <c r="DHJ42" s="33"/>
      <c r="DHK42" s="33"/>
      <c r="DHL42" s="33"/>
      <c r="DHM42" s="33"/>
      <c r="DHN42" s="33"/>
      <c r="DHO42" s="33"/>
      <c r="DHP42" s="33"/>
      <c r="DHQ42" s="33"/>
      <c r="DHR42" s="33"/>
      <c r="DHS42" s="33"/>
      <c r="DHT42" s="33"/>
      <c r="DHU42" s="33"/>
      <c r="DHV42" s="33"/>
      <c r="DHW42" s="33"/>
      <c r="DHX42" s="33"/>
      <c r="DHY42" s="33"/>
      <c r="DHZ42" s="33"/>
      <c r="DIA42" s="33"/>
      <c r="DIB42" s="33"/>
      <c r="DIC42" s="33"/>
      <c r="DID42" s="33"/>
      <c r="DIE42" s="33"/>
      <c r="DIF42" s="33"/>
      <c r="DIG42" s="33"/>
      <c r="DIH42" s="33"/>
      <c r="DII42" s="33"/>
      <c r="DIJ42" s="33"/>
      <c r="DIK42" s="33"/>
      <c r="DIL42" s="33"/>
      <c r="DIM42" s="33"/>
      <c r="DIN42" s="33"/>
      <c r="DIO42" s="33"/>
      <c r="DIP42" s="33"/>
      <c r="DIQ42" s="33"/>
      <c r="DIR42" s="33"/>
      <c r="DIS42" s="33"/>
      <c r="DIT42" s="33"/>
      <c r="DIU42" s="33"/>
      <c r="DIV42" s="33"/>
      <c r="DIW42" s="33"/>
      <c r="DIX42" s="33"/>
      <c r="DIY42" s="33"/>
      <c r="DIZ42" s="33"/>
      <c r="DJA42" s="33"/>
      <c r="DJB42" s="33"/>
      <c r="DJC42" s="33"/>
      <c r="DJD42" s="33"/>
      <c r="DJE42" s="33"/>
      <c r="DJF42" s="33"/>
      <c r="DJG42" s="33"/>
      <c r="DJH42" s="33"/>
      <c r="DJI42" s="33"/>
      <c r="DJJ42" s="33"/>
      <c r="DJK42" s="33"/>
      <c r="DJL42" s="33"/>
      <c r="DJM42" s="33"/>
      <c r="DJN42" s="33"/>
      <c r="DJO42" s="33"/>
      <c r="DJP42" s="33"/>
      <c r="DJQ42" s="33"/>
      <c r="DJR42" s="33"/>
      <c r="DJS42" s="33"/>
      <c r="DJT42" s="33"/>
      <c r="DJU42" s="33"/>
      <c r="DJV42" s="33"/>
      <c r="DJW42" s="33"/>
      <c r="DJX42" s="33"/>
      <c r="DJY42" s="33"/>
      <c r="DJZ42" s="33"/>
      <c r="DKA42" s="33"/>
      <c r="DKB42" s="33"/>
      <c r="DKC42" s="33"/>
      <c r="DKD42" s="33"/>
      <c r="DKE42" s="33"/>
      <c r="DKF42" s="33"/>
      <c r="DKG42" s="33"/>
      <c r="DKH42" s="33"/>
      <c r="DKI42" s="33"/>
      <c r="DKJ42" s="33"/>
      <c r="DKK42" s="33"/>
      <c r="DKL42" s="33"/>
      <c r="DKM42" s="33"/>
      <c r="DKN42" s="33"/>
      <c r="DKO42" s="33"/>
      <c r="DKP42" s="33"/>
      <c r="DKQ42" s="33"/>
      <c r="DKR42" s="33"/>
      <c r="DKS42" s="33"/>
      <c r="DKT42" s="33"/>
      <c r="DKU42" s="33"/>
      <c r="DKV42" s="33"/>
      <c r="DKW42" s="33"/>
      <c r="DKX42" s="33"/>
      <c r="DKY42" s="33"/>
      <c r="DKZ42" s="33"/>
      <c r="DLA42" s="33"/>
      <c r="DLB42" s="33"/>
      <c r="DLC42" s="33"/>
      <c r="DLD42" s="33"/>
      <c r="DLE42" s="33"/>
      <c r="DLF42" s="33"/>
      <c r="DLG42" s="33"/>
      <c r="DLH42" s="33"/>
      <c r="DLI42" s="33"/>
      <c r="DLJ42" s="33"/>
      <c r="DLK42" s="33"/>
      <c r="DLL42" s="33"/>
      <c r="DLM42" s="33"/>
      <c r="DLN42" s="33"/>
      <c r="DLO42" s="33"/>
      <c r="DLP42" s="33"/>
      <c r="DLQ42" s="33"/>
      <c r="DLR42" s="33"/>
      <c r="DLS42" s="33"/>
      <c r="DLT42" s="33"/>
      <c r="DLU42" s="33"/>
      <c r="DLV42" s="33"/>
      <c r="DLW42" s="33"/>
      <c r="DLX42" s="33"/>
      <c r="DLY42" s="33"/>
      <c r="DLZ42" s="33"/>
      <c r="DMA42" s="33"/>
      <c r="DMB42" s="33"/>
      <c r="DMC42" s="33"/>
      <c r="DMD42" s="33"/>
      <c r="DME42" s="33"/>
      <c r="DMF42" s="33"/>
      <c r="DMG42" s="33"/>
      <c r="DMH42" s="33"/>
      <c r="DMI42" s="33"/>
      <c r="DMJ42" s="33"/>
      <c r="DMK42" s="33"/>
      <c r="DML42" s="33"/>
      <c r="DMM42" s="33"/>
      <c r="DMN42" s="33"/>
      <c r="DMO42" s="33"/>
      <c r="DMP42" s="33"/>
      <c r="DMQ42" s="33"/>
      <c r="DMR42" s="33"/>
      <c r="DMS42" s="33"/>
      <c r="DMT42" s="33"/>
      <c r="DMU42" s="33"/>
      <c r="DMV42" s="33"/>
      <c r="DMW42" s="33"/>
      <c r="DMX42" s="33"/>
      <c r="DMY42" s="33"/>
      <c r="DMZ42" s="33"/>
      <c r="DNA42" s="33"/>
      <c r="DNB42" s="33"/>
      <c r="DNC42" s="33"/>
      <c r="DND42" s="33"/>
      <c r="DNE42" s="33"/>
      <c r="DNF42" s="33"/>
      <c r="DNG42" s="33"/>
      <c r="DNH42" s="33"/>
      <c r="DNI42" s="33"/>
      <c r="DNJ42" s="33"/>
      <c r="DNK42" s="33"/>
      <c r="DNL42" s="33"/>
      <c r="DNM42" s="33"/>
      <c r="DNN42" s="33"/>
      <c r="DNO42" s="33"/>
      <c r="DNP42" s="33"/>
      <c r="DNQ42" s="33"/>
      <c r="DNR42" s="33"/>
      <c r="DNS42" s="33"/>
      <c r="DNT42" s="33"/>
      <c r="DNU42" s="33"/>
      <c r="DNV42" s="33"/>
      <c r="DNW42" s="33"/>
      <c r="DNX42" s="33"/>
      <c r="DNY42" s="33"/>
      <c r="DNZ42" s="33"/>
      <c r="DOA42" s="33"/>
      <c r="DOB42" s="33"/>
      <c r="DOC42" s="33"/>
      <c r="DOD42" s="33"/>
      <c r="DOE42" s="33"/>
      <c r="DOF42" s="33"/>
      <c r="DOG42" s="33"/>
      <c r="DOH42" s="33"/>
      <c r="DOI42" s="33"/>
      <c r="DOJ42" s="33"/>
      <c r="DOK42" s="33"/>
      <c r="DOL42" s="33"/>
      <c r="DOM42" s="33"/>
      <c r="DON42" s="33"/>
      <c r="DOO42" s="33"/>
      <c r="DOP42" s="33"/>
      <c r="DOQ42" s="33"/>
      <c r="DOR42" s="33"/>
      <c r="DOS42" s="33"/>
      <c r="DOT42" s="33"/>
      <c r="DOU42" s="33"/>
      <c r="DOV42" s="33"/>
      <c r="DOW42" s="33"/>
      <c r="DOX42" s="33"/>
      <c r="DOY42" s="33"/>
      <c r="DOZ42" s="33"/>
      <c r="DPA42" s="33"/>
      <c r="DPB42" s="33"/>
      <c r="DPC42" s="33"/>
      <c r="DPD42" s="33"/>
      <c r="DPE42" s="33"/>
      <c r="DPF42" s="33"/>
      <c r="DPG42" s="33"/>
      <c r="DPH42" s="33"/>
      <c r="DPI42" s="33"/>
      <c r="DPJ42" s="33"/>
      <c r="DPK42" s="33"/>
      <c r="DPL42" s="33"/>
      <c r="DPM42" s="33"/>
      <c r="DPN42" s="33"/>
      <c r="DPO42" s="33"/>
      <c r="DPP42" s="33"/>
      <c r="DPQ42" s="33"/>
      <c r="DPR42" s="33"/>
      <c r="DPS42" s="33"/>
      <c r="DPT42" s="33"/>
      <c r="DPU42" s="33"/>
      <c r="DPV42" s="33"/>
      <c r="DPW42" s="33"/>
      <c r="DPX42" s="33"/>
      <c r="DPY42" s="33"/>
      <c r="DPZ42" s="33"/>
      <c r="DQA42" s="33"/>
      <c r="DQB42" s="33"/>
      <c r="DQC42" s="33"/>
      <c r="DQD42" s="33"/>
      <c r="DQE42" s="33"/>
      <c r="DQF42" s="33"/>
      <c r="DQG42" s="33"/>
      <c r="DQH42" s="33"/>
      <c r="DQI42" s="33"/>
      <c r="DQJ42" s="33"/>
      <c r="DQK42" s="33"/>
      <c r="DQL42" s="33"/>
      <c r="DQM42" s="33"/>
      <c r="DQN42" s="33"/>
      <c r="DQO42" s="33"/>
      <c r="DQP42" s="33"/>
      <c r="DQQ42" s="33"/>
      <c r="DQR42" s="33"/>
      <c r="DQS42" s="33"/>
      <c r="DQT42" s="33"/>
      <c r="DQU42" s="33"/>
      <c r="DQV42" s="33"/>
      <c r="DQW42" s="33"/>
      <c r="DQX42" s="33"/>
      <c r="DQY42" s="33"/>
      <c r="DQZ42" s="33"/>
      <c r="DRA42" s="33"/>
      <c r="DRB42" s="33"/>
      <c r="DRC42" s="33"/>
      <c r="DRD42" s="33"/>
      <c r="DRE42" s="33"/>
      <c r="DRF42" s="33"/>
      <c r="DRG42" s="33"/>
      <c r="DRH42" s="33"/>
      <c r="DRI42" s="33"/>
      <c r="DRJ42" s="33"/>
      <c r="DRK42" s="33"/>
      <c r="DRL42" s="33"/>
      <c r="DRM42" s="33"/>
      <c r="DRN42" s="33"/>
      <c r="DRO42" s="33"/>
      <c r="DRP42" s="33"/>
      <c r="DRQ42" s="33"/>
      <c r="DRR42" s="33"/>
      <c r="DRS42" s="33"/>
      <c r="DRT42" s="33"/>
      <c r="DRU42" s="33"/>
      <c r="DRV42" s="33"/>
      <c r="DRW42" s="33"/>
      <c r="DRX42" s="33"/>
      <c r="DRY42" s="33"/>
      <c r="DRZ42" s="33"/>
      <c r="DSA42" s="33"/>
      <c r="DSB42" s="33"/>
      <c r="DSC42" s="33"/>
      <c r="DSD42" s="33"/>
      <c r="DSE42" s="33"/>
      <c r="DSF42" s="33"/>
      <c r="DSG42" s="33"/>
      <c r="DSH42" s="33"/>
      <c r="DSI42" s="33"/>
      <c r="DSJ42" s="33"/>
      <c r="DSK42" s="33"/>
      <c r="DSL42" s="33"/>
      <c r="DSM42" s="33"/>
      <c r="DSN42" s="33"/>
      <c r="DSO42" s="33"/>
      <c r="DSP42" s="33"/>
      <c r="DSQ42" s="33"/>
      <c r="DSR42" s="33"/>
      <c r="DSS42" s="33"/>
      <c r="DST42" s="33"/>
      <c r="DSU42" s="33"/>
      <c r="DSV42" s="33"/>
      <c r="DSW42" s="33"/>
      <c r="DSX42" s="33"/>
      <c r="DSY42" s="33"/>
      <c r="DSZ42" s="33"/>
      <c r="DTA42" s="33"/>
      <c r="DTB42" s="33"/>
      <c r="DTC42" s="33"/>
      <c r="DTD42" s="33"/>
      <c r="DTE42" s="33"/>
      <c r="DTF42" s="33"/>
      <c r="DTG42" s="33"/>
      <c r="DTH42" s="33"/>
      <c r="DTI42" s="33"/>
      <c r="DTJ42" s="33"/>
      <c r="DTK42" s="33"/>
      <c r="DTL42" s="33"/>
      <c r="DTM42" s="33"/>
      <c r="DTN42" s="33"/>
      <c r="DTO42" s="33"/>
      <c r="DTP42" s="33"/>
      <c r="DTQ42" s="33"/>
      <c r="DTR42" s="33"/>
      <c r="DTS42" s="33"/>
      <c r="DTT42" s="33"/>
      <c r="DTU42" s="33"/>
      <c r="DTV42" s="33"/>
      <c r="DTW42" s="33"/>
      <c r="DTX42" s="33"/>
      <c r="DTY42" s="33"/>
      <c r="DTZ42" s="33"/>
      <c r="DUA42" s="33"/>
      <c r="DUB42" s="33"/>
      <c r="DUC42" s="33"/>
      <c r="DUD42" s="33"/>
      <c r="DUE42" s="33"/>
      <c r="DUF42" s="33"/>
      <c r="DUG42" s="33"/>
      <c r="DUH42" s="33"/>
      <c r="DUI42" s="33"/>
      <c r="DUJ42" s="33"/>
      <c r="DUK42" s="33"/>
      <c r="DUL42" s="33"/>
      <c r="DUM42" s="33"/>
      <c r="DUN42" s="33"/>
      <c r="DUO42" s="33"/>
      <c r="DUP42" s="33"/>
      <c r="DUQ42" s="33"/>
      <c r="DUR42" s="33"/>
      <c r="DUS42" s="33"/>
      <c r="DUT42" s="33"/>
      <c r="DUU42" s="33"/>
      <c r="DUV42" s="33"/>
      <c r="DUW42" s="33"/>
      <c r="DUX42" s="33"/>
      <c r="DUY42" s="33"/>
      <c r="DUZ42" s="33"/>
      <c r="DVA42" s="33"/>
      <c r="DVB42" s="33"/>
      <c r="DVC42" s="33"/>
      <c r="DVD42" s="33"/>
      <c r="DVE42" s="33"/>
      <c r="DVF42" s="33"/>
      <c r="DVG42" s="33"/>
      <c r="DVH42" s="33"/>
      <c r="DVI42" s="33"/>
      <c r="DVJ42" s="33"/>
      <c r="DVK42" s="33"/>
      <c r="DVL42" s="33"/>
      <c r="DVM42" s="33"/>
      <c r="DVN42" s="33"/>
      <c r="DVO42" s="33"/>
      <c r="DVP42" s="33"/>
      <c r="DVQ42" s="33"/>
      <c r="DVR42" s="33"/>
      <c r="DVS42" s="33"/>
      <c r="DVT42" s="33"/>
      <c r="DVU42" s="33"/>
      <c r="DVV42" s="33"/>
      <c r="DVW42" s="33"/>
      <c r="DVX42" s="33"/>
      <c r="DVY42" s="33"/>
      <c r="DVZ42" s="33"/>
      <c r="DWA42" s="33"/>
      <c r="DWB42" s="33"/>
      <c r="DWC42" s="33"/>
      <c r="DWD42" s="33"/>
      <c r="DWE42" s="33"/>
      <c r="DWF42" s="33"/>
      <c r="DWG42" s="33"/>
      <c r="DWH42" s="33"/>
      <c r="DWI42" s="33"/>
      <c r="DWJ42" s="33"/>
      <c r="DWK42" s="33"/>
      <c r="DWL42" s="33"/>
      <c r="DWM42" s="33"/>
      <c r="DWN42" s="33"/>
      <c r="DWO42" s="33"/>
      <c r="DWP42" s="33"/>
      <c r="DWQ42" s="33"/>
      <c r="DWR42" s="33"/>
      <c r="DWS42" s="33"/>
      <c r="DWT42" s="33"/>
      <c r="DWU42" s="33"/>
      <c r="DWV42" s="33"/>
      <c r="DWW42" s="33"/>
      <c r="DWX42" s="33"/>
      <c r="DWY42" s="33"/>
      <c r="DWZ42" s="33"/>
      <c r="DXA42" s="33"/>
      <c r="DXB42" s="33"/>
      <c r="DXC42" s="33"/>
      <c r="DXD42" s="33"/>
      <c r="DXE42" s="33"/>
      <c r="DXF42" s="33"/>
      <c r="DXG42" s="33"/>
      <c r="DXH42" s="33"/>
      <c r="DXI42" s="33"/>
      <c r="DXJ42" s="33"/>
      <c r="DXK42" s="33"/>
      <c r="DXL42" s="33"/>
      <c r="DXM42" s="33"/>
      <c r="DXN42" s="33"/>
      <c r="DXO42" s="33"/>
      <c r="DXP42" s="33"/>
      <c r="DXQ42" s="33"/>
      <c r="DXR42" s="33"/>
      <c r="DXS42" s="33"/>
      <c r="DXT42" s="33"/>
      <c r="DXU42" s="33"/>
      <c r="DXV42" s="33"/>
      <c r="DXW42" s="33"/>
      <c r="DXX42" s="33"/>
      <c r="DXY42" s="33"/>
      <c r="DXZ42" s="33"/>
      <c r="DYA42" s="33"/>
      <c r="DYB42" s="33"/>
      <c r="DYC42" s="33"/>
      <c r="DYD42" s="33"/>
      <c r="DYE42" s="33"/>
      <c r="DYF42" s="33"/>
      <c r="DYG42" s="33"/>
      <c r="DYH42" s="33"/>
      <c r="DYI42" s="33"/>
      <c r="DYJ42" s="33"/>
      <c r="DYK42" s="33"/>
      <c r="DYL42" s="33"/>
      <c r="DYM42" s="33"/>
      <c r="DYN42" s="33"/>
      <c r="DYO42" s="33"/>
      <c r="DYP42" s="33"/>
      <c r="DYQ42" s="33"/>
      <c r="DYR42" s="33"/>
      <c r="DYS42" s="33"/>
      <c r="DYT42" s="33"/>
      <c r="DYU42" s="33"/>
      <c r="DYV42" s="33"/>
      <c r="DYW42" s="33"/>
      <c r="DYX42" s="33"/>
      <c r="DYY42" s="33"/>
      <c r="DYZ42" s="33"/>
      <c r="DZA42" s="33"/>
      <c r="DZB42" s="33"/>
      <c r="DZC42" s="33"/>
      <c r="DZD42" s="33"/>
      <c r="DZE42" s="33"/>
      <c r="DZF42" s="33"/>
      <c r="DZG42" s="33"/>
      <c r="DZH42" s="33"/>
      <c r="DZI42" s="33"/>
      <c r="DZJ42" s="33"/>
      <c r="DZK42" s="33"/>
      <c r="DZL42" s="33"/>
      <c r="DZM42" s="33"/>
      <c r="DZN42" s="33"/>
      <c r="DZO42" s="33"/>
      <c r="DZP42" s="33"/>
      <c r="DZQ42" s="33"/>
      <c r="DZR42" s="33"/>
      <c r="DZS42" s="33"/>
      <c r="DZT42" s="33"/>
      <c r="DZU42" s="33"/>
      <c r="DZV42" s="33"/>
      <c r="DZW42" s="33"/>
      <c r="DZX42" s="33"/>
      <c r="DZY42" s="33"/>
      <c r="DZZ42" s="33"/>
      <c r="EAA42" s="33"/>
      <c r="EAB42" s="33"/>
      <c r="EAC42" s="33"/>
      <c r="EAD42" s="33"/>
      <c r="EAE42" s="33"/>
      <c r="EAF42" s="33"/>
      <c r="EAG42" s="33"/>
      <c r="EAH42" s="33"/>
      <c r="EAI42" s="33"/>
      <c r="EAJ42" s="33"/>
      <c r="EAK42" s="33"/>
      <c r="EAL42" s="33"/>
      <c r="EAM42" s="33"/>
      <c r="EAN42" s="33"/>
      <c r="EAO42" s="33"/>
      <c r="EAP42" s="33"/>
      <c r="EAQ42" s="33"/>
      <c r="EAR42" s="33"/>
      <c r="EAS42" s="33"/>
      <c r="EAT42" s="33"/>
      <c r="EAU42" s="33"/>
      <c r="EAV42" s="33"/>
      <c r="EAW42" s="33"/>
      <c r="EAX42" s="33"/>
      <c r="EAY42" s="33"/>
      <c r="EAZ42" s="33"/>
      <c r="EBA42" s="33"/>
      <c r="EBB42" s="33"/>
      <c r="EBC42" s="33"/>
      <c r="EBD42" s="33"/>
      <c r="EBE42" s="33"/>
      <c r="EBF42" s="33"/>
      <c r="EBG42" s="33"/>
      <c r="EBH42" s="33"/>
      <c r="EBI42" s="33"/>
      <c r="EBJ42" s="33"/>
      <c r="EBK42" s="33"/>
      <c r="EBL42" s="33"/>
      <c r="EBM42" s="33"/>
      <c r="EBN42" s="33"/>
      <c r="EBO42" s="33"/>
      <c r="EBP42" s="33"/>
      <c r="EBQ42" s="33"/>
      <c r="EBR42" s="33"/>
      <c r="EBS42" s="33"/>
      <c r="EBT42" s="33"/>
      <c r="EBU42" s="33"/>
      <c r="EBV42" s="33"/>
      <c r="EBW42" s="33"/>
      <c r="EBX42" s="33"/>
      <c r="EBY42" s="33"/>
      <c r="EBZ42" s="33"/>
      <c r="ECA42" s="33"/>
      <c r="ECB42" s="33"/>
      <c r="ECC42" s="33"/>
      <c r="ECD42" s="33"/>
      <c r="ECE42" s="33"/>
      <c r="ECF42" s="33"/>
      <c r="ECG42" s="33"/>
      <c r="ECH42" s="33"/>
      <c r="ECI42" s="33"/>
      <c r="ECJ42" s="33"/>
      <c r="ECK42" s="33"/>
      <c r="ECL42" s="33"/>
      <c r="ECM42" s="33"/>
      <c r="ECN42" s="33"/>
      <c r="ECO42" s="33"/>
      <c r="ECP42" s="33"/>
      <c r="ECQ42" s="33"/>
      <c r="ECR42" s="33"/>
      <c r="ECS42" s="33"/>
      <c r="ECT42" s="33"/>
      <c r="ECU42" s="33"/>
      <c r="ECV42" s="33"/>
      <c r="ECW42" s="33"/>
      <c r="ECX42" s="33"/>
      <c r="ECY42" s="33"/>
      <c r="ECZ42" s="33"/>
      <c r="EDA42" s="33"/>
      <c r="EDB42" s="33"/>
      <c r="EDC42" s="33"/>
      <c r="EDD42" s="33"/>
      <c r="EDE42" s="33"/>
      <c r="EDF42" s="33"/>
      <c r="EDG42" s="33"/>
      <c r="EDH42" s="33"/>
      <c r="EDI42" s="33"/>
      <c r="EDJ42" s="33"/>
      <c r="EDK42" s="33"/>
      <c r="EDL42" s="33"/>
      <c r="EDM42" s="33"/>
      <c r="EDN42" s="33"/>
      <c r="EDO42" s="33"/>
      <c r="EDP42" s="33"/>
      <c r="EDQ42" s="33"/>
      <c r="EDR42" s="33"/>
      <c r="EDS42" s="33"/>
      <c r="EDT42" s="33"/>
      <c r="EDU42" s="33"/>
      <c r="EDV42" s="33"/>
      <c r="EDW42" s="33"/>
      <c r="EDX42" s="33"/>
      <c r="EDY42" s="33"/>
      <c r="EDZ42" s="33"/>
      <c r="EEA42" s="33"/>
      <c r="EEB42" s="33"/>
      <c r="EEC42" s="33"/>
      <c r="EED42" s="33"/>
      <c r="EEE42" s="33"/>
      <c r="EEF42" s="33"/>
      <c r="EEG42" s="33"/>
      <c r="EEH42" s="33"/>
      <c r="EEI42" s="33"/>
      <c r="EEJ42" s="33"/>
      <c r="EEK42" s="33"/>
      <c r="EEL42" s="33"/>
      <c r="EEM42" s="33"/>
      <c r="EEN42" s="33"/>
      <c r="EEO42" s="33"/>
      <c r="EEP42" s="33"/>
      <c r="EEQ42" s="33"/>
      <c r="EER42" s="33"/>
      <c r="EES42" s="33"/>
      <c r="EET42" s="33"/>
      <c r="EEU42" s="33"/>
      <c r="EEV42" s="33"/>
      <c r="EEW42" s="33"/>
      <c r="EEX42" s="33"/>
      <c r="EEY42" s="33"/>
      <c r="EEZ42" s="33"/>
      <c r="EFA42" s="33"/>
      <c r="EFB42" s="33"/>
      <c r="EFC42" s="33"/>
      <c r="EFD42" s="33"/>
      <c r="EFE42" s="33"/>
      <c r="EFF42" s="33"/>
      <c r="EFG42" s="33"/>
      <c r="EFH42" s="33"/>
      <c r="EFI42" s="33"/>
      <c r="EFJ42" s="33"/>
      <c r="EFK42" s="33"/>
      <c r="EFL42" s="33"/>
      <c r="EFM42" s="33"/>
      <c r="EFN42" s="33"/>
      <c r="EFO42" s="33"/>
      <c r="EFP42" s="33"/>
      <c r="EFQ42" s="33"/>
      <c r="EFR42" s="33"/>
      <c r="EFS42" s="33"/>
      <c r="EFT42" s="33"/>
      <c r="EFU42" s="33"/>
      <c r="EFV42" s="33"/>
      <c r="EFW42" s="33"/>
      <c r="EFX42" s="33"/>
      <c r="EFY42" s="33"/>
      <c r="EFZ42" s="33"/>
      <c r="EGA42" s="33"/>
      <c r="EGB42" s="33"/>
      <c r="EGC42" s="33"/>
      <c r="EGD42" s="33"/>
      <c r="EGE42" s="33"/>
      <c r="EGF42" s="33"/>
      <c r="EGG42" s="33"/>
      <c r="EGH42" s="33"/>
      <c r="EGI42" s="33"/>
      <c r="EGJ42" s="33"/>
      <c r="EGK42" s="33"/>
      <c r="EGL42" s="33"/>
      <c r="EGM42" s="33"/>
      <c r="EGN42" s="33"/>
      <c r="EGO42" s="33"/>
      <c r="EGP42" s="33"/>
      <c r="EGQ42" s="33"/>
      <c r="EGR42" s="33"/>
      <c r="EGS42" s="33"/>
      <c r="EGT42" s="33"/>
      <c r="EGU42" s="33"/>
      <c r="EGV42" s="33"/>
      <c r="EGW42" s="33"/>
      <c r="EGX42" s="33"/>
      <c r="EGY42" s="33"/>
      <c r="EGZ42" s="33"/>
      <c r="EHA42" s="33"/>
      <c r="EHB42" s="33"/>
      <c r="EHC42" s="33"/>
      <c r="EHD42" s="33"/>
      <c r="EHE42" s="33"/>
      <c r="EHF42" s="33"/>
      <c r="EHG42" s="33"/>
      <c r="EHH42" s="33"/>
      <c r="EHI42" s="33"/>
      <c r="EHJ42" s="33"/>
      <c r="EHK42" s="33"/>
      <c r="EHL42" s="33"/>
      <c r="EHM42" s="33"/>
      <c r="EHN42" s="33"/>
      <c r="EHO42" s="33"/>
      <c r="EHP42" s="33"/>
      <c r="EHQ42" s="33"/>
      <c r="EHR42" s="33"/>
      <c r="EHS42" s="33"/>
      <c r="EHT42" s="33"/>
      <c r="EHU42" s="33"/>
      <c r="EHV42" s="33"/>
      <c r="EHW42" s="33"/>
      <c r="EHX42" s="33"/>
      <c r="EHY42" s="33"/>
      <c r="EHZ42" s="33"/>
      <c r="EIA42" s="33"/>
      <c r="EIB42" s="33"/>
      <c r="EIC42" s="33"/>
      <c r="EID42" s="33"/>
      <c r="EIE42" s="33"/>
      <c r="EIF42" s="33"/>
      <c r="EIG42" s="33"/>
      <c r="EIH42" s="33"/>
      <c r="EII42" s="33"/>
      <c r="EIJ42" s="33"/>
      <c r="EIK42" s="33"/>
      <c r="EIL42" s="33"/>
      <c r="EIM42" s="33"/>
      <c r="EIN42" s="33"/>
      <c r="EIO42" s="33"/>
      <c r="EIP42" s="33"/>
      <c r="EIQ42" s="33"/>
      <c r="EIR42" s="33"/>
      <c r="EIS42" s="33"/>
      <c r="EIT42" s="33"/>
      <c r="EIU42" s="33"/>
      <c r="EIV42" s="33"/>
      <c r="EIW42" s="33"/>
      <c r="EIX42" s="33"/>
      <c r="EIY42" s="33"/>
      <c r="EIZ42" s="33"/>
      <c r="EJA42" s="33"/>
      <c r="EJB42" s="33"/>
      <c r="EJC42" s="33"/>
      <c r="EJD42" s="33"/>
      <c r="EJE42" s="33"/>
      <c r="EJF42" s="33"/>
      <c r="EJG42" s="33"/>
      <c r="EJH42" s="33"/>
      <c r="EJI42" s="33"/>
      <c r="EJJ42" s="33"/>
      <c r="EJK42" s="33"/>
      <c r="EJL42" s="33"/>
      <c r="EJM42" s="33"/>
      <c r="EJN42" s="33"/>
      <c r="EJO42" s="33"/>
      <c r="EJP42" s="33"/>
      <c r="EJQ42" s="33"/>
      <c r="EJR42" s="33"/>
      <c r="EJS42" s="33"/>
      <c r="EJT42" s="33"/>
      <c r="EJU42" s="33"/>
      <c r="EJV42" s="33"/>
      <c r="EJW42" s="33"/>
      <c r="EJX42" s="33"/>
      <c r="EJY42" s="33"/>
      <c r="EJZ42" s="33"/>
      <c r="EKA42" s="33"/>
      <c r="EKB42" s="33"/>
      <c r="EKC42" s="33"/>
      <c r="EKD42" s="33"/>
      <c r="EKE42" s="33"/>
      <c r="EKF42" s="33"/>
      <c r="EKG42" s="33"/>
      <c r="EKH42" s="33"/>
      <c r="EKI42" s="33"/>
      <c r="EKJ42" s="33"/>
      <c r="EKK42" s="33"/>
      <c r="EKL42" s="33"/>
      <c r="EKM42" s="33"/>
      <c r="EKN42" s="33"/>
      <c r="EKO42" s="33"/>
      <c r="EKP42" s="33"/>
      <c r="EKQ42" s="33"/>
      <c r="EKR42" s="33"/>
      <c r="EKS42" s="33"/>
      <c r="EKT42" s="33"/>
      <c r="EKU42" s="33"/>
      <c r="EKV42" s="33"/>
      <c r="EKW42" s="33"/>
      <c r="EKX42" s="33"/>
      <c r="EKY42" s="33"/>
      <c r="EKZ42" s="33"/>
      <c r="ELA42" s="33"/>
      <c r="ELB42" s="33"/>
      <c r="ELC42" s="33"/>
      <c r="ELD42" s="33"/>
      <c r="ELE42" s="33"/>
      <c r="ELF42" s="33"/>
      <c r="ELG42" s="33"/>
      <c r="ELH42" s="33"/>
      <c r="ELI42" s="33"/>
      <c r="ELJ42" s="33"/>
      <c r="ELK42" s="33"/>
      <c r="ELL42" s="33"/>
      <c r="ELM42" s="33"/>
      <c r="ELN42" s="33"/>
      <c r="ELO42" s="33"/>
      <c r="ELP42" s="33"/>
      <c r="ELQ42" s="33"/>
      <c r="ELR42" s="33"/>
      <c r="ELS42" s="33"/>
      <c r="ELT42" s="33"/>
      <c r="ELU42" s="33"/>
      <c r="ELV42" s="33"/>
      <c r="ELW42" s="33"/>
      <c r="ELX42" s="33"/>
      <c r="ELY42" s="33"/>
      <c r="ELZ42" s="33"/>
      <c r="EMA42" s="33"/>
      <c r="EMB42" s="33"/>
      <c r="EMC42" s="33"/>
      <c r="EMD42" s="33"/>
      <c r="EME42" s="33"/>
      <c r="EMF42" s="33"/>
      <c r="EMG42" s="33"/>
      <c r="EMH42" s="33"/>
      <c r="EMI42" s="33"/>
      <c r="EMJ42" s="33"/>
      <c r="EMK42" s="33"/>
      <c r="EML42" s="33"/>
      <c r="EMM42" s="33"/>
      <c r="EMN42" s="33"/>
      <c r="EMO42" s="33"/>
      <c r="EMP42" s="33"/>
      <c r="EMQ42" s="33"/>
      <c r="EMR42" s="33"/>
      <c r="EMS42" s="33"/>
      <c r="EMT42" s="33"/>
      <c r="EMU42" s="33"/>
      <c r="EMV42" s="33"/>
      <c r="EMW42" s="33"/>
      <c r="EMX42" s="33"/>
      <c r="EMY42" s="33"/>
      <c r="EMZ42" s="33"/>
      <c r="ENA42" s="33"/>
      <c r="ENB42" s="33"/>
      <c r="ENC42" s="33"/>
      <c r="END42" s="33"/>
      <c r="ENE42" s="33"/>
      <c r="ENF42" s="33"/>
      <c r="ENG42" s="33"/>
      <c r="ENH42" s="33"/>
      <c r="ENI42" s="33"/>
      <c r="ENJ42" s="33"/>
      <c r="ENK42" s="33"/>
      <c r="ENL42" s="33"/>
      <c r="ENM42" s="33"/>
      <c r="ENN42" s="33"/>
      <c r="ENO42" s="33"/>
      <c r="ENP42" s="33"/>
      <c r="ENQ42" s="33"/>
      <c r="ENR42" s="33"/>
      <c r="ENS42" s="33"/>
      <c r="ENT42" s="33"/>
      <c r="ENU42" s="33"/>
      <c r="ENV42" s="33"/>
      <c r="ENW42" s="33"/>
      <c r="ENX42" s="33"/>
      <c r="ENY42" s="33"/>
      <c r="ENZ42" s="33"/>
      <c r="EOA42" s="33"/>
      <c r="EOB42" s="33"/>
      <c r="EOC42" s="33"/>
      <c r="EOD42" s="33"/>
      <c r="EOE42" s="33"/>
      <c r="EOF42" s="33"/>
      <c r="EOG42" s="33"/>
      <c r="EOH42" s="33"/>
      <c r="EOI42" s="33"/>
      <c r="EOJ42" s="33"/>
      <c r="EOK42" s="33"/>
      <c r="EOL42" s="33"/>
      <c r="EOM42" s="33"/>
      <c r="EON42" s="33"/>
      <c r="EOO42" s="33"/>
      <c r="EOP42" s="33"/>
      <c r="EOQ42" s="33"/>
      <c r="EOR42" s="33"/>
      <c r="EOS42" s="33"/>
      <c r="EOT42" s="33"/>
      <c r="EOU42" s="33"/>
      <c r="EOV42" s="33"/>
      <c r="EOW42" s="33"/>
      <c r="EOX42" s="33"/>
      <c r="EOY42" s="33"/>
      <c r="EOZ42" s="33"/>
      <c r="EPA42" s="33"/>
      <c r="EPB42" s="33"/>
      <c r="EPC42" s="33"/>
      <c r="EPD42" s="33"/>
      <c r="EPE42" s="33"/>
      <c r="EPF42" s="33"/>
      <c r="EPG42" s="33"/>
      <c r="EPH42" s="33"/>
      <c r="EPI42" s="33"/>
      <c r="EPJ42" s="33"/>
      <c r="EPK42" s="33"/>
      <c r="EPL42" s="33"/>
      <c r="EPM42" s="33"/>
      <c r="EPN42" s="33"/>
      <c r="EPO42" s="33"/>
      <c r="EPP42" s="33"/>
      <c r="EPQ42" s="33"/>
      <c r="EPR42" s="33"/>
      <c r="EPS42" s="33"/>
      <c r="EPT42" s="33"/>
      <c r="EPU42" s="33"/>
      <c r="EPV42" s="33"/>
      <c r="EPW42" s="33"/>
      <c r="EPX42" s="33"/>
      <c r="EPY42" s="33"/>
      <c r="EPZ42" s="33"/>
      <c r="EQA42" s="33"/>
      <c r="EQB42" s="33"/>
      <c r="EQC42" s="33"/>
      <c r="EQD42" s="33"/>
      <c r="EQE42" s="33"/>
      <c r="EQF42" s="33"/>
      <c r="EQG42" s="33"/>
      <c r="EQH42" s="33"/>
      <c r="EQI42" s="33"/>
      <c r="EQJ42" s="33"/>
      <c r="EQK42" s="33"/>
      <c r="EQL42" s="33"/>
      <c r="EQM42" s="33"/>
      <c r="EQN42" s="33"/>
      <c r="EQO42" s="33"/>
      <c r="EQP42" s="33"/>
      <c r="EQQ42" s="33"/>
      <c r="EQR42" s="33"/>
      <c r="EQS42" s="33"/>
      <c r="EQT42" s="33"/>
      <c r="EQU42" s="33"/>
      <c r="EQV42" s="33"/>
      <c r="EQW42" s="33"/>
      <c r="EQX42" s="33"/>
      <c r="EQY42" s="33"/>
      <c r="EQZ42" s="33"/>
      <c r="ERA42" s="33"/>
      <c r="ERB42" s="33"/>
      <c r="ERC42" s="33"/>
      <c r="ERD42" s="33"/>
      <c r="ERE42" s="33"/>
      <c r="ERF42" s="33"/>
      <c r="ERG42" s="33"/>
      <c r="ERH42" s="33"/>
      <c r="ERI42" s="33"/>
      <c r="ERJ42" s="33"/>
      <c r="ERK42" s="33"/>
      <c r="ERL42" s="33"/>
      <c r="ERM42" s="33"/>
      <c r="ERN42" s="33"/>
      <c r="ERO42" s="33"/>
      <c r="ERP42" s="33"/>
      <c r="ERQ42" s="33"/>
      <c r="ERR42" s="33"/>
      <c r="ERS42" s="33"/>
      <c r="ERT42" s="33"/>
      <c r="ERU42" s="33"/>
      <c r="ERV42" s="33"/>
      <c r="ERW42" s="33"/>
      <c r="ERX42" s="33"/>
      <c r="ERY42" s="33"/>
      <c r="ERZ42" s="33"/>
      <c r="ESA42" s="33"/>
      <c r="ESB42" s="33"/>
      <c r="ESC42" s="33"/>
      <c r="ESD42" s="33"/>
      <c r="ESE42" s="33"/>
      <c r="ESF42" s="33"/>
      <c r="ESG42" s="33"/>
      <c r="ESH42" s="33"/>
      <c r="ESI42" s="33"/>
      <c r="ESJ42" s="33"/>
      <c r="ESK42" s="33"/>
      <c r="ESL42" s="33"/>
      <c r="ESM42" s="33"/>
      <c r="ESN42" s="33"/>
      <c r="ESO42" s="33"/>
      <c r="ESP42" s="33"/>
      <c r="ESQ42" s="33"/>
      <c r="ESR42" s="33"/>
      <c r="ESS42" s="33"/>
      <c r="EST42" s="33"/>
      <c r="ESU42" s="33"/>
      <c r="ESV42" s="33"/>
      <c r="ESW42" s="33"/>
      <c r="ESX42" s="33"/>
      <c r="ESY42" s="33"/>
      <c r="ESZ42" s="33"/>
      <c r="ETA42" s="33"/>
      <c r="ETB42" s="33"/>
      <c r="ETC42" s="33"/>
      <c r="ETD42" s="33"/>
      <c r="ETE42" s="33"/>
      <c r="ETF42" s="33"/>
      <c r="ETG42" s="33"/>
      <c r="ETH42" s="33"/>
      <c r="ETI42" s="33"/>
      <c r="ETJ42" s="33"/>
      <c r="ETK42" s="33"/>
      <c r="ETL42" s="33"/>
      <c r="ETM42" s="33"/>
      <c r="ETN42" s="33"/>
      <c r="ETO42" s="33"/>
      <c r="ETP42" s="33"/>
      <c r="ETQ42" s="33"/>
      <c r="ETR42" s="33"/>
      <c r="ETS42" s="33"/>
      <c r="ETT42" s="33"/>
      <c r="ETU42" s="33"/>
      <c r="ETV42" s="33"/>
      <c r="ETW42" s="33"/>
      <c r="ETX42" s="33"/>
      <c r="ETY42" s="33"/>
      <c r="ETZ42" s="33"/>
      <c r="EUA42" s="33"/>
      <c r="EUB42" s="33"/>
      <c r="EUC42" s="33"/>
      <c r="EUD42" s="33"/>
      <c r="EUE42" s="33"/>
      <c r="EUF42" s="33"/>
      <c r="EUG42" s="33"/>
      <c r="EUH42" s="33"/>
      <c r="EUI42" s="33"/>
      <c r="EUJ42" s="33"/>
      <c r="EUK42" s="33"/>
      <c r="EUL42" s="33"/>
      <c r="EUM42" s="33"/>
      <c r="EUN42" s="33"/>
      <c r="EUO42" s="33"/>
      <c r="EUP42" s="33"/>
      <c r="EUQ42" s="33"/>
      <c r="EUR42" s="33"/>
      <c r="EUS42" s="33"/>
      <c r="EUT42" s="33"/>
      <c r="EUU42" s="33"/>
      <c r="EUV42" s="33"/>
      <c r="EUW42" s="33"/>
      <c r="EUX42" s="33"/>
      <c r="EUY42" s="33"/>
      <c r="EUZ42" s="33"/>
      <c r="EVA42" s="33"/>
      <c r="EVB42" s="33"/>
      <c r="EVC42" s="33"/>
      <c r="EVD42" s="33"/>
      <c r="EVE42" s="33"/>
      <c r="EVF42" s="33"/>
      <c r="EVG42" s="33"/>
      <c r="EVH42" s="33"/>
      <c r="EVI42" s="33"/>
      <c r="EVJ42" s="33"/>
      <c r="EVK42" s="33"/>
      <c r="EVL42" s="33"/>
      <c r="EVM42" s="33"/>
      <c r="EVN42" s="33"/>
      <c r="EVO42" s="33"/>
      <c r="EVP42" s="33"/>
      <c r="EVQ42" s="33"/>
      <c r="EVR42" s="33"/>
      <c r="EVS42" s="33"/>
      <c r="EVT42" s="33"/>
      <c r="EVU42" s="33"/>
      <c r="EVV42" s="33"/>
      <c r="EVW42" s="33"/>
      <c r="EVX42" s="33"/>
      <c r="EVY42" s="33"/>
      <c r="EVZ42" s="33"/>
      <c r="EWA42" s="33"/>
      <c r="EWB42" s="33"/>
      <c r="EWC42" s="33"/>
      <c r="EWD42" s="33"/>
      <c r="EWE42" s="33"/>
      <c r="EWF42" s="33"/>
      <c r="EWG42" s="33"/>
      <c r="EWH42" s="33"/>
      <c r="EWI42" s="33"/>
      <c r="EWJ42" s="33"/>
      <c r="EWK42" s="33"/>
      <c r="EWL42" s="33"/>
      <c r="EWM42" s="33"/>
      <c r="EWN42" s="33"/>
      <c r="EWO42" s="33"/>
      <c r="EWP42" s="33"/>
      <c r="EWQ42" s="33"/>
      <c r="EWR42" s="33"/>
      <c r="EWS42" s="33"/>
      <c r="EWT42" s="33"/>
      <c r="EWU42" s="33"/>
      <c r="EWV42" s="33"/>
      <c r="EWW42" s="33"/>
      <c r="EWX42" s="33"/>
      <c r="EWY42" s="33"/>
      <c r="EWZ42" s="33"/>
      <c r="EXA42" s="33"/>
      <c r="EXB42" s="33"/>
      <c r="EXC42" s="33"/>
      <c r="EXD42" s="33"/>
      <c r="EXE42" s="33"/>
      <c r="EXF42" s="33"/>
      <c r="EXG42" s="33"/>
      <c r="EXH42" s="33"/>
      <c r="EXI42" s="33"/>
      <c r="EXJ42" s="33"/>
      <c r="EXK42" s="33"/>
      <c r="EXL42" s="33"/>
      <c r="EXM42" s="33"/>
      <c r="EXN42" s="33"/>
      <c r="EXO42" s="33"/>
      <c r="EXP42" s="33"/>
      <c r="EXQ42" s="33"/>
      <c r="EXR42" s="33"/>
      <c r="EXS42" s="33"/>
      <c r="EXT42" s="33"/>
      <c r="EXU42" s="33"/>
      <c r="EXV42" s="33"/>
      <c r="EXW42" s="33"/>
      <c r="EXX42" s="33"/>
      <c r="EXY42" s="33"/>
      <c r="EXZ42" s="33"/>
      <c r="EYA42" s="33"/>
      <c r="EYB42" s="33"/>
      <c r="EYC42" s="33"/>
      <c r="EYD42" s="33"/>
      <c r="EYE42" s="33"/>
      <c r="EYF42" s="33"/>
      <c r="EYG42" s="33"/>
      <c r="EYH42" s="33"/>
      <c r="EYI42" s="33"/>
      <c r="EYJ42" s="33"/>
      <c r="EYK42" s="33"/>
      <c r="EYL42" s="33"/>
      <c r="EYM42" s="33"/>
      <c r="EYN42" s="33"/>
      <c r="EYO42" s="33"/>
      <c r="EYP42" s="33"/>
      <c r="EYQ42" s="33"/>
      <c r="EYR42" s="33"/>
      <c r="EYS42" s="33"/>
      <c r="EYT42" s="33"/>
      <c r="EYU42" s="33"/>
      <c r="EYV42" s="33"/>
      <c r="EYW42" s="33"/>
      <c r="EYX42" s="33"/>
      <c r="EYY42" s="33"/>
      <c r="EYZ42" s="33"/>
      <c r="EZA42" s="33"/>
      <c r="EZB42" s="33"/>
      <c r="EZC42" s="33"/>
      <c r="EZD42" s="33"/>
      <c r="EZE42" s="33"/>
      <c r="EZF42" s="33"/>
      <c r="EZG42" s="33"/>
      <c r="EZH42" s="33"/>
      <c r="EZI42" s="33"/>
      <c r="EZJ42" s="33"/>
      <c r="EZK42" s="33"/>
      <c r="EZL42" s="33"/>
      <c r="EZM42" s="33"/>
      <c r="EZN42" s="33"/>
      <c r="EZO42" s="33"/>
      <c r="EZP42" s="33"/>
      <c r="EZQ42" s="33"/>
      <c r="EZR42" s="33"/>
      <c r="EZS42" s="33"/>
      <c r="EZT42" s="33"/>
      <c r="EZU42" s="33"/>
      <c r="EZV42" s="33"/>
      <c r="EZW42" s="33"/>
      <c r="EZX42" s="33"/>
      <c r="EZY42" s="33"/>
      <c r="EZZ42" s="33"/>
      <c r="FAA42" s="33"/>
      <c r="FAB42" s="33"/>
      <c r="FAC42" s="33"/>
      <c r="FAD42" s="33"/>
      <c r="FAE42" s="33"/>
      <c r="FAF42" s="33"/>
      <c r="FAG42" s="33"/>
      <c r="FAH42" s="33"/>
      <c r="FAI42" s="33"/>
      <c r="FAJ42" s="33"/>
      <c r="FAK42" s="33"/>
      <c r="FAL42" s="33"/>
      <c r="FAM42" s="33"/>
      <c r="FAN42" s="33"/>
      <c r="FAO42" s="33"/>
      <c r="FAP42" s="33"/>
      <c r="FAQ42" s="33"/>
      <c r="FAR42" s="33"/>
      <c r="FAS42" s="33"/>
      <c r="FAT42" s="33"/>
      <c r="FAU42" s="33"/>
      <c r="FAV42" s="33"/>
      <c r="FAW42" s="33"/>
      <c r="FAX42" s="33"/>
      <c r="FAY42" s="33"/>
      <c r="FAZ42" s="33"/>
      <c r="FBA42" s="33"/>
      <c r="FBB42" s="33"/>
      <c r="FBC42" s="33"/>
      <c r="FBD42" s="33"/>
      <c r="FBE42" s="33"/>
      <c r="FBF42" s="33"/>
      <c r="FBG42" s="33"/>
      <c r="FBH42" s="33"/>
      <c r="FBI42" s="33"/>
      <c r="FBJ42" s="33"/>
      <c r="FBK42" s="33"/>
      <c r="FBL42" s="33"/>
      <c r="FBM42" s="33"/>
      <c r="FBN42" s="33"/>
      <c r="FBO42" s="33"/>
      <c r="FBP42" s="33"/>
      <c r="FBQ42" s="33"/>
      <c r="FBR42" s="33"/>
      <c r="FBS42" s="33"/>
      <c r="FBT42" s="33"/>
      <c r="FBU42" s="33"/>
      <c r="FBV42" s="33"/>
      <c r="FBW42" s="33"/>
      <c r="FBX42" s="33"/>
      <c r="FBY42" s="33"/>
      <c r="FBZ42" s="33"/>
      <c r="FCA42" s="33"/>
      <c r="FCB42" s="33"/>
      <c r="FCC42" s="33"/>
      <c r="FCD42" s="33"/>
      <c r="FCE42" s="33"/>
      <c r="FCF42" s="33"/>
      <c r="FCG42" s="33"/>
      <c r="FCH42" s="33"/>
      <c r="FCI42" s="33"/>
      <c r="FCJ42" s="33"/>
      <c r="FCK42" s="33"/>
      <c r="FCL42" s="33"/>
      <c r="FCM42" s="33"/>
      <c r="FCN42" s="33"/>
      <c r="FCO42" s="33"/>
      <c r="FCP42" s="33"/>
      <c r="FCQ42" s="33"/>
      <c r="FCR42" s="33"/>
      <c r="FCS42" s="33"/>
      <c r="FCT42" s="33"/>
      <c r="FCU42" s="33"/>
      <c r="FCV42" s="33"/>
      <c r="FCW42" s="33"/>
      <c r="FCX42" s="33"/>
      <c r="FCY42" s="33"/>
      <c r="FCZ42" s="33"/>
      <c r="FDA42" s="33"/>
      <c r="FDB42" s="33"/>
      <c r="FDC42" s="33"/>
      <c r="FDD42" s="33"/>
      <c r="FDE42" s="33"/>
      <c r="FDF42" s="33"/>
      <c r="FDG42" s="33"/>
      <c r="FDH42" s="33"/>
      <c r="FDI42" s="33"/>
      <c r="FDJ42" s="33"/>
      <c r="FDK42" s="33"/>
      <c r="FDL42" s="33"/>
      <c r="FDM42" s="33"/>
      <c r="FDN42" s="33"/>
      <c r="FDO42" s="33"/>
      <c r="FDP42" s="33"/>
      <c r="FDQ42" s="33"/>
      <c r="FDR42" s="33"/>
      <c r="FDS42" s="33"/>
      <c r="FDT42" s="33"/>
      <c r="FDU42" s="33"/>
      <c r="FDV42" s="33"/>
      <c r="FDW42" s="33"/>
      <c r="FDX42" s="33"/>
      <c r="FDY42" s="33"/>
      <c r="FDZ42" s="33"/>
      <c r="FEA42" s="33"/>
      <c r="FEB42" s="33"/>
      <c r="FEC42" s="33"/>
      <c r="FED42" s="33"/>
      <c r="FEE42" s="33"/>
      <c r="FEF42" s="33"/>
      <c r="FEG42" s="33"/>
      <c r="FEH42" s="33"/>
      <c r="FEI42" s="33"/>
      <c r="FEJ42" s="33"/>
      <c r="FEK42" s="33"/>
      <c r="FEL42" s="33"/>
      <c r="FEM42" s="33"/>
      <c r="FEN42" s="33"/>
      <c r="FEO42" s="33"/>
      <c r="FEP42" s="33"/>
      <c r="FEQ42" s="33"/>
      <c r="FER42" s="33"/>
      <c r="FES42" s="33"/>
      <c r="FET42" s="33"/>
      <c r="FEU42" s="33"/>
      <c r="FEV42" s="33"/>
      <c r="FEW42" s="33"/>
      <c r="FEX42" s="33"/>
      <c r="FEY42" s="33"/>
      <c r="FEZ42" s="33"/>
      <c r="FFA42" s="33"/>
      <c r="FFB42" s="33"/>
      <c r="FFC42" s="33"/>
      <c r="FFD42" s="33"/>
      <c r="FFE42" s="33"/>
      <c r="FFF42" s="33"/>
      <c r="FFG42" s="33"/>
      <c r="FFH42" s="33"/>
      <c r="FFI42" s="33"/>
      <c r="FFJ42" s="33"/>
      <c r="FFK42" s="33"/>
      <c r="FFL42" s="33"/>
      <c r="FFM42" s="33"/>
      <c r="FFN42" s="33"/>
      <c r="FFO42" s="33"/>
      <c r="FFP42" s="33"/>
      <c r="FFQ42" s="33"/>
      <c r="FFR42" s="33"/>
      <c r="FFS42" s="33"/>
      <c r="FFT42" s="33"/>
      <c r="FFU42" s="33"/>
      <c r="FFV42" s="33"/>
      <c r="FFW42" s="33"/>
      <c r="FFX42" s="33"/>
      <c r="FFY42" s="33"/>
      <c r="FFZ42" s="33"/>
      <c r="FGA42" s="33"/>
      <c r="FGB42" s="33"/>
      <c r="FGC42" s="33"/>
      <c r="FGD42" s="33"/>
      <c r="FGE42" s="33"/>
      <c r="FGF42" s="33"/>
      <c r="FGG42" s="33"/>
      <c r="FGH42" s="33"/>
      <c r="FGI42" s="33"/>
      <c r="FGJ42" s="33"/>
      <c r="FGK42" s="33"/>
      <c r="FGL42" s="33"/>
      <c r="FGM42" s="33"/>
      <c r="FGN42" s="33"/>
      <c r="FGO42" s="33"/>
      <c r="FGP42" s="33"/>
      <c r="FGQ42" s="33"/>
      <c r="FGR42" s="33"/>
      <c r="FGS42" s="33"/>
      <c r="FGT42" s="33"/>
      <c r="FGU42" s="33"/>
      <c r="FGV42" s="33"/>
      <c r="FGW42" s="33"/>
      <c r="FGX42" s="33"/>
      <c r="FGY42" s="33"/>
      <c r="FGZ42" s="33"/>
      <c r="FHA42" s="33"/>
      <c r="FHB42" s="33"/>
      <c r="FHC42" s="33"/>
      <c r="FHD42" s="33"/>
      <c r="FHE42" s="33"/>
      <c r="FHF42" s="33"/>
      <c r="FHG42" s="33"/>
      <c r="FHH42" s="33"/>
      <c r="FHI42" s="33"/>
      <c r="FHJ42" s="33"/>
      <c r="FHK42" s="33"/>
      <c r="FHL42" s="33"/>
      <c r="FHM42" s="33"/>
      <c r="FHN42" s="33"/>
      <c r="FHO42" s="33"/>
      <c r="FHP42" s="33"/>
      <c r="FHQ42" s="33"/>
      <c r="FHR42" s="33"/>
      <c r="FHS42" s="33"/>
      <c r="FHT42" s="33"/>
      <c r="FHU42" s="33"/>
      <c r="FHV42" s="33"/>
      <c r="FHW42" s="33"/>
      <c r="FHX42" s="33"/>
      <c r="FHY42" s="33"/>
      <c r="FHZ42" s="33"/>
      <c r="FIA42" s="33"/>
      <c r="FIB42" s="33"/>
      <c r="FIC42" s="33"/>
      <c r="FID42" s="33"/>
      <c r="FIE42" s="33"/>
      <c r="FIF42" s="33"/>
      <c r="FIG42" s="33"/>
      <c r="FIH42" s="33"/>
      <c r="FII42" s="33"/>
      <c r="FIJ42" s="33"/>
      <c r="FIK42" s="33"/>
      <c r="FIL42" s="33"/>
      <c r="FIM42" s="33"/>
      <c r="FIN42" s="33"/>
      <c r="FIO42" s="33"/>
      <c r="FIP42" s="33"/>
      <c r="FIQ42" s="33"/>
      <c r="FIR42" s="33"/>
      <c r="FIS42" s="33"/>
      <c r="FIT42" s="33"/>
      <c r="FIU42" s="33"/>
      <c r="FIV42" s="33"/>
      <c r="FIW42" s="33"/>
      <c r="FIX42" s="33"/>
      <c r="FIY42" s="33"/>
      <c r="FIZ42" s="33"/>
      <c r="FJA42" s="33"/>
      <c r="FJB42" s="33"/>
      <c r="FJC42" s="33"/>
      <c r="FJD42" s="33"/>
      <c r="FJE42" s="33"/>
      <c r="FJF42" s="33"/>
      <c r="FJG42" s="33"/>
      <c r="FJH42" s="33"/>
      <c r="FJI42" s="33"/>
      <c r="FJJ42" s="33"/>
      <c r="FJK42" s="33"/>
      <c r="FJL42" s="33"/>
      <c r="FJM42" s="33"/>
      <c r="FJN42" s="33"/>
      <c r="FJO42" s="33"/>
      <c r="FJP42" s="33"/>
      <c r="FJQ42" s="33"/>
      <c r="FJR42" s="33"/>
      <c r="FJS42" s="33"/>
      <c r="FJT42" s="33"/>
      <c r="FJU42" s="33"/>
      <c r="FJV42" s="33"/>
      <c r="FJW42" s="33"/>
      <c r="FJX42" s="33"/>
      <c r="FJY42" s="33"/>
      <c r="FJZ42" s="33"/>
      <c r="FKA42" s="33"/>
      <c r="FKB42" s="33"/>
      <c r="FKC42" s="33"/>
      <c r="FKD42" s="33"/>
      <c r="FKE42" s="33"/>
      <c r="FKF42" s="33"/>
      <c r="FKG42" s="33"/>
      <c r="FKH42" s="33"/>
      <c r="FKI42" s="33"/>
      <c r="FKJ42" s="33"/>
      <c r="FKK42" s="33"/>
      <c r="FKL42" s="33"/>
      <c r="FKM42" s="33"/>
      <c r="FKN42" s="33"/>
      <c r="FKO42" s="33"/>
      <c r="FKP42" s="33"/>
      <c r="FKQ42" s="33"/>
      <c r="FKR42" s="33"/>
      <c r="FKS42" s="33"/>
      <c r="FKT42" s="33"/>
      <c r="FKU42" s="33"/>
      <c r="FKV42" s="33"/>
      <c r="FKW42" s="33"/>
      <c r="FKX42" s="33"/>
      <c r="FKY42" s="33"/>
      <c r="FKZ42" s="33"/>
      <c r="FLA42" s="33"/>
      <c r="FLB42" s="33"/>
      <c r="FLC42" s="33"/>
      <c r="FLD42" s="33"/>
      <c r="FLE42" s="33"/>
      <c r="FLF42" s="33"/>
      <c r="FLG42" s="33"/>
      <c r="FLH42" s="33"/>
      <c r="FLI42" s="33"/>
      <c r="FLJ42" s="33"/>
      <c r="FLK42" s="33"/>
      <c r="FLL42" s="33"/>
      <c r="FLM42" s="33"/>
      <c r="FLN42" s="33"/>
      <c r="FLO42" s="33"/>
      <c r="FLP42" s="33"/>
      <c r="FLQ42" s="33"/>
      <c r="FLR42" s="33"/>
      <c r="FLS42" s="33"/>
      <c r="FLT42" s="33"/>
      <c r="FLU42" s="33"/>
      <c r="FLV42" s="33"/>
      <c r="FLW42" s="33"/>
      <c r="FLX42" s="33"/>
      <c r="FLY42" s="33"/>
      <c r="FLZ42" s="33"/>
      <c r="FMA42" s="33"/>
      <c r="FMB42" s="33"/>
      <c r="FMC42" s="33"/>
      <c r="FMD42" s="33"/>
      <c r="FME42" s="33"/>
      <c r="FMF42" s="33"/>
      <c r="FMG42" s="33"/>
      <c r="FMH42" s="33"/>
      <c r="FMI42" s="33"/>
      <c r="FMJ42" s="33"/>
      <c r="FMK42" s="33"/>
      <c r="FML42" s="33"/>
      <c r="FMM42" s="33"/>
      <c r="FMN42" s="33"/>
      <c r="FMO42" s="33"/>
      <c r="FMP42" s="33"/>
      <c r="FMQ42" s="33"/>
      <c r="FMR42" s="33"/>
      <c r="FMS42" s="33"/>
      <c r="FMT42" s="33"/>
      <c r="FMU42" s="33"/>
      <c r="FMV42" s="33"/>
      <c r="FMW42" s="33"/>
      <c r="FMX42" s="33"/>
      <c r="FMY42" s="33"/>
      <c r="FMZ42" s="33"/>
      <c r="FNA42" s="33"/>
      <c r="FNB42" s="33"/>
      <c r="FNC42" s="33"/>
      <c r="FND42" s="33"/>
      <c r="FNE42" s="33"/>
      <c r="FNF42" s="33"/>
      <c r="FNG42" s="33"/>
      <c r="FNH42" s="33"/>
      <c r="FNI42" s="33"/>
      <c r="FNJ42" s="33"/>
      <c r="FNK42" s="33"/>
      <c r="FNL42" s="33"/>
      <c r="FNM42" s="33"/>
      <c r="FNN42" s="33"/>
      <c r="FNO42" s="33"/>
      <c r="FNP42" s="33"/>
      <c r="FNQ42" s="33"/>
      <c r="FNR42" s="33"/>
      <c r="FNS42" s="33"/>
      <c r="FNT42" s="33"/>
      <c r="FNU42" s="33"/>
      <c r="FNV42" s="33"/>
      <c r="FNW42" s="33"/>
      <c r="FNX42" s="33"/>
      <c r="FNY42" s="33"/>
      <c r="FNZ42" s="33"/>
      <c r="FOA42" s="33"/>
      <c r="FOB42" s="33"/>
      <c r="FOC42" s="33"/>
      <c r="FOD42" s="33"/>
      <c r="FOE42" s="33"/>
      <c r="FOF42" s="33"/>
      <c r="FOG42" s="33"/>
      <c r="FOH42" s="33"/>
      <c r="FOI42" s="33"/>
      <c r="FOJ42" s="33"/>
      <c r="FOK42" s="33"/>
      <c r="FOL42" s="33"/>
      <c r="FOM42" s="33"/>
      <c r="FON42" s="33"/>
      <c r="FOO42" s="33"/>
      <c r="FOP42" s="33"/>
      <c r="FOQ42" s="33"/>
      <c r="FOR42" s="33"/>
      <c r="FOS42" s="33"/>
      <c r="FOT42" s="33"/>
      <c r="FOU42" s="33"/>
      <c r="FOV42" s="33"/>
      <c r="FOW42" s="33"/>
      <c r="FOX42" s="33"/>
      <c r="FOY42" s="33"/>
      <c r="FOZ42" s="33"/>
      <c r="FPA42" s="33"/>
      <c r="FPB42" s="33"/>
      <c r="FPC42" s="33"/>
      <c r="FPD42" s="33"/>
      <c r="FPE42" s="33"/>
      <c r="FPF42" s="33"/>
      <c r="FPG42" s="33"/>
      <c r="FPH42" s="33"/>
      <c r="FPI42" s="33"/>
      <c r="FPJ42" s="33"/>
      <c r="FPK42" s="33"/>
      <c r="FPL42" s="33"/>
      <c r="FPM42" s="33"/>
      <c r="FPN42" s="33"/>
      <c r="FPO42" s="33"/>
      <c r="FPP42" s="33"/>
      <c r="FPQ42" s="33"/>
      <c r="FPR42" s="33"/>
      <c r="FPS42" s="33"/>
      <c r="FPT42" s="33"/>
      <c r="FPU42" s="33"/>
      <c r="FPV42" s="33"/>
      <c r="FPW42" s="33"/>
      <c r="FPX42" s="33"/>
      <c r="FPY42" s="33"/>
      <c r="FPZ42" s="33"/>
      <c r="FQA42" s="33"/>
      <c r="FQB42" s="33"/>
      <c r="FQC42" s="33"/>
      <c r="FQD42" s="33"/>
      <c r="FQE42" s="33"/>
      <c r="FQF42" s="33"/>
      <c r="FQG42" s="33"/>
      <c r="FQH42" s="33"/>
      <c r="FQI42" s="33"/>
      <c r="FQJ42" s="33"/>
      <c r="FQK42" s="33"/>
      <c r="FQL42" s="33"/>
      <c r="FQM42" s="33"/>
      <c r="FQN42" s="33"/>
      <c r="FQO42" s="33"/>
      <c r="FQP42" s="33"/>
      <c r="FQQ42" s="33"/>
      <c r="FQR42" s="33"/>
      <c r="FQS42" s="33"/>
      <c r="FQT42" s="33"/>
      <c r="FQU42" s="33"/>
      <c r="FQV42" s="33"/>
      <c r="FQW42" s="33"/>
      <c r="FQX42" s="33"/>
      <c r="FQY42" s="33"/>
      <c r="FQZ42" s="33"/>
      <c r="FRA42" s="33"/>
      <c r="FRB42" s="33"/>
      <c r="FRC42" s="33"/>
      <c r="FRD42" s="33"/>
      <c r="FRE42" s="33"/>
      <c r="FRF42" s="33"/>
      <c r="FRG42" s="33"/>
      <c r="FRH42" s="33"/>
      <c r="FRI42" s="33"/>
      <c r="FRJ42" s="33"/>
      <c r="FRK42" s="33"/>
      <c r="FRL42" s="33"/>
      <c r="FRM42" s="33"/>
      <c r="FRN42" s="33"/>
      <c r="FRO42" s="33"/>
      <c r="FRP42" s="33"/>
      <c r="FRQ42" s="33"/>
      <c r="FRR42" s="33"/>
      <c r="FRS42" s="33"/>
      <c r="FRT42" s="33"/>
      <c r="FRU42" s="33"/>
      <c r="FRV42" s="33"/>
      <c r="FRW42" s="33"/>
      <c r="FRX42" s="33"/>
      <c r="FRY42" s="33"/>
      <c r="FRZ42" s="33"/>
      <c r="FSA42" s="33"/>
      <c r="FSB42" s="33"/>
      <c r="FSC42" s="33"/>
      <c r="FSD42" s="33"/>
      <c r="FSE42" s="33"/>
      <c r="FSF42" s="33"/>
      <c r="FSG42" s="33"/>
      <c r="FSH42" s="33"/>
      <c r="FSI42" s="33"/>
      <c r="FSJ42" s="33"/>
      <c r="FSK42" s="33"/>
      <c r="FSL42" s="33"/>
      <c r="FSM42" s="33"/>
      <c r="FSN42" s="33"/>
      <c r="FSO42" s="33"/>
      <c r="FSP42" s="33"/>
      <c r="FSQ42" s="33"/>
      <c r="FSR42" s="33"/>
      <c r="FSS42" s="33"/>
      <c r="FST42" s="33"/>
      <c r="FSU42" s="33"/>
      <c r="FSV42" s="33"/>
      <c r="FSW42" s="33"/>
      <c r="FSX42" s="33"/>
      <c r="FSY42" s="33"/>
      <c r="FSZ42" s="33"/>
      <c r="FTA42" s="33"/>
      <c r="FTB42" s="33"/>
      <c r="FTC42" s="33"/>
      <c r="FTD42" s="33"/>
      <c r="FTE42" s="33"/>
      <c r="FTF42" s="33"/>
      <c r="FTG42" s="33"/>
      <c r="FTH42" s="33"/>
      <c r="FTI42" s="33"/>
      <c r="FTJ42" s="33"/>
      <c r="FTK42" s="33"/>
      <c r="FTL42" s="33"/>
      <c r="FTM42" s="33"/>
      <c r="FTN42" s="33"/>
      <c r="FTO42" s="33"/>
      <c r="FTP42" s="33"/>
      <c r="FTQ42" s="33"/>
      <c r="FTR42" s="33"/>
      <c r="FTS42" s="33"/>
      <c r="FTT42" s="33"/>
      <c r="FTU42" s="33"/>
      <c r="FTV42" s="33"/>
      <c r="FTW42" s="33"/>
      <c r="FTX42" s="33"/>
      <c r="FTY42" s="33"/>
      <c r="FTZ42" s="33"/>
      <c r="FUA42" s="33"/>
      <c r="FUB42" s="33"/>
      <c r="FUC42" s="33"/>
      <c r="FUD42" s="33"/>
      <c r="FUE42" s="33"/>
      <c r="FUF42" s="33"/>
      <c r="FUG42" s="33"/>
      <c r="FUH42" s="33"/>
      <c r="FUI42" s="33"/>
      <c r="FUJ42" s="33"/>
      <c r="FUK42" s="33"/>
      <c r="FUL42" s="33"/>
      <c r="FUM42" s="33"/>
      <c r="FUN42" s="33"/>
      <c r="FUO42" s="33"/>
      <c r="FUP42" s="33"/>
      <c r="FUQ42" s="33"/>
      <c r="FUR42" s="33"/>
      <c r="FUS42" s="33"/>
      <c r="FUT42" s="33"/>
      <c r="FUU42" s="33"/>
      <c r="FUV42" s="33"/>
      <c r="FUW42" s="33"/>
      <c r="FUX42" s="33"/>
      <c r="FUY42" s="33"/>
      <c r="FUZ42" s="33"/>
      <c r="FVA42" s="33"/>
      <c r="FVB42" s="33"/>
      <c r="FVC42" s="33"/>
      <c r="FVD42" s="33"/>
      <c r="FVE42" s="33"/>
      <c r="FVF42" s="33"/>
      <c r="FVG42" s="33"/>
      <c r="FVH42" s="33"/>
      <c r="FVI42" s="33"/>
      <c r="FVJ42" s="33"/>
      <c r="FVK42" s="33"/>
      <c r="FVL42" s="33"/>
      <c r="FVM42" s="33"/>
      <c r="FVN42" s="33"/>
      <c r="FVO42" s="33"/>
      <c r="FVP42" s="33"/>
      <c r="FVQ42" s="33"/>
      <c r="FVR42" s="33"/>
      <c r="FVS42" s="33"/>
      <c r="FVT42" s="33"/>
      <c r="FVU42" s="33"/>
      <c r="FVV42" s="33"/>
      <c r="FVW42" s="33"/>
      <c r="FVX42" s="33"/>
      <c r="FVY42" s="33"/>
      <c r="FVZ42" s="33"/>
      <c r="FWA42" s="33"/>
      <c r="FWB42" s="33"/>
      <c r="FWC42" s="33"/>
      <c r="FWD42" s="33"/>
      <c r="FWE42" s="33"/>
      <c r="FWF42" s="33"/>
      <c r="FWG42" s="33"/>
      <c r="FWH42" s="33"/>
      <c r="FWI42" s="33"/>
      <c r="FWJ42" s="33"/>
      <c r="FWK42" s="33"/>
      <c r="FWL42" s="33"/>
      <c r="FWM42" s="33"/>
      <c r="FWN42" s="33"/>
      <c r="FWO42" s="33"/>
      <c r="FWP42" s="33"/>
      <c r="FWQ42" s="33"/>
      <c r="FWR42" s="33"/>
      <c r="FWS42" s="33"/>
      <c r="FWT42" s="33"/>
      <c r="FWU42" s="33"/>
      <c r="FWV42" s="33"/>
      <c r="FWW42" s="33"/>
      <c r="FWX42" s="33"/>
      <c r="FWY42" s="33"/>
      <c r="FWZ42" s="33"/>
      <c r="FXA42" s="33"/>
      <c r="FXB42" s="33"/>
      <c r="FXC42" s="33"/>
      <c r="FXD42" s="33"/>
      <c r="FXE42" s="33"/>
      <c r="FXF42" s="33"/>
      <c r="FXG42" s="33"/>
      <c r="FXH42" s="33"/>
      <c r="FXI42" s="33"/>
      <c r="FXJ42" s="33"/>
      <c r="FXK42" s="33"/>
      <c r="FXL42" s="33"/>
      <c r="FXM42" s="33"/>
      <c r="FXN42" s="33"/>
      <c r="FXO42" s="33"/>
      <c r="FXP42" s="33"/>
      <c r="FXQ42" s="33"/>
      <c r="FXR42" s="33"/>
      <c r="FXS42" s="33"/>
      <c r="FXT42" s="33"/>
      <c r="FXU42" s="33"/>
      <c r="FXV42" s="33"/>
      <c r="FXW42" s="33"/>
      <c r="FXX42" s="33"/>
      <c r="FXY42" s="33"/>
      <c r="FXZ42" s="33"/>
      <c r="FYA42" s="33"/>
      <c r="FYB42" s="33"/>
      <c r="FYC42" s="33"/>
      <c r="FYD42" s="33"/>
      <c r="FYE42" s="33"/>
      <c r="FYF42" s="33"/>
      <c r="FYG42" s="33"/>
      <c r="FYH42" s="33"/>
      <c r="FYI42" s="33"/>
      <c r="FYJ42" s="33"/>
      <c r="FYK42" s="33"/>
      <c r="FYL42" s="33"/>
      <c r="FYM42" s="33"/>
      <c r="FYN42" s="33"/>
      <c r="FYO42" s="33"/>
      <c r="FYP42" s="33"/>
      <c r="FYQ42" s="33"/>
      <c r="FYR42" s="33"/>
      <c r="FYS42" s="33"/>
      <c r="FYT42" s="33"/>
      <c r="FYU42" s="33"/>
      <c r="FYV42" s="33"/>
      <c r="FYW42" s="33"/>
      <c r="FYX42" s="33"/>
      <c r="FYY42" s="33"/>
      <c r="FYZ42" s="33"/>
      <c r="FZA42" s="33"/>
      <c r="FZB42" s="33"/>
      <c r="FZC42" s="33"/>
      <c r="FZD42" s="33"/>
      <c r="FZE42" s="33"/>
      <c r="FZF42" s="33"/>
      <c r="FZG42" s="33"/>
      <c r="FZH42" s="33"/>
      <c r="FZI42" s="33"/>
      <c r="FZJ42" s="33"/>
      <c r="FZK42" s="33"/>
      <c r="FZL42" s="33"/>
      <c r="FZM42" s="33"/>
      <c r="FZN42" s="33"/>
      <c r="FZO42" s="33"/>
      <c r="FZP42" s="33"/>
      <c r="FZQ42" s="33"/>
      <c r="FZR42" s="33"/>
      <c r="FZS42" s="33"/>
      <c r="FZT42" s="33"/>
      <c r="FZU42" s="33"/>
      <c r="FZV42" s="33"/>
      <c r="FZW42" s="33"/>
      <c r="FZX42" s="33"/>
      <c r="FZY42" s="33"/>
      <c r="FZZ42" s="33"/>
      <c r="GAA42" s="33"/>
      <c r="GAB42" s="33"/>
      <c r="GAC42" s="33"/>
      <c r="GAD42" s="33"/>
      <c r="GAE42" s="33"/>
      <c r="GAF42" s="33"/>
      <c r="GAG42" s="33"/>
      <c r="GAH42" s="33"/>
      <c r="GAI42" s="33"/>
      <c r="GAJ42" s="33"/>
      <c r="GAK42" s="33"/>
      <c r="GAL42" s="33"/>
      <c r="GAM42" s="33"/>
      <c r="GAN42" s="33"/>
      <c r="GAO42" s="33"/>
      <c r="GAP42" s="33"/>
      <c r="GAQ42" s="33"/>
      <c r="GAR42" s="33"/>
      <c r="GAS42" s="33"/>
      <c r="GAT42" s="33"/>
      <c r="GAU42" s="33"/>
      <c r="GAV42" s="33"/>
      <c r="GAW42" s="33"/>
      <c r="GAX42" s="33"/>
      <c r="GAY42" s="33"/>
      <c r="GAZ42" s="33"/>
      <c r="GBA42" s="33"/>
      <c r="GBB42" s="33"/>
      <c r="GBC42" s="33"/>
      <c r="GBD42" s="33"/>
      <c r="GBE42" s="33"/>
      <c r="GBF42" s="33"/>
      <c r="GBG42" s="33"/>
      <c r="GBH42" s="33"/>
      <c r="GBI42" s="33"/>
      <c r="GBJ42" s="33"/>
      <c r="GBK42" s="33"/>
      <c r="GBL42" s="33"/>
      <c r="GBM42" s="33"/>
      <c r="GBN42" s="33"/>
      <c r="GBO42" s="33"/>
      <c r="GBP42" s="33"/>
      <c r="GBQ42" s="33"/>
      <c r="GBR42" s="33"/>
      <c r="GBS42" s="33"/>
      <c r="GBT42" s="33"/>
      <c r="GBU42" s="33"/>
      <c r="GBV42" s="33"/>
      <c r="GBW42" s="33"/>
      <c r="GBX42" s="33"/>
      <c r="GBY42" s="33"/>
      <c r="GBZ42" s="33"/>
      <c r="GCA42" s="33"/>
      <c r="GCB42" s="33"/>
      <c r="GCC42" s="33"/>
      <c r="GCD42" s="33"/>
      <c r="GCE42" s="33"/>
      <c r="GCF42" s="33"/>
      <c r="GCG42" s="33"/>
      <c r="GCH42" s="33"/>
      <c r="GCI42" s="33"/>
      <c r="GCJ42" s="33"/>
      <c r="GCK42" s="33"/>
      <c r="GCL42" s="33"/>
      <c r="GCM42" s="33"/>
      <c r="GCN42" s="33"/>
      <c r="GCO42" s="33"/>
      <c r="GCP42" s="33"/>
      <c r="GCQ42" s="33"/>
      <c r="GCR42" s="33"/>
      <c r="GCS42" s="33"/>
      <c r="GCT42" s="33"/>
      <c r="GCU42" s="33"/>
      <c r="GCV42" s="33"/>
      <c r="GCW42" s="33"/>
      <c r="GCX42" s="33"/>
      <c r="GCY42" s="33"/>
      <c r="GCZ42" s="33"/>
      <c r="GDA42" s="33"/>
      <c r="GDB42" s="33"/>
      <c r="GDC42" s="33"/>
      <c r="GDD42" s="33"/>
      <c r="GDE42" s="33"/>
      <c r="GDF42" s="33"/>
      <c r="GDG42" s="33"/>
      <c r="GDH42" s="33"/>
      <c r="GDI42" s="33"/>
      <c r="GDJ42" s="33"/>
      <c r="GDK42" s="33"/>
      <c r="GDL42" s="33"/>
      <c r="GDM42" s="33"/>
      <c r="GDN42" s="33"/>
      <c r="GDO42" s="33"/>
      <c r="GDP42" s="33"/>
      <c r="GDQ42" s="33"/>
      <c r="GDR42" s="33"/>
      <c r="GDS42" s="33"/>
      <c r="GDT42" s="33"/>
      <c r="GDU42" s="33"/>
      <c r="GDV42" s="33"/>
      <c r="GDW42" s="33"/>
      <c r="GDX42" s="33"/>
      <c r="GDY42" s="33"/>
      <c r="GDZ42" s="33"/>
      <c r="GEA42" s="33"/>
      <c r="GEB42" s="33"/>
      <c r="GEC42" s="33"/>
      <c r="GED42" s="33"/>
      <c r="GEE42" s="33"/>
      <c r="GEF42" s="33"/>
      <c r="GEG42" s="33"/>
      <c r="GEH42" s="33"/>
      <c r="GEI42" s="33"/>
      <c r="GEJ42" s="33"/>
      <c r="GEK42" s="33"/>
      <c r="GEL42" s="33"/>
      <c r="GEM42" s="33"/>
      <c r="GEN42" s="33"/>
      <c r="GEO42" s="33"/>
      <c r="GEP42" s="33"/>
      <c r="GEQ42" s="33"/>
      <c r="GER42" s="33"/>
      <c r="GES42" s="33"/>
      <c r="GET42" s="33"/>
      <c r="GEU42" s="33"/>
      <c r="GEV42" s="33"/>
      <c r="GEW42" s="33"/>
      <c r="GEX42" s="33"/>
      <c r="GEY42" s="33"/>
      <c r="GEZ42" s="33"/>
      <c r="GFA42" s="33"/>
      <c r="GFB42" s="33"/>
      <c r="GFC42" s="33"/>
      <c r="GFD42" s="33"/>
      <c r="GFE42" s="33"/>
      <c r="GFF42" s="33"/>
      <c r="GFG42" s="33"/>
      <c r="GFH42" s="33"/>
      <c r="GFI42" s="33"/>
      <c r="GFJ42" s="33"/>
      <c r="GFK42" s="33"/>
      <c r="GFL42" s="33"/>
      <c r="GFM42" s="33"/>
      <c r="GFN42" s="33"/>
      <c r="GFO42" s="33"/>
      <c r="GFP42" s="33"/>
      <c r="GFQ42" s="33"/>
      <c r="GFR42" s="33"/>
      <c r="GFS42" s="33"/>
      <c r="GFT42" s="33"/>
      <c r="GFU42" s="33"/>
      <c r="GFV42" s="33"/>
      <c r="GFW42" s="33"/>
      <c r="GFX42" s="33"/>
      <c r="GFY42" s="33"/>
      <c r="GFZ42" s="33"/>
      <c r="GGA42" s="33"/>
      <c r="GGB42" s="33"/>
      <c r="GGC42" s="33"/>
      <c r="GGD42" s="33"/>
      <c r="GGE42" s="33"/>
      <c r="GGF42" s="33"/>
      <c r="GGG42" s="33"/>
      <c r="GGH42" s="33"/>
      <c r="GGI42" s="33"/>
      <c r="GGJ42" s="33"/>
      <c r="GGK42" s="33"/>
      <c r="GGL42" s="33"/>
      <c r="GGM42" s="33"/>
      <c r="GGN42" s="33"/>
      <c r="GGO42" s="33"/>
      <c r="GGP42" s="33"/>
      <c r="GGQ42" s="33"/>
      <c r="GGR42" s="33"/>
      <c r="GGS42" s="33"/>
      <c r="GGT42" s="33"/>
      <c r="GGU42" s="33"/>
      <c r="GGV42" s="33"/>
      <c r="GGW42" s="33"/>
      <c r="GGX42" s="33"/>
      <c r="GGY42" s="33"/>
      <c r="GGZ42" s="33"/>
      <c r="GHA42" s="33"/>
      <c r="GHB42" s="33"/>
      <c r="GHC42" s="33"/>
      <c r="GHD42" s="33"/>
      <c r="GHE42" s="33"/>
      <c r="GHF42" s="33"/>
      <c r="GHG42" s="33"/>
      <c r="GHH42" s="33"/>
      <c r="GHI42" s="33"/>
      <c r="GHJ42" s="33"/>
      <c r="GHK42" s="33"/>
      <c r="GHL42" s="33"/>
      <c r="GHM42" s="33"/>
      <c r="GHN42" s="33"/>
      <c r="GHO42" s="33"/>
      <c r="GHP42" s="33"/>
      <c r="GHQ42" s="33"/>
      <c r="GHR42" s="33"/>
      <c r="GHS42" s="33"/>
      <c r="GHT42" s="33"/>
      <c r="GHU42" s="33"/>
      <c r="GHV42" s="33"/>
      <c r="GHW42" s="33"/>
      <c r="GHX42" s="33"/>
      <c r="GHY42" s="33"/>
      <c r="GHZ42" s="33"/>
      <c r="GIA42" s="33"/>
      <c r="GIB42" s="33"/>
      <c r="GIC42" s="33"/>
      <c r="GID42" s="33"/>
      <c r="GIE42" s="33"/>
      <c r="GIF42" s="33"/>
      <c r="GIG42" s="33"/>
      <c r="GIH42" s="33"/>
      <c r="GII42" s="33"/>
      <c r="GIJ42" s="33"/>
      <c r="GIK42" s="33"/>
      <c r="GIL42" s="33"/>
      <c r="GIM42" s="33"/>
      <c r="GIN42" s="33"/>
      <c r="GIO42" s="33"/>
      <c r="GIP42" s="33"/>
      <c r="GIQ42" s="33"/>
      <c r="GIR42" s="33"/>
      <c r="GIS42" s="33"/>
      <c r="GIT42" s="33"/>
      <c r="GIU42" s="33"/>
      <c r="GIV42" s="33"/>
      <c r="GIW42" s="33"/>
      <c r="GIX42" s="33"/>
      <c r="GIY42" s="33"/>
      <c r="GIZ42" s="33"/>
      <c r="GJA42" s="33"/>
      <c r="GJB42" s="33"/>
      <c r="GJC42" s="33"/>
      <c r="GJD42" s="33"/>
      <c r="GJE42" s="33"/>
      <c r="GJF42" s="33"/>
      <c r="GJG42" s="33"/>
      <c r="GJH42" s="33"/>
      <c r="GJI42" s="33"/>
      <c r="GJJ42" s="33"/>
      <c r="GJK42" s="33"/>
      <c r="GJL42" s="33"/>
      <c r="GJM42" s="33"/>
      <c r="GJN42" s="33"/>
      <c r="GJO42" s="33"/>
      <c r="GJP42" s="33"/>
      <c r="GJQ42" s="33"/>
      <c r="GJR42" s="33"/>
      <c r="GJS42" s="33"/>
      <c r="GJT42" s="33"/>
      <c r="GJU42" s="33"/>
      <c r="GJV42" s="33"/>
      <c r="GJW42" s="33"/>
      <c r="GJX42" s="33"/>
      <c r="GJY42" s="33"/>
      <c r="GJZ42" s="33"/>
      <c r="GKA42" s="33"/>
      <c r="GKB42" s="33"/>
      <c r="GKC42" s="33"/>
      <c r="GKD42" s="33"/>
      <c r="GKE42" s="33"/>
      <c r="GKF42" s="33"/>
      <c r="GKG42" s="33"/>
      <c r="GKH42" s="33"/>
      <c r="GKI42" s="33"/>
      <c r="GKJ42" s="33"/>
      <c r="GKK42" s="33"/>
      <c r="GKL42" s="33"/>
      <c r="GKM42" s="33"/>
      <c r="GKN42" s="33"/>
      <c r="GKO42" s="33"/>
      <c r="GKP42" s="33"/>
      <c r="GKQ42" s="33"/>
      <c r="GKR42" s="33"/>
      <c r="GKS42" s="33"/>
      <c r="GKT42" s="33"/>
      <c r="GKU42" s="33"/>
      <c r="GKV42" s="33"/>
      <c r="GKW42" s="33"/>
      <c r="GKX42" s="33"/>
      <c r="GKY42" s="33"/>
      <c r="GKZ42" s="33"/>
      <c r="GLA42" s="33"/>
      <c r="GLB42" s="33"/>
      <c r="GLC42" s="33"/>
      <c r="GLD42" s="33"/>
      <c r="GLE42" s="33"/>
      <c r="GLF42" s="33"/>
      <c r="GLG42" s="33"/>
      <c r="GLH42" s="33"/>
      <c r="GLI42" s="33"/>
      <c r="GLJ42" s="33"/>
      <c r="GLK42" s="33"/>
      <c r="GLL42" s="33"/>
      <c r="GLM42" s="33"/>
      <c r="GLN42" s="33"/>
      <c r="GLO42" s="33"/>
      <c r="GLP42" s="33"/>
      <c r="GLQ42" s="33"/>
      <c r="GLR42" s="33"/>
      <c r="GLS42" s="33"/>
      <c r="GLT42" s="33"/>
      <c r="GLU42" s="33"/>
      <c r="GLV42" s="33"/>
      <c r="GLW42" s="33"/>
      <c r="GLX42" s="33"/>
      <c r="GLY42" s="33"/>
      <c r="GLZ42" s="33"/>
      <c r="GMA42" s="33"/>
      <c r="GMB42" s="33"/>
      <c r="GMC42" s="33"/>
      <c r="GMD42" s="33"/>
      <c r="GME42" s="33"/>
      <c r="GMF42" s="33"/>
      <c r="GMG42" s="33"/>
      <c r="GMH42" s="33"/>
      <c r="GMI42" s="33"/>
      <c r="GMJ42" s="33"/>
      <c r="GMK42" s="33"/>
      <c r="GML42" s="33"/>
      <c r="GMM42" s="33"/>
      <c r="GMN42" s="33"/>
      <c r="GMO42" s="33"/>
      <c r="GMP42" s="33"/>
      <c r="GMQ42" s="33"/>
      <c r="GMR42" s="33"/>
      <c r="GMS42" s="33"/>
      <c r="GMT42" s="33"/>
      <c r="GMU42" s="33"/>
      <c r="GMV42" s="33"/>
      <c r="GMW42" s="33"/>
      <c r="GMX42" s="33"/>
      <c r="GMY42" s="33"/>
      <c r="GMZ42" s="33"/>
      <c r="GNA42" s="33"/>
      <c r="GNB42" s="33"/>
      <c r="GNC42" s="33"/>
      <c r="GND42" s="33"/>
      <c r="GNE42" s="33"/>
      <c r="GNF42" s="33"/>
      <c r="GNG42" s="33"/>
      <c r="GNH42" s="33"/>
      <c r="GNI42" s="33"/>
      <c r="GNJ42" s="33"/>
      <c r="GNK42" s="33"/>
      <c r="GNL42" s="33"/>
      <c r="GNM42" s="33"/>
      <c r="GNN42" s="33"/>
      <c r="GNO42" s="33"/>
      <c r="GNP42" s="33"/>
      <c r="GNQ42" s="33"/>
      <c r="GNR42" s="33"/>
      <c r="GNS42" s="33"/>
      <c r="GNT42" s="33"/>
      <c r="GNU42" s="33"/>
      <c r="GNV42" s="33"/>
      <c r="GNW42" s="33"/>
      <c r="GNX42" s="33"/>
      <c r="GNY42" s="33"/>
      <c r="GNZ42" s="33"/>
      <c r="GOA42" s="33"/>
      <c r="GOB42" s="33"/>
      <c r="GOC42" s="33"/>
      <c r="GOD42" s="33"/>
      <c r="GOE42" s="33"/>
      <c r="GOF42" s="33"/>
      <c r="GOG42" s="33"/>
      <c r="GOH42" s="33"/>
      <c r="GOI42" s="33"/>
      <c r="GOJ42" s="33"/>
      <c r="GOK42" s="33"/>
      <c r="GOL42" s="33"/>
      <c r="GOM42" s="33"/>
      <c r="GON42" s="33"/>
      <c r="GOO42" s="33"/>
      <c r="GOP42" s="33"/>
      <c r="GOQ42" s="33"/>
      <c r="GOR42" s="33"/>
      <c r="GOS42" s="33"/>
      <c r="GOT42" s="33"/>
      <c r="GOU42" s="33"/>
      <c r="GOV42" s="33"/>
      <c r="GOW42" s="33"/>
      <c r="GOX42" s="33"/>
      <c r="GOY42" s="33"/>
      <c r="GOZ42" s="33"/>
      <c r="GPA42" s="33"/>
      <c r="GPB42" s="33"/>
      <c r="GPC42" s="33"/>
      <c r="GPD42" s="33"/>
      <c r="GPE42" s="33"/>
      <c r="GPF42" s="33"/>
      <c r="GPG42" s="33"/>
      <c r="GPH42" s="33"/>
      <c r="GPI42" s="33"/>
      <c r="GPJ42" s="33"/>
      <c r="GPK42" s="33"/>
      <c r="GPL42" s="33"/>
      <c r="GPM42" s="33"/>
      <c r="GPN42" s="33"/>
      <c r="GPO42" s="33"/>
      <c r="GPP42" s="33"/>
      <c r="GPQ42" s="33"/>
      <c r="GPR42" s="33"/>
      <c r="GPS42" s="33"/>
      <c r="GPT42" s="33"/>
      <c r="GPU42" s="33"/>
      <c r="GPV42" s="33"/>
      <c r="GPW42" s="33"/>
      <c r="GPX42" s="33"/>
      <c r="GPY42" s="33"/>
      <c r="GPZ42" s="33"/>
      <c r="GQA42" s="33"/>
      <c r="GQB42" s="33"/>
      <c r="GQC42" s="33"/>
      <c r="GQD42" s="33"/>
      <c r="GQE42" s="33"/>
      <c r="GQF42" s="33"/>
      <c r="GQG42" s="33"/>
      <c r="GQH42" s="33"/>
      <c r="GQI42" s="33"/>
      <c r="GQJ42" s="33"/>
      <c r="GQK42" s="33"/>
      <c r="GQL42" s="33"/>
      <c r="GQM42" s="33"/>
      <c r="GQN42" s="33"/>
      <c r="GQO42" s="33"/>
      <c r="GQP42" s="33"/>
      <c r="GQQ42" s="33"/>
      <c r="GQR42" s="33"/>
      <c r="GQS42" s="33"/>
      <c r="GQT42" s="33"/>
      <c r="GQU42" s="33"/>
      <c r="GQV42" s="33"/>
      <c r="GQW42" s="33"/>
      <c r="GQX42" s="33"/>
      <c r="GQY42" s="33"/>
      <c r="GQZ42" s="33"/>
      <c r="GRA42" s="33"/>
      <c r="GRB42" s="33"/>
      <c r="GRC42" s="33"/>
      <c r="GRD42" s="33"/>
      <c r="GRE42" s="33"/>
      <c r="GRF42" s="33"/>
      <c r="GRG42" s="33"/>
      <c r="GRH42" s="33"/>
      <c r="GRI42" s="33"/>
      <c r="GRJ42" s="33"/>
      <c r="GRK42" s="33"/>
      <c r="GRL42" s="33"/>
      <c r="GRM42" s="33"/>
      <c r="GRN42" s="33"/>
      <c r="GRO42" s="33"/>
      <c r="GRP42" s="33"/>
      <c r="GRQ42" s="33"/>
      <c r="GRR42" s="33"/>
      <c r="GRS42" s="33"/>
      <c r="GRT42" s="33"/>
      <c r="GRU42" s="33"/>
      <c r="GRV42" s="33"/>
      <c r="GRW42" s="33"/>
      <c r="GRX42" s="33"/>
      <c r="GRY42" s="33"/>
      <c r="GRZ42" s="33"/>
      <c r="GSA42" s="33"/>
      <c r="GSB42" s="33"/>
      <c r="GSC42" s="33"/>
      <c r="GSD42" s="33"/>
      <c r="GSE42" s="33"/>
      <c r="GSF42" s="33"/>
      <c r="GSG42" s="33"/>
      <c r="GSH42" s="33"/>
      <c r="GSI42" s="33"/>
      <c r="GSJ42" s="33"/>
      <c r="GSK42" s="33"/>
      <c r="GSL42" s="33"/>
      <c r="GSM42" s="33"/>
      <c r="GSN42" s="33"/>
      <c r="GSO42" s="33"/>
      <c r="GSP42" s="33"/>
      <c r="GSQ42" s="33"/>
      <c r="GSR42" s="33"/>
      <c r="GSS42" s="33"/>
      <c r="GST42" s="33"/>
      <c r="GSU42" s="33"/>
      <c r="GSV42" s="33"/>
      <c r="GSW42" s="33"/>
      <c r="GSX42" s="33"/>
      <c r="GSY42" s="33"/>
      <c r="GSZ42" s="33"/>
      <c r="GTA42" s="33"/>
      <c r="GTB42" s="33"/>
      <c r="GTC42" s="33"/>
      <c r="GTD42" s="33"/>
      <c r="GTE42" s="33"/>
      <c r="GTF42" s="33"/>
      <c r="GTG42" s="33"/>
      <c r="GTH42" s="33"/>
      <c r="GTI42" s="33"/>
      <c r="GTJ42" s="33"/>
      <c r="GTK42" s="33"/>
      <c r="GTL42" s="33"/>
      <c r="GTM42" s="33"/>
      <c r="GTN42" s="33"/>
      <c r="GTO42" s="33"/>
      <c r="GTP42" s="33"/>
      <c r="GTQ42" s="33"/>
      <c r="GTR42" s="33"/>
      <c r="GTS42" s="33"/>
      <c r="GTT42" s="33"/>
      <c r="GTU42" s="33"/>
      <c r="GTV42" s="33"/>
      <c r="GTW42" s="33"/>
      <c r="GTX42" s="33"/>
      <c r="GTY42" s="33"/>
      <c r="GTZ42" s="33"/>
      <c r="GUA42" s="33"/>
      <c r="GUB42" s="33"/>
      <c r="GUC42" s="33"/>
      <c r="GUD42" s="33"/>
      <c r="GUE42" s="33"/>
      <c r="GUF42" s="33"/>
      <c r="GUG42" s="33"/>
      <c r="GUH42" s="33"/>
      <c r="GUI42" s="33"/>
      <c r="GUJ42" s="33"/>
      <c r="GUK42" s="33"/>
      <c r="GUL42" s="33"/>
      <c r="GUM42" s="33"/>
      <c r="GUN42" s="33"/>
      <c r="GUO42" s="33"/>
      <c r="GUP42" s="33"/>
      <c r="GUQ42" s="33"/>
      <c r="GUR42" s="33"/>
      <c r="GUS42" s="33"/>
      <c r="GUT42" s="33"/>
      <c r="GUU42" s="33"/>
      <c r="GUV42" s="33"/>
      <c r="GUW42" s="33"/>
      <c r="GUX42" s="33"/>
      <c r="GUY42" s="33"/>
      <c r="GUZ42" s="33"/>
      <c r="GVA42" s="33"/>
      <c r="GVB42" s="33"/>
      <c r="GVC42" s="33"/>
      <c r="GVD42" s="33"/>
      <c r="GVE42" s="33"/>
      <c r="GVF42" s="33"/>
      <c r="GVG42" s="33"/>
      <c r="GVH42" s="33"/>
      <c r="GVI42" s="33"/>
      <c r="GVJ42" s="33"/>
      <c r="GVK42" s="33"/>
      <c r="GVL42" s="33"/>
      <c r="GVM42" s="33"/>
      <c r="GVN42" s="33"/>
      <c r="GVO42" s="33"/>
      <c r="GVP42" s="33"/>
      <c r="GVQ42" s="33"/>
      <c r="GVR42" s="33"/>
      <c r="GVS42" s="33"/>
      <c r="GVT42" s="33"/>
      <c r="GVU42" s="33"/>
      <c r="GVV42" s="33"/>
      <c r="GVW42" s="33"/>
      <c r="GVX42" s="33"/>
      <c r="GVY42" s="33"/>
      <c r="GVZ42" s="33"/>
      <c r="GWA42" s="33"/>
      <c r="GWB42" s="33"/>
      <c r="GWC42" s="33"/>
      <c r="GWD42" s="33"/>
      <c r="GWE42" s="33"/>
      <c r="GWF42" s="33"/>
      <c r="GWG42" s="33"/>
      <c r="GWH42" s="33"/>
      <c r="GWI42" s="33"/>
      <c r="GWJ42" s="33"/>
      <c r="GWK42" s="33"/>
      <c r="GWL42" s="33"/>
      <c r="GWM42" s="33"/>
      <c r="GWN42" s="33"/>
      <c r="GWO42" s="33"/>
      <c r="GWP42" s="33"/>
      <c r="GWQ42" s="33"/>
      <c r="GWR42" s="33"/>
      <c r="GWS42" s="33"/>
      <c r="GWT42" s="33"/>
      <c r="GWU42" s="33"/>
      <c r="GWV42" s="33"/>
      <c r="GWW42" s="33"/>
      <c r="GWX42" s="33"/>
      <c r="GWY42" s="33"/>
      <c r="GWZ42" s="33"/>
      <c r="GXA42" s="33"/>
      <c r="GXB42" s="33"/>
      <c r="GXC42" s="33"/>
      <c r="GXD42" s="33"/>
      <c r="GXE42" s="33"/>
      <c r="GXF42" s="33"/>
      <c r="GXG42" s="33"/>
      <c r="GXH42" s="33"/>
      <c r="GXI42" s="33"/>
      <c r="GXJ42" s="33"/>
      <c r="GXK42" s="33"/>
      <c r="GXL42" s="33"/>
      <c r="GXM42" s="33"/>
      <c r="GXN42" s="33"/>
      <c r="GXO42" s="33"/>
      <c r="GXP42" s="33"/>
      <c r="GXQ42" s="33"/>
      <c r="GXR42" s="33"/>
      <c r="GXS42" s="33"/>
      <c r="GXT42" s="33"/>
      <c r="GXU42" s="33"/>
      <c r="GXV42" s="33"/>
      <c r="GXW42" s="33"/>
      <c r="GXX42" s="33"/>
      <c r="GXY42" s="33"/>
      <c r="GXZ42" s="33"/>
      <c r="GYA42" s="33"/>
      <c r="GYB42" s="33"/>
      <c r="GYC42" s="33"/>
      <c r="GYD42" s="33"/>
      <c r="GYE42" s="33"/>
      <c r="GYF42" s="33"/>
      <c r="GYG42" s="33"/>
      <c r="GYH42" s="33"/>
      <c r="GYI42" s="33"/>
      <c r="GYJ42" s="33"/>
      <c r="GYK42" s="33"/>
      <c r="GYL42" s="33"/>
      <c r="GYM42" s="33"/>
      <c r="GYN42" s="33"/>
      <c r="GYO42" s="33"/>
      <c r="GYP42" s="33"/>
      <c r="GYQ42" s="33"/>
      <c r="GYR42" s="33"/>
      <c r="GYS42" s="33"/>
      <c r="GYT42" s="33"/>
      <c r="GYU42" s="33"/>
      <c r="GYV42" s="33"/>
      <c r="GYW42" s="33"/>
      <c r="GYX42" s="33"/>
      <c r="GYY42" s="33"/>
      <c r="GYZ42" s="33"/>
      <c r="GZA42" s="33"/>
      <c r="GZB42" s="33"/>
      <c r="GZC42" s="33"/>
      <c r="GZD42" s="33"/>
      <c r="GZE42" s="33"/>
      <c r="GZF42" s="33"/>
      <c r="GZG42" s="33"/>
      <c r="GZH42" s="33"/>
      <c r="GZI42" s="33"/>
      <c r="GZJ42" s="33"/>
      <c r="GZK42" s="33"/>
      <c r="GZL42" s="33"/>
      <c r="GZM42" s="33"/>
      <c r="GZN42" s="33"/>
      <c r="GZO42" s="33"/>
      <c r="GZP42" s="33"/>
      <c r="GZQ42" s="33"/>
      <c r="GZR42" s="33"/>
      <c r="GZS42" s="33"/>
      <c r="GZT42" s="33"/>
      <c r="GZU42" s="33"/>
      <c r="GZV42" s="33"/>
      <c r="GZW42" s="33"/>
      <c r="GZX42" s="33"/>
      <c r="GZY42" s="33"/>
      <c r="GZZ42" s="33"/>
      <c r="HAA42" s="33"/>
      <c r="HAB42" s="33"/>
      <c r="HAC42" s="33"/>
      <c r="HAD42" s="33"/>
      <c r="HAE42" s="33"/>
      <c r="HAF42" s="33"/>
      <c r="HAG42" s="33"/>
      <c r="HAH42" s="33"/>
      <c r="HAI42" s="33"/>
      <c r="HAJ42" s="33"/>
      <c r="HAK42" s="33"/>
      <c r="HAL42" s="33"/>
      <c r="HAM42" s="33"/>
      <c r="HAN42" s="33"/>
      <c r="HAO42" s="33"/>
      <c r="HAP42" s="33"/>
      <c r="HAQ42" s="33"/>
      <c r="HAR42" s="33"/>
      <c r="HAS42" s="33"/>
      <c r="HAT42" s="33"/>
      <c r="HAU42" s="33"/>
      <c r="HAV42" s="33"/>
      <c r="HAW42" s="33"/>
      <c r="HAX42" s="33"/>
      <c r="HAY42" s="33"/>
      <c r="HAZ42" s="33"/>
      <c r="HBA42" s="33"/>
      <c r="HBB42" s="33"/>
      <c r="HBC42" s="33"/>
      <c r="HBD42" s="33"/>
      <c r="HBE42" s="33"/>
      <c r="HBF42" s="33"/>
      <c r="HBG42" s="33"/>
      <c r="HBH42" s="33"/>
      <c r="HBI42" s="33"/>
      <c r="HBJ42" s="33"/>
      <c r="HBK42" s="33"/>
      <c r="HBL42" s="33"/>
      <c r="HBM42" s="33"/>
      <c r="HBN42" s="33"/>
      <c r="HBO42" s="33"/>
      <c r="HBP42" s="33"/>
      <c r="HBQ42" s="33"/>
      <c r="HBR42" s="33"/>
      <c r="HBS42" s="33"/>
      <c r="HBT42" s="33"/>
      <c r="HBU42" s="33"/>
      <c r="HBV42" s="33"/>
      <c r="HBW42" s="33"/>
      <c r="HBX42" s="33"/>
      <c r="HBY42" s="33"/>
      <c r="HBZ42" s="33"/>
      <c r="HCA42" s="33"/>
      <c r="HCB42" s="33"/>
      <c r="HCC42" s="33"/>
      <c r="HCD42" s="33"/>
      <c r="HCE42" s="33"/>
      <c r="HCF42" s="33"/>
      <c r="HCG42" s="33"/>
      <c r="HCH42" s="33"/>
      <c r="HCI42" s="33"/>
      <c r="HCJ42" s="33"/>
      <c r="HCK42" s="33"/>
      <c r="HCL42" s="33"/>
      <c r="HCM42" s="33"/>
      <c r="HCN42" s="33"/>
      <c r="HCO42" s="33"/>
      <c r="HCP42" s="33"/>
      <c r="HCQ42" s="33"/>
      <c r="HCR42" s="33"/>
      <c r="HCS42" s="33"/>
      <c r="HCT42" s="33"/>
      <c r="HCU42" s="33"/>
      <c r="HCV42" s="33"/>
      <c r="HCW42" s="33"/>
      <c r="HCX42" s="33"/>
      <c r="HCY42" s="33"/>
      <c r="HCZ42" s="33"/>
      <c r="HDA42" s="33"/>
      <c r="HDB42" s="33"/>
      <c r="HDC42" s="33"/>
      <c r="HDD42" s="33"/>
      <c r="HDE42" s="33"/>
      <c r="HDF42" s="33"/>
      <c r="HDG42" s="33"/>
      <c r="HDH42" s="33"/>
      <c r="HDI42" s="33"/>
      <c r="HDJ42" s="33"/>
      <c r="HDK42" s="33"/>
      <c r="HDL42" s="33"/>
      <c r="HDM42" s="33"/>
      <c r="HDN42" s="33"/>
      <c r="HDO42" s="33"/>
      <c r="HDP42" s="33"/>
      <c r="HDQ42" s="33"/>
      <c r="HDR42" s="33"/>
      <c r="HDS42" s="33"/>
      <c r="HDT42" s="33"/>
      <c r="HDU42" s="33"/>
      <c r="HDV42" s="33"/>
      <c r="HDW42" s="33"/>
      <c r="HDX42" s="33"/>
      <c r="HDY42" s="33"/>
      <c r="HDZ42" s="33"/>
      <c r="HEA42" s="33"/>
      <c r="HEB42" s="33"/>
      <c r="HEC42" s="33"/>
      <c r="HED42" s="33"/>
      <c r="HEE42" s="33"/>
      <c r="HEF42" s="33"/>
      <c r="HEG42" s="33"/>
      <c r="HEH42" s="33"/>
      <c r="HEI42" s="33"/>
      <c r="HEJ42" s="33"/>
      <c r="HEK42" s="33"/>
      <c r="HEL42" s="33"/>
      <c r="HEM42" s="33"/>
      <c r="HEN42" s="33"/>
      <c r="HEO42" s="33"/>
      <c r="HEP42" s="33"/>
      <c r="HEQ42" s="33"/>
      <c r="HER42" s="33"/>
      <c r="HES42" s="33"/>
      <c r="HET42" s="33"/>
      <c r="HEU42" s="33"/>
      <c r="HEV42" s="33"/>
      <c r="HEW42" s="33"/>
      <c r="HEX42" s="33"/>
      <c r="HEY42" s="33"/>
      <c r="HEZ42" s="33"/>
      <c r="HFA42" s="33"/>
      <c r="HFB42" s="33"/>
      <c r="HFC42" s="33"/>
      <c r="HFD42" s="33"/>
      <c r="HFE42" s="33"/>
      <c r="HFF42" s="33"/>
      <c r="HFG42" s="33"/>
      <c r="HFH42" s="33"/>
      <c r="HFI42" s="33"/>
      <c r="HFJ42" s="33"/>
      <c r="HFK42" s="33"/>
      <c r="HFL42" s="33"/>
      <c r="HFM42" s="33"/>
      <c r="HFN42" s="33"/>
      <c r="HFO42" s="33"/>
      <c r="HFP42" s="33"/>
      <c r="HFQ42" s="33"/>
      <c r="HFR42" s="33"/>
      <c r="HFS42" s="33"/>
      <c r="HFT42" s="33"/>
      <c r="HFU42" s="33"/>
      <c r="HFV42" s="33"/>
      <c r="HFW42" s="33"/>
      <c r="HFX42" s="33"/>
      <c r="HFY42" s="33"/>
      <c r="HFZ42" s="33"/>
      <c r="HGA42" s="33"/>
      <c r="HGB42" s="33"/>
      <c r="HGC42" s="33"/>
      <c r="HGD42" s="33"/>
      <c r="HGE42" s="33"/>
      <c r="HGF42" s="33"/>
      <c r="HGG42" s="33"/>
      <c r="HGH42" s="33"/>
      <c r="HGI42" s="33"/>
      <c r="HGJ42" s="33"/>
      <c r="HGK42" s="33"/>
      <c r="HGL42" s="33"/>
      <c r="HGM42" s="33"/>
      <c r="HGN42" s="33"/>
      <c r="HGO42" s="33"/>
      <c r="HGP42" s="33"/>
      <c r="HGQ42" s="33"/>
      <c r="HGR42" s="33"/>
      <c r="HGS42" s="33"/>
      <c r="HGT42" s="33"/>
      <c r="HGU42" s="33"/>
      <c r="HGV42" s="33"/>
      <c r="HGW42" s="33"/>
      <c r="HGX42" s="33"/>
      <c r="HGY42" s="33"/>
      <c r="HGZ42" s="33"/>
      <c r="HHA42" s="33"/>
      <c r="HHB42" s="33"/>
      <c r="HHC42" s="33"/>
      <c r="HHD42" s="33"/>
      <c r="HHE42" s="33"/>
      <c r="HHF42" s="33"/>
      <c r="HHG42" s="33"/>
      <c r="HHH42" s="33"/>
      <c r="HHI42" s="33"/>
      <c r="HHJ42" s="33"/>
      <c r="HHK42" s="33"/>
      <c r="HHL42" s="33"/>
      <c r="HHM42" s="33"/>
      <c r="HHN42" s="33"/>
      <c r="HHO42" s="33"/>
      <c r="HHP42" s="33"/>
      <c r="HHQ42" s="33"/>
      <c r="HHR42" s="33"/>
      <c r="HHS42" s="33"/>
      <c r="HHT42" s="33"/>
      <c r="HHU42" s="33"/>
      <c r="HHV42" s="33"/>
      <c r="HHW42" s="33"/>
      <c r="HHX42" s="33"/>
      <c r="HHY42" s="33"/>
      <c r="HHZ42" s="33"/>
      <c r="HIA42" s="33"/>
      <c r="HIB42" s="33"/>
      <c r="HIC42" s="33"/>
      <c r="HID42" s="33"/>
      <c r="HIE42" s="33"/>
      <c r="HIF42" s="33"/>
      <c r="HIG42" s="33"/>
      <c r="HIH42" s="33"/>
      <c r="HII42" s="33"/>
      <c r="HIJ42" s="33"/>
      <c r="HIK42" s="33"/>
      <c r="HIL42" s="33"/>
      <c r="HIM42" s="33"/>
      <c r="HIN42" s="33"/>
      <c r="HIO42" s="33"/>
      <c r="HIP42" s="33"/>
      <c r="HIQ42" s="33"/>
      <c r="HIR42" s="33"/>
      <c r="HIS42" s="33"/>
      <c r="HIT42" s="33"/>
      <c r="HIU42" s="33"/>
      <c r="HIV42" s="33"/>
      <c r="HIW42" s="33"/>
      <c r="HIX42" s="33"/>
      <c r="HIY42" s="33"/>
      <c r="HIZ42" s="33"/>
      <c r="HJA42" s="33"/>
      <c r="HJB42" s="33"/>
      <c r="HJC42" s="33"/>
      <c r="HJD42" s="33"/>
      <c r="HJE42" s="33"/>
      <c r="HJF42" s="33"/>
      <c r="HJG42" s="33"/>
      <c r="HJH42" s="33"/>
      <c r="HJI42" s="33"/>
      <c r="HJJ42" s="33"/>
      <c r="HJK42" s="33"/>
      <c r="HJL42" s="33"/>
      <c r="HJM42" s="33"/>
      <c r="HJN42" s="33"/>
      <c r="HJO42" s="33"/>
      <c r="HJP42" s="33"/>
      <c r="HJQ42" s="33"/>
      <c r="HJR42" s="33"/>
      <c r="HJS42" s="33"/>
      <c r="HJT42" s="33"/>
      <c r="HJU42" s="33"/>
      <c r="HJV42" s="33"/>
      <c r="HJW42" s="33"/>
      <c r="HJX42" s="33"/>
      <c r="HJY42" s="33"/>
      <c r="HJZ42" s="33"/>
      <c r="HKA42" s="33"/>
      <c r="HKB42" s="33"/>
      <c r="HKC42" s="33"/>
      <c r="HKD42" s="33"/>
      <c r="HKE42" s="33"/>
      <c r="HKF42" s="33"/>
      <c r="HKG42" s="33"/>
      <c r="HKH42" s="33"/>
      <c r="HKI42" s="33"/>
      <c r="HKJ42" s="33"/>
      <c r="HKK42" s="33"/>
      <c r="HKL42" s="33"/>
      <c r="HKM42" s="33"/>
      <c r="HKN42" s="33"/>
      <c r="HKO42" s="33"/>
      <c r="HKP42" s="33"/>
      <c r="HKQ42" s="33"/>
      <c r="HKR42" s="33"/>
      <c r="HKS42" s="33"/>
      <c r="HKT42" s="33"/>
      <c r="HKU42" s="33"/>
      <c r="HKV42" s="33"/>
      <c r="HKW42" s="33"/>
      <c r="HKX42" s="33"/>
      <c r="HKY42" s="33"/>
      <c r="HKZ42" s="33"/>
      <c r="HLA42" s="33"/>
      <c r="HLB42" s="33"/>
      <c r="HLC42" s="33"/>
      <c r="HLD42" s="33"/>
      <c r="HLE42" s="33"/>
      <c r="HLF42" s="33"/>
      <c r="HLG42" s="33"/>
      <c r="HLH42" s="33"/>
      <c r="HLI42" s="33"/>
      <c r="HLJ42" s="33"/>
      <c r="HLK42" s="33"/>
      <c r="HLL42" s="33"/>
      <c r="HLM42" s="33"/>
      <c r="HLN42" s="33"/>
      <c r="HLO42" s="33"/>
      <c r="HLP42" s="33"/>
      <c r="HLQ42" s="33"/>
      <c r="HLR42" s="33"/>
      <c r="HLS42" s="33"/>
      <c r="HLT42" s="33"/>
      <c r="HLU42" s="33"/>
      <c r="HLV42" s="33"/>
      <c r="HLW42" s="33"/>
      <c r="HLX42" s="33"/>
      <c r="HLY42" s="33"/>
      <c r="HLZ42" s="33"/>
      <c r="HMA42" s="33"/>
      <c r="HMB42" s="33"/>
      <c r="HMC42" s="33"/>
      <c r="HMD42" s="33"/>
      <c r="HME42" s="33"/>
      <c r="HMF42" s="33"/>
      <c r="HMG42" s="33"/>
      <c r="HMH42" s="33"/>
      <c r="HMI42" s="33"/>
      <c r="HMJ42" s="33"/>
      <c r="HMK42" s="33"/>
      <c r="HML42" s="33"/>
      <c r="HMM42" s="33"/>
      <c r="HMN42" s="33"/>
      <c r="HMO42" s="33"/>
      <c r="HMP42" s="33"/>
      <c r="HMQ42" s="33"/>
      <c r="HMR42" s="33"/>
      <c r="HMS42" s="33"/>
      <c r="HMT42" s="33"/>
      <c r="HMU42" s="33"/>
      <c r="HMV42" s="33"/>
      <c r="HMW42" s="33"/>
      <c r="HMX42" s="33"/>
      <c r="HMY42" s="33"/>
      <c r="HMZ42" s="33"/>
      <c r="HNA42" s="33"/>
      <c r="HNB42" s="33"/>
      <c r="HNC42" s="33"/>
      <c r="HND42" s="33"/>
      <c r="HNE42" s="33"/>
      <c r="HNF42" s="33"/>
      <c r="HNG42" s="33"/>
      <c r="HNH42" s="33"/>
      <c r="HNI42" s="33"/>
      <c r="HNJ42" s="33"/>
      <c r="HNK42" s="33"/>
      <c r="HNL42" s="33"/>
      <c r="HNM42" s="33"/>
      <c r="HNN42" s="33"/>
      <c r="HNO42" s="33"/>
      <c r="HNP42" s="33"/>
      <c r="HNQ42" s="33"/>
      <c r="HNR42" s="33"/>
      <c r="HNS42" s="33"/>
      <c r="HNT42" s="33"/>
      <c r="HNU42" s="33"/>
      <c r="HNV42" s="33"/>
      <c r="HNW42" s="33"/>
      <c r="HNX42" s="33"/>
      <c r="HNY42" s="33"/>
      <c r="HNZ42" s="33"/>
      <c r="HOA42" s="33"/>
      <c r="HOB42" s="33"/>
      <c r="HOC42" s="33"/>
      <c r="HOD42" s="33"/>
      <c r="HOE42" s="33"/>
      <c r="HOF42" s="33"/>
      <c r="HOG42" s="33"/>
      <c r="HOH42" s="33"/>
      <c r="HOI42" s="33"/>
      <c r="HOJ42" s="33"/>
      <c r="HOK42" s="33"/>
      <c r="HOL42" s="33"/>
      <c r="HOM42" s="33"/>
      <c r="HON42" s="33"/>
      <c r="HOO42" s="33"/>
      <c r="HOP42" s="33"/>
      <c r="HOQ42" s="33"/>
      <c r="HOR42" s="33"/>
      <c r="HOS42" s="33"/>
      <c r="HOT42" s="33"/>
      <c r="HOU42" s="33"/>
      <c r="HOV42" s="33"/>
      <c r="HOW42" s="33"/>
      <c r="HOX42" s="33"/>
      <c r="HOY42" s="33"/>
      <c r="HOZ42" s="33"/>
      <c r="HPA42" s="33"/>
      <c r="HPB42" s="33"/>
      <c r="HPC42" s="33"/>
      <c r="HPD42" s="33"/>
      <c r="HPE42" s="33"/>
      <c r="HPF42" s="33"/>
      <c r="HPG42" s="33"/>
      <c r="HPH42" s="33"/>
      <c r="HPI42" s="33"/>
      <c r="HPJ42" s="33"/>
      <c r="HPK42" s="33"/>
      <c r="HPL42" s="33"/>
      <c r="HPM42" s="33"/>
      <c r="HPN42" s="33"/>
      <c r="HPO42" s="33"/>
      <c r="HPP42" s="33"/>
      <c r="HPQ42" s="33"/>
      <c r="HPR42" s="33"/>
      <c r="HPS42" s="33"/>
      <c r="HPT42" s="33"/>
      <c r="HPU42" s="33"/>
      <c r="HPV42" s="33"/>
      <c r="HPW42" s="33"/>
      <c r="HPX42" s="33"/>
      <c r="HPY42" s="33"/>
      <c r="HPZ42" s="33"/>
      <c r="HQA42" s="33"/>
      <c r="HQB42" s="33"/>
      <c r="HQC42" s="33"/>
      <c r="HQD42" s="33"/>
      <c r="HQE42" s="33"/>
      <c r="HQF42" s="33"/>
      <c r="HQG42" s="33"/>
      <c r="HQH42" s="33"/>
      <c r="HQI42" s="33"/>
      <c r="HQJ42" s="33"/>
      <c r="HQK42" s="33"/>
      <c r="HQL42" s="33"/>
      <c r="HQM42" s="33"/>
      <c r="HQN42" s="33"/>
      <c r="HQO42" s="33"/>
      <c r="HQP42" s="33"/>
      <c r="HQQ42" s="33"/>
      <c r="HQR42" s="33"/>
      <c r="HQS42" s="33"/>
      <c r="HQT42" s="33"/>
      <c r="HQU42" s="33"/>
      <c r="HQV42" s="33"/>
      <c r="HQW42" s="33"/>
      <c r="HQX42" s="33"/>
      <c r="HQY42" s="33"/>
      <c r="HQZ42" s="33"/>
      <c r="HRA42" s="33"/>
      <c r="HRB42" s="33"/>
      <c r="HRC42" s="33"/>
      <c r="HRD42" s="33"/>
      <c r="HRE42" s="33"/>
      <c r="HRF42" s="33"/>
      <c r="HRG42" s="33"/>
      <c r="HRH42" s="33"/>
      <c r="HRI42" s="33"/>
      <c r="HRJ42" s="33"/>
      <c r="HRK42" s="33"/>
      <c r="HRL42" s="33"/>
      <c r="HRM42" s="33"/>
      <c r="HRN42" s="33"/>
      <c r="HRO42" s="33"/>
      <c r="HRP42" s="33"/>
      <c r="HRQ42" s="33"/>
      <c r="HRR42" s="33"/>
      <c r="HRS42" s="33"/>
      <c r="HRT42" s="33"/>
      <c r="HRU42" s="33"/>
      <c r="HRV42" s="33"/>
      <c r="HRW42" s="33"/>
      <c r="HRX42" s="33"/>
      <c r="HRY42" s="33"/>
      <c r="HRZ42" s="33"/>
      <c r="HSA42" s="33"/>
      <c r="HSB42" s="33"/>
      <c r="HSC42" s="33"/>
      <c r="HSD42" s="33"/>
      <c r="HSE42" s="33"/>
      <c r="HSF42" s="33"/>
      <c r="HSG42" s="33"/>
      <c r="HSH42" s="33"/>
      <c r="HSI42" s="33"/>
      <c r="HSJ42" s="33"/>
      <c r="HSK42" s="33"/>
      <c r="HSL42" s="33"/>
      <c r="HSM42" s="33"/>
      <c r="HSN42" s="33"/>
      <c r="HSO42" s="33"/>
      <c r="HSP42" s="33"/>
      <c r="HSQ42" s="33"/>
      <c r="HSR42" s="33"/>
      <c r="HSS42" s="33"/>
      <c r="HST42" s="33"/>
      <c r="HSU42" s="33"/>
      <c r="HSV42" s="33"/>
      <c r="HSW42" s="33"/>
      <c r="HSX42" s="33"/>
      <c r="HSY42" s="33"/>
      <c r="HSZ42" s="33"/>
      <c r="HTA42" s="33"/>
      <c r="HTB42" s="33"/>
      <c r="HTC42" s="33"/>
      <c r="HTD42" s="33"/>
      <c r="HTE42" s="33"/>
      <c r="HTF42" s="33"/>
      <c r="HTG42" s="33"/>
      <c r="HTH42" s="33"/>
      <c r="HTI42" s="33"/>
      <c r="HTJ42" s="33"/>
      <c r="HTK42" s="33"/>
      <c r="HTL42" s="33"/>
      <c r="HTM42" s="33"/>
      <c r="HTN42" s="33"/>
      <c r="HTO42" s="33"/>
      <c r="HTP42" s="33"/>
      <c r="HTQ42" s="33"/>
      <c r="HTR42" s="33"/>
      <c r="HTS42" s="33"/>
      <c r="HTT42" s="33"/>
      <c r="HTU42" s="33"/>
      <c r="HTV42" s="33"/>
      <c r="HTW42" s="33"/>
      <c r="HTX42" s="33"/>
      <c r="HTY42" s="33"/>
      <c r="HTZ42" s="33"/>
      <c r="HUA42" s="33"/>
      <c r="HUB42" s="33"/>
      <c r="HUC42" s="33"/>
      <c r="HUD42" s="33"/>
      <c r="HUE42" s="33"/>
      <c r="HUF42" s="33"/>
      <c r="HUG42" s="33"/>
      <c r="HUH42" s="33"/>
      <c r="HUI42" s="33"/>
      <c r="HUJ42" s="33"/>
      <c r="HUK42" s="33"/>
      <c r="HUL42" s="33"/>
      <c r="HUM42" s="33"/>
      <c r="HUN42" s="33"/>
      <c r="HUO42" s="33"/>
      <c r="HUP42" s="33"/>
      <c r="HUQ42" s="33"/>
      <c r="HUR42" s="33"/>
      <c r="HUS42" s="33"/>
      <c r="HUT42" s="33"/>
      <c r="HUU42" s="33"/>
      <c r="HUV42" s="33"/>
      <c r="HUW42" s="33"/>
      <c r="HUX42" s="33"/>
      <c r="HUY42" s="33"/>
      <c r="HUZ42" s="33"/>
      <c r="HVA42" s="33"/>
      <c r="HVB42" s="33"/>
      <c r="HVC42" s="33"/>
      <c r="HVD42" s="33"/>
      <c r="HVE42" s="33"/>
      <c r="HVF42" s="33"/>
      <c r="HVG42" s="33"/>
      <c r="HVH42" s="33"/>
      <c r="HVI42" s="33"/>
      <c r="HVJ42" s="33"/>
      <c r="HVK42" s="33"/>
      <c r="HVL42" s="33"/>
      <c r="HVM42" s="33"/>
      <c r="HVN42" s="33"/>
      <c r="HVO42" s="33"/>
      <c r="HVP42" s="33"/>
      <c r="HVQ42" s="33"/>
      <c r="HVR42" s="33"/>
      <c r="HVS42" s="33"/>
      <c r="HVT42" s="33"/>
      <c r="HVU42" s="33"/>
      <c r="HVV42" s="33"/>
      <c r="HVW42" s="33"/>
      <c r="HVX42" s="33"/>
      <c r="HVY42" s="33"/>
      <c r="HVZ42" s="33"/>
      <c r="HWA42" s="33"/>
      <c r="HWB42" s="33"/>
      <c r="HWC42" s="33"/>
      <c r="HWD42" s="33"/>
      <c r="HWE42" s="33"/>
      <c r="HWF42" s="33"/>
      <c r="HWG42" s="33"/>
      <c r="HWH42" s="33"/>
      <c r="HWI42" s="33"/>
      <c r="HWJ42" s="33"/>
      <c r="HWK42" s="33"/>
      <c r="HWL42" s="33"/>
      <c r="HWM42" s="33"/>
      <c r="HWN42" s="33"/>
      <c r="HWO42" s="33"/>
      <c r="HWP42" s="33"/>
      <c r="HWQ42" s="33"/>
      <c r="HWR42" s="33"/>
      <c r="HWS42" s="33"/>
      <c r="HWT42" s="33"/>
      <c r="HWU42" s="33"/>
      <c r="HWV42" s="33"/>
      <c r="HWW42" s="33"/>
      <c r="HWX42" s="33"/>
      <c r="HWY42" s="33"/>
      <c r="HWZ42" s="33"/>
      <c r="HXA42" s="33"/>
      <c r="HXB42" s="33"/>
      <c r="HXC42" s="33"/>
      <c r="HXD42" s="33"/>
      <c r="HXE42" s="33"/>
      <c r="HXF42" s="33"/>
      <c r="HXG42" s="33"/>
      <c r="HXH42" s="33"/>
      <c r="HXI42" s="33"/>
      <c r="HXJ42" s="33"/>
      <c r="HXK42" s="33"/>
      <c r="HXL42" s="33"/>
      <c r="HXM42" s="33"/>
      <c r="HXN42" s="33"/>
      <c r="HXO42" s="33"/>
      <c r="HXP42" s="33"/>
      <c r="HXQ42" s="33"/>
      <c r="HXR42" s="33"/>
      <c r="HXS42" s="33"/>
      <c r="HXT42" s="33"/>
      <c r="HXU42" s="33"/>
      <c r="HXV42" s="33"/>
      <c r="HXW42" s="33"/>
      <c r="HXX42" s="33"/>
      <c r="HXY42" s="33"/>
      <c r="HXZ42" s="33"/>
      <c r="HYA42" s="33"/>
      <c r="HYB42" s="33"/>
      <c r="HYC42" s="33"/>
      <c r="HYD42" s="33"/>
      <c r="HYE42" s="33"/>
      <c r="HYF42" s="33"/>
      <c r="HYG42" s="33"/>
      <c r="HYH42" s="33"/>
      <c r="HYI42" s="33"/>
      <c r="HYJ42" s="33"/>
      <c r="HYK42" s="33"/>
      <c r="HYL42" s="33"/>
      <c r="HYM42" s="33"/>
      <c r="HYN42" s="33"/>
      <c r="HYO42" s="33"/>
      <c r="HYP42" s="33"/>
      <c r="HYQ42" s="33"/>
      <c r="HYR42" s="33"/>
      <c r="HYS42" s="33"/>
      <c r="HYT42" s="33"/>
      <c r="HYU42" s="33"/>
      <c r="HYV42" s="33"/>
      <c r="HYW42" s="33"/>
      <c r="HYX42" s="33"/>
      <c r="HYY42" s="33"/>
      <c r="HYZ42" s="33"/>
      <c r="HZA42" s="33"/>
      <c r="HZB42" s="33"/>
      <c r="HZC42" s="33"/>
      <c r="HZD42" s="33"/>
      <c r="HZE42" s="33"/>
      <c r="HZF42" s="33"/>
      <c r="HZG42" s="33"/>
      <c r="HZH42" s="33"/>
      <c r="HZI42" s="33"/>
      <c r="HZJ42" s="33"/>
      <c r="HZK42" s="33"/>
      <c r="HZL42" s="33"/>
      <c r="HZM42" s="33"/>
      <c r="HZN42" s="33"/>
      <c r="HZO42" s="33"/>
      <c r="HZP42" s="33"/>
      <c r="HZQ42" s="33"/>
      <c r="HZR42" s="33"/>
      <c r="HZS42" s="33"/>
      <c r="HZT42" s="33"/>
      <c r="HZU42" s="33"/>
      <c r="HZV42" s="33"/>
      <c r="HZW42" s="33"/>
      <c r="HZX42" s="33"/>
      <c r="HZY42" s="33"/>
      <c r="HZZ42" s="33"/>
      <c r="IAA42" s="33"/>
      <c r="IAB42" s="33"/>
      <c r="IAC42" s="33"/>
      <c r="IAD42" s="33"/>
      <c r="IAE42" s="33"/>
      <c r="IAF42" s="33"/>
      <c r="IAG42" s="33"/>
      <c r="IAH42" s="33"/>
      <c r="IAI42" s="33"/>
      <c r="IAJ42" s="33"/>
      <c r="IAK42" s="33"/>
      <c r="IAL42" s="33"/>
      <c r="IAM42" s="33"/>
      <c r="IAN42" s="33"/>
      <c r="IAO42" s="33"/>
      <c r="IAP42" s="33"/>
      <c r="IAQ42" s="33"/>
      <c r="IAR42" s="33"/>
      <c r="IAS42" s="33"/>
      <c r="IAT42" s="33"/>
      <c r="IAU42" s="33"/>
      <c r="IAV42" s="33"/>
      <c r="IAW42" s="33"/>
      <c r="IAX42" s="33"/>
      <c r="IAY42" s="33"/>
      <c r="IAZ42" s="33"/>
      <c r="IBA42" s="33"/>
      <c r="IBB42" s="33"/>
      <c r="IBC42" s="33"/>
      <c r="IBD42" s="33"/>
      <c r="IBE42" s="33"/>
      <c r="IBF42" s="33"/>
      <c r="IBG42" s="33"/>
      <c r="IBH42" s="33"/>
      <c r="IBI42" s="33"/>
      <c r="IBJ42" s="33"/>
      <c r="IBK42" s="33"/>
      <c r="IBL42" s="33"/>
      <c r="IBM42" s="33"/>
      <c r="IBN42" s="33"/>
      <c r="IBO42" s="33"/>
      <c r="IBP42" s="33"/>
      <c r="IBQ42" s="33"/>
      <c r="IBR42" s="33"/>
      <c r="IBS42" s="33"/>
      <c r="IBT42" s="33"/>
      <c r="IBU42" s="33"/>
      <c r="IBV42" s="33"/>
      <c r="IBW42" s="33"/>
      <c r="IBX42" s="33"/>
      <c r="IBY42" s="33"/>
      <c r="IBZ42" s="33"/>
      <c r="ICA42" s="33"/>
      <c r="ICB42" s="33"/>
      <c r="ICC42" s="33"/>
      <c r="ICD42" s="33"/>
      <c r="ICE42" s="33"/>
      <c r="ICF42" s="33"/>
      <c r="ICG42" s="33"/>
      <c r="ICH42" s="33"/>
      <c r="ICI42" s="33"/>
      <c r="ICJ42" s="33"/>
      <c r="ICK42" s="33"/>
      <c r="ICL42" s="33"/>
      <c r="ICM42" s="33"/>
      <c r="ICN42" s="33"/>
      <c r="ICO42" s="33"/>
      <c r="ICP42" s="33"/>
      <c r="ICQ42" s="33"/>
      <c r="ICR42" s="33"/>
      <c r="ICS42" s="33"/>
      <c r="ICT42" s="33"/>
      <c r="ICU42" s="33"/>
      <c r="ICV42" s="33"/>
      <c r="ICW42" s="33"/>
      <c r="ICX42" s="33"/>
      <c r="ICY42" s="33"/>
      <c r="ICZ42" s="33"/>
      <c r="IDA42" s="33"/>
      <c r="IDB42" s="33"/>
      <c r="IDC42" s="33"/>
      <c r="IDD42" s="33"/>
      <c r="IDE42" s="33"/>
      <c r="IDF42" s="33"/>
      <c r="IDG42" s="33"/>
      <c r="IDH42" s="33"/>
      <c r="IDI42" s="33"/>
      <c r="IDJ42" s="33"/>
      <c r="IDK42" s="33"/>
      <c r="IDL42" s="33"/>
      <c r="IDM42" s="33"/>
      <c r="IDN42" s="33"/>
      <c r="IDO42" s="33"/>
      <c r="IDP42" s="33"/>
      <c r="IDQ42" s="33"/>
      <c r="IDR42" s="33"/>
      <c r="IDS42" s="33"/>
      <c r="IDT42" s="33"/>
      <c r="IDU42" s="33"/>
      <c r="IDV42" s="33"/>
      <c r="IDW42" s="33"/>
      <c r="IDX42" s="33"/>
      <c r="IDY42" s="33"/>
      <c r="IDZ42" s="33"/>
      <c r="IEA42" s="33"/>
      <c r="IEB42" s="33"/>
      <c r="IEC42" s="33"/>
      <c r="IED42" s="33"/>
      <c r="IEE42" s="33"/>
      <c r="IEF42" s="33"/>
      <c r="IEG42" s="33"/>
      <c r="IEH42" s="33"/>
      <c r="IEI42" s="33"/>
      <c r="IEJ42" s="33"/>
      <c r="IEK42" s="33"/>
      <c r="IEL42" s="33"/>
      <c r="IEM42" s="33"/>
      <c r="IEN42" s="33"/>
      <c r="IEO42" s="33"/>
      <c r="IEP42" s="33"/>
      <c r="IEQ42" s="33"/>
      <c r="IER42" s="33"/>
      <c r="IES42" s="33"/>
      <c r="IET42" s="33"/>
      <c r="IEU42" s="33"/>
      <c r="IEV42" s="33"/>
      <c r="IEW42" s="33"/>
      <c r="IEX42" s="33"/>
      <c r="IEY42" s="33"/>
      <c r="IEZ42" s="33"/>
      <c r="IFA42" s="33"/>
      <c r="IFB42" s="33"/>
      <c r="IFC42" s="33"/>
      <c r="IFD42" s="33"/>
      <c r="IFE42" s="33"/>
      <c r="IFF42" s="33"/>
      <c r="IFG42" s="33"/>
      <c r="IFH42" s="33"/>
      <c r="IFI42" s="33"/>
      <c r="IFJ42" s="33"/>
      <c r="IFK42" s="33"/>
      <c r="IFL42" s="33"/>
      <c r="IFM42" s="33"/>
      <c r="IFN42" s="33"/>
      <c r="IFO42" s="33"/>
      <c r="IFP42" s="33"/>
      <c r="IFQ42" s="33"/>
      <c r="IFR42" s="33"/>
      <c r="IFS42" s="33"/>
      <c r="IFT42" s="33"/>
      <c r="IFU42" s="33"/>
      <c r="IFV42" s="33"/>
      <c r="IFW42" s="33"/>
      <c r="IFX42" s="33"/>
      <c r="IFY42" s="33"/>
      <c r="IFZ42" s="33"/>
      <c r="IGA42" s="33"/>
      <c r="IGB42" s="33"/>
      <c r="IGC42" s="33"/>
      <c r="IGD42" s="33"/>
      <c r="IGE42" s="33"/>
      <c r="IGF42" s="33"/>
      <c r="IGG42" s="33"/>
      <c r="IGH42" s="33"/>
      <c r="IGI42" s="33"/>
      <c r="IGJ42" s="33"/>
      <c r="IGK42" s="33"/>
      <c r="IGL42" s="33"/>
      <c r="IGM42" s="33"/>
      <c r="IGN42" s="33"/>
      <c r="IGO42" s="33"/>
      <c r="IGP42" s="33"/>
      <c r="IGQ42" s="33"/>
      <c r="IGR42" s="33"/>
      <c r="IGS42" s="33"/>
      <c r="IGT42" s="33"/>
      <c r="IGU42" s="33"/>
      <c r="IGV42" s="33"/>
      <c r="IGW42" s="33"/>
      <c r="IGX42" s="33"/>
      <c r="IGY42" s="33"/>
      <c r="IGZ42" s="33"/>
      <c r="IHA42" s="33"/>
      <c r="IHB42" s="33"/>
      <c r="IHC42" s="33"/>
      <c r="IHD42" s="33"/>
      <c r="IHE42" s="33"/>
      <c r="IHF42" s="33"/>
      <c r="IHG42" s="33"/>
      <c r="IHH42" s="33"/>
      <c r="IHI42" s="33"/>
      <c r="IHJ42" s="33"/>
      <c r="IHK42" s="33"/>
      <c r="IHL42" s="33"/>
      <c r="IHM42" s="33"/>
      <c r="IHN42" s="33"/>
      <c r="IHO42" s="33"/>
      <c r="IHP42" s="33"/>
      <c r="IHQ42" s="33"/>
      <c r="IHR42" s="33"/>
      <c r="IHS42" s="33"/>
      <c r="IHT42" s="33"/>
      <c r="IHU42" s="33"/>
      <c r="IHV42" s="33"/>
      <c r="IHW42" s="33"/>
      <c r="IHX42" s="33"/>
      <c r="IHY42" s="33"/>
      <c r="IHZ42" s="33"/>
      <c r="IIA42" s="33"/>
      <c r="IIB42" s="33"/>
      <c r="IIC42" s="33"/>
      <c r="IID42" s="33"/>
      <c r="IIE42" s="33"/>
      <c r="IIF42" s="33"/>
      <c r="IIG42" s="33"/>
      <c r="IIH42" s="33"/>
      <c r="III42" s="33"/>
      <c r="IIJ42" s="33"/>
      <c r="IIK42" s="33"/>
      <c r="IIL42" s="33"/>
      <c r="IIM42" s="33"/>
      <c r="IIN42" s="33"/>
      <c r="IIO42" s="33"/>
      <c r="IIP42" s="33"/>
      <c r="IIQ42" s="33"/>
      <c r="IIR42" s="33"/>
      <c r="IIS42" s="33"/>
      <c r="IIT42" s="33"/>
      <c r="IIU42" s="33"/>
      <c r="IIV42" s="33"/>
      <c r="IIW42" s="33"/>
      <c r="IIX42" s="33"/>
      <c r="IIY42" s="33"/>
      <c r="IIZ42" s="33"/>
      <c r="IJA42" s="33"/>
      <c r="IJB42" s="33"/>
      <c r="IJC42" s="33"/>
      <c r="IJD42" s="33"/>
      <c r="IJE42" s="33"/>
      <c r="IJF42" s="33"/>
      <c r="IJG42" s="33"/>
      <c r="IJH42" s="33"/>
      <c r="IJI42" s="33"/>
      <c r="IJJ42" s="33"/>
      <c r="IJK42" s="33"/>
      <c r="IJL42" s="33"/>
      <c r="IJM42" s="33"/>
      <c r="IJN42" s="33"/>
      <c r="IJO42" s="33"/>
      <c r="IJP42" s="33"/>
      <c r="IJQ42" s="33"/>
      <c r="IJR42" s="33"/>
      <c r="IJS42" s="33"/>
      <c r="IJT42" s="33"/>
      <c r="IJU42" s="33"/>
      <c r="IJV42" s="33"/>
      <c r="IJW42" s="33"/>
      <c r="IJX42" s="33"/>
      <c r="IJY42" s="33"/>
      <c r="IJZ42" s="33"/>
      <c r="IKA42" s="33"/>
      <c r="IKB42" s="33"/>
      <c r="IKC42" s="33"/>
      <c r="IKD42" s="33"/>
      <c r="IKE42" s="33"/>
      <c r="IKF42" s="33"/>
      <c r="IKG42" s="33"/>
      <c r="IKH42" s="33"/>
      <c r="IKI42" s="33"/>
      <c r="IKJ42" s="33"/>
      <c r="IKK42" s="33"/>
      <c r="IKL42" s="33"/>
      <c r="IKM42" s="33"/>
      <c r="IKN42" s="33"/>
      <c r="IKO42" s="33"/>
      <c r="IKP42" s="33"/>
      <c r="IKQ42" s="33"/>
      <c r="IKR42" s="33"/>
      <c r="IKS42" s="33"/>
      <c r="IKT42" s="33"/>
      <c r="IKU42" s="33"/>
      <c r="IKV42" s="33"/>
      <c r="IKW42" s="33"/>
      <c r="IKX42" s="33"/>
      <c r="IKY42" s="33"/>
      <c r="IKZ42" s="33"/>
      <c r="ILA42" s="33"/>
      <c r="ILB42" s="33"/>
      <c r="ILC42" s="33"/>
      <c r="ILD42" s="33"/>
      <c r="ILE42" s="33"/>
      <c r="ILF42" s="33"/>
      <c r="ILG42" s="33"/>
      <c r="ILH42" s="33"/>
      <c r="ILI42" s="33"/>
      <c r="ILJ42" s="33"/>
      <c r="ILK42" s="33"/>
      <c r="ILL42" s="33"/>
      <c r="ILM42" s="33"/>
      <c r="ILN42" s="33"/>
      <c r="ILO42" s="33"/>
      <c r="ILP42" s="33"/>
      <c r="ILQ42" s="33"/>
      <c r="ILR42" s="33"/>
      <c r="ILS42" s="33"/>
      <c r="ILT42" s="33"/>
      <c r="ILU42" s="33"/>
      <c r="ILV42" s="33"/>
      <c r="ILW42" s="33"/>
      <c r="ILX42" s="33"/>
      <c r="ILY42" s="33"/>
      <c r="ILZ42" s="33"/>
      <c r="IMA42" s="33"/>
      <c r="IMB42" s="33"/>
      <c r="IMC42" s="33"/>
      <c r="IMD42" s="33"/>
      <c r="IME42" s="33"/>
      <c r="IMF42" s="33"/>
      <c r="IMG42" s="33"/>
      <c r="IMH42" s="33"/>
      <c r="IMI42" s="33"/>
      <c r="IMJ42" s="33"/>
      <c r="IMK42" s="33"/>
      <c r="IML42" s="33"/>
      <c r="IMM42" s="33"/>
      <c r="IMN42" s="33"/>
      <c r="IMO42" s="33"/>
      <c r="IMP42" s="33"/>
      <c r="IMQ42" s="33"/>
      <c r="IMR42" s="33"/>
      <c r="IMS42" s="33"/>
      <c r="IMT42" s="33"/>
      <c r="IMU42" s="33"/>
      <c r="IMV42" s="33"/>
      <c r="IMW42" s="33"/>
      <c r="IMX42" s="33"/>
      <c r="IMY42" s="33"/>
      <c r="IMZ42" s="33"/>
      <c r="INA42" s="33"/>
      <c r="INB42" s="33"/>
      <c r="INC42" s="33"/>
      <c r="IND42" s="33"/>
      <c r="INE42" s="33"/>
      <c r="INF42" s="33"/>
      <c r="ING42" s="33"/>
      <c r="INH42" s="33"/>
      <c r="INI42" s="33"/>
      <c r="INJ42" s="33"/>
      <c r="INK42" s="33"/>
      <c r="INL42" s="33"/>
      <c r="INM42" s="33"/>
      <c r="INN42" s="33"/>
      <c r="INO42" s="33"/>
      <c r="INP42" s="33"/>
      <c r="INQ42" s="33"/>
      <c r="INR42" s="33"/>
      <c r="INS42" s="33"/>
      <c r="INT42" s="33"/>
      <c r="INU42" s="33"/>
      <c r="INV42" s="33"/>
      <c r="INW42" s="33"/>
      <c r="INX42" s="33"/>
      <c r="INY42" s="33"/>
      <c r="INZ42" s="33"/>
      <c r="IOA42" s="33"/>
      <c r="IOB42" s="33"/>
      <c r="IOC42" s="33"/>
      <c r="IOD42" s="33"/>
      <c r="IOE42" s="33"/>
      <c r="IOF42" s="33"/>
      <c r="IOG42" s="33"/>
      <c r="IOH42" s="33"/>
      <c r="IOI42" s="33"/>
      <c r="IOJ42" s="33"/>
      <c r="IOK42" s="33"/>
      <c r="IOL42" s="33"/>
      <c r="IOM42" s="33"/>
      <c r="ION42" s="33"/>
      <c r="IOO42" s="33"/>
      <c r="IOP42" s="33"/>
      <c r="IOQ42" s="33"/>
      <c r="IOR42" s="33"/>
      <c r="IOS42" s="33"/>
      <c r="IOT42" s="33"/>
      <c r="IOU42" s="33"/>
      <c r="IOV42" s="33"/>
      <c r="IOW42" s="33"/>
      <c r="IOX42" s="33"/>
      <c r="IOY42" s="33"/>
      <c r="IOZ42" s="33"/>
      <c r="IPA42" s="33"/>
      <c r="IPB42" s="33"/>
      <c r="IPC42" s="33"/>
      <c r="IPD42" s="33"/>
      <c r="IPE42" s="33"/>
      <c r="IPF42" s="33"/>
      <c r="IPG42" s="33"/>
      <c r="IPH42" s="33"/>
      <c r="IPI42" s="33"/>
      <c r="IPJ42" s="33"/>
      <c r="IPK42" s="33"/>
      <c r="IPL42" s="33"/>
      <c r="IPM42" s="33"/>
      <c r="IPN42" s="33"/>
      <c r="IPO42" s="33"/>
      <c r="IPP42" s="33"/>
      <c r="IPQ42" s="33"/>
      <c r="IPR42" s="33"/>
      <c r="IPS42" s="33"/>
      <c r="IPT42" s="33"/>
      <c r="IPU42" s="33"/>
      <c r="IPV42" s="33"/>
      <c r="IPW42" s="33"/>
      <c r="IPX42" s="33"/>
      <c r="IPY42" s="33"/>
      <c r="IPZ42" s="33"/>
      <c r="IQA42" s="33"/>
      <c r="IQB42" s="33"/>
      <c r="IQC42" s="33"/>
      <c r="IQD42" s="33"/>
      <c r="IQE42" s="33"/>
      <c r="IQF42" s="33"/>
      <c r="IQG42" s="33"/>
      <c r="IQH42" s="33"/>
      <c r="IQI42" s="33"/>
      <c r="IQJ42" s="33"/>
      <c r="IQK42" s="33"/>
      <c r="IQL42" s="33"/>
      <c r="IQM42" s="33"/>
      <c r="IQN42" s="33"/>
      <c r="IQO42" s="33"/>
      <c r="IQP42" s="33"/>
      <c r="IQQ42" s="33"/>
      <c r="IQR42" s="33"/>
      <c r="IQS42" s="33"/>
      <c r="IQT42" s="33"/>
      <c r="IQU42" s="33"/>
      <c r="IQV42" s="33"/>
      <c r="IQW42" s="33"/>
      <c r="IQX42" s="33"/>
      <c r="IQY42" s="33"/>
      <c r="IQZ42" s="33"/>
      <c r="IRA42" s="33"/>
      <c r="IRB42" s="33"/>
      <c r="IRC42" s="33"/>
      <c r="IRD42" s="33"/>
      <c r="IRE42" s="33"/>
      <c r="IRF42" s="33"/>
      <c r="IRG42" s="33"/>
      <c r="IRH42" s="33"/>
      <c r="IRI42" s="33"/>
      <c r="IRJ42" s="33"/>
      <c r="IRK42" s="33"/>
      <c r="IRL42" s="33"/>
      <c r="IRM42" s="33"/>
      <c r="IRN42" s="33"/>
      <c r="IRO42" s="33"/>
      <c r="IRP42" s="33"/>
      <c r="IRQ42" s="33"/>
      <c r="IRR42" s="33"/>
      <c r="IRS42" s="33"/>
      <c r="IRT42" s="33"/>
      <c r="IRU42" s="33"/>
      <c r="IRV42" s="33"/>
      <c r="IRW42" s="33"/>
      <c r="IRX42" s="33"/>
      <c r="IRY42" s="33"/>
      <c r="IRZ42" s="33"/>
      <c r="ISA42" s="33"/>
      <c r="ISB42" s="33"/>
      <c r="ISC42" s="33"/>
      <c r="ISD42" s="33"/>
      <c r="ISE42" s="33"/>
      <c r="ISF42" s="33"/>
      <c r="ISG42" s="33"/>
      <c r="ISH42" s="33"/>
      <c r="ISI42" s="33"/>
      <c r="ISJ42" s="33"/>
      <c r="ISK42" s="33"/>
      <c r="ISL42" s="33"/>
      <c r="ISM42" s="33"/>
      <c r="ISN42" s="33"/>
      <c r="ISO42" s="33"/>
      <c r="ISP42" s="33"/>
      <c r="ISQ42" s="33"/>
      <c r="ISR42" s="33"/>
      <c r="ISS42" s="33"/>
      <c r="IST42" s="33"/>
      <c r="ISU42" s="33"/>
      <c r="ISV42" s="33"/>
      <c r="ISW42" s="33"/>
      <c r="ISX42" s="33"/>
      <c r="ISY42" s="33"/>
      <c r="ISZ42" s="33"/>
      <c r="ITA42" s="33"/>
      <c r="ITB42" s="33"/>
      <c r="ITC42" s="33"/>
      <c r="ITD42" s="33"/>
      <c r="ITE42" s="33"/>
      <c r="ITF42" s="33"/>
      <c r="ITG42" s="33"/>
      <c r="ITH42" s="33"/>
      <c r="ITI42" s="33"/>
      <c r="ITJ42" s="33"/>
      <c r="ITK42" s="33"/>
      <c r="ITL42" s="33"/>
      <c r="ITM42" s="33"/>
      <c r="ITN42" s="33"/>
      <c r="ITO42" s="33"/>
      <c r="ITP42" s="33"/>
      <c r="ITQ42" s="33"/>
      <c r="ITR42" s="33"/>
      <c r="ITS42" s="33"/>
      <c r="ITT42" s="33"/>
      <c r="ITU42" s="33"/>
      <c r="ITV42" s="33"/>
      <c r="ITW42" s="33"/>
      <c r="ITX42" s="33"/>
      <c r="ITY42" s="33"/>
      <c r="ITZ42" s="33"/>
      <c r="IUA42" s="33"/>
      <c r="IUB42" s="33"/>
      <c r="IUC42" s="33"/>
      <c r="IUD42" s="33"/>
      <c r="IUE42" s="33"/>
      <c r="IUF42" s="33"/>
      <c r="IUG42" s="33"/>
      <c r="IUH42" s="33"/>
      <c r="IUI42" s="33"/>
      <c r="IUJ42" s="33"/>
      <c r="IUK42" s="33"/>
      <c r="IUL42" s="33"/>
      <c r="IUM42" s="33"/>
      <c r="IUN42" s="33"/>
      <c r="IUO42" s="33"/>
      <c r="IUP42" s="33"/>
      <c r="IUQ42" s="33"/>
      <c r="IUR42" s="33"/>
      <c r="IUS42" s="33"/>
      <c r="IUT42" s="33"/>
      <c r="IUU42" s="33"/>
      <c r="IUV42" s="33"/>
      <c r="IUW42" s="33"/>
      <c r="IUX42" s="33"/>
      <c r="IUY42" s="33"/>
      <c r="IUZ42" s="33"/>
      <c r="IVA42" s="33"/>
      <c r="IVB42" s="33"/>
      <c r="IVC42" s="33"/>
      <c r="IVD42" s="33"/>
      <c r="IVE42" s="33"/>
      <c r="IVF42" s="33"/>
      <c r="IVG42" s="33"/>
      <c r="IVH42" s="33"/>
      <c r="IVI42" s="33"/>
      <c r="IVJ42" s="33"/>
      <c r="IVK42" s="33"/>
      <c r="IVL42" s="33"/>
      <c r="IVM42" s="33"/>
      <c r="IVN42" s="33"/>
      <c r="IVO42" s="33"/>
      <c r="IVP42" s="33"/>
      <c r="IVQ42" s="33"/>
      <c r="IVR42" s="33"/>
      <c r="IVS42" s="33"/>
      <c r="IVT42" s="33"/>
      <c r="IVU42" s="33"/>
      <c r="IVV42" s="33"/>
      <c r="IVW42" s="33"/>
      <c r="IVX42" s="33"/>
      <c r="IVY42" s="33"/>
      <c r="IVZ42" s="33"/>
      <c r="IWA42" s="33"/>
      <c r="IWB42" s="33"/>
      <c r="IWC42" s="33"/>
      <c r="IWD42" s="33"/>
      <c r="IWE42" s="33"/>
      <c r="IWF42" s="33"/>
      <c r="IWG42" s="33"/>
      <c r="IWH42" s="33"/>
      <c r="IWI42" s="33"/>
      <c r="IWJ42" s="33"/>
      <c r="IWK42" s="33"/>
      <c r="IWL42" s="33"/>
      <c r="IWM42" s="33"/>
      <c r="IWN42" s="33"/>
      <c r="IWO42" s="33"/>
      <c r="IWP42" s="33"/>
      <c r="IWQ42" s="33"/>
      <c r="IWR42" s="33"/>
      <c r="IWS42" s="33"/>
      <c r="IWT42" s="33"/>
      <c r="IWU42" s="33"/>
      <c r="IWV42" s="33"/>
      <c r="IWW42" s="33"/>
      <c r="IWX42" s="33"/>
      <c r="IWY42" s="33"/>
      <c r="IWZ42" s="33"/>
      <c r="IXA42" s="33"/>
      <c r="IXB42" s="33"/>
      <c r="IXC42" s="33"/>
      <c r="IXD42" s="33"/>
      <c r="IXE42" s="33"/>
      <c r="IXF42" s="33"/>
      <c r="IXG42" s="33"/>
      <c r="IXH42" s="33"/>
      <c r="IXI42" s="33"/>
      <c r="IXJ42" s="33"/>
      <c r="IXK42" s="33"/>
      <c r="IXL42" s="33"/>
      <c r="IXM42" s="33"/>
      <c r="IXN42" s="33"/>
      <c r="IXO42" s="33"/>
      <c r="IXP42" s="33"/>
      <c r="IXQ42" s="33"/>
      <c r="IXR42" s="33"/>
      <c r="IXS42" s="33"/>
      <c r="IXT42" s="33"/>
      <c r="IXU42" s="33"/>
      <c r="IXV42" s="33"/>
      <c r="IXW42" s="33"/>
      <c r="IXX42" s="33"/>
      <c r="IXY42" s="33"/>
      <c r="IXZ42" s="33"/>
      <c r="IYA42" s="33"/>
      <c r="IYB42" s="33"/>
      <c r="IYC42" s="33"/>
      <c r="IYD42" s="33"/>
      <c r="IYE42" s="33"/>
      <c r="IYF42" s="33"/>
      <c r="IYG42" s="33"/>
      <c r="IYH42" s="33"/>
      <c r="IYI42" s="33"/>
      <c r="IYJ42" s="33"/>
      <c r="IYK42" s="33"/>
      <c r="IYL42" s="33"/>
      <c r="IYM42" s="33"/>
      <c r="IYN42" s="33"/>
      <c r="IYO42" s="33"/>
      <c r="IYP42" s="33"/>
      <c r="IYQ42" s="33"/>
      <c r="IYR42" s="33"/>
      <c r="IYS42" s="33"/>
      <c r="IYT42" s="33"/>
      <c r="IYU42" s="33"/>
      <c r="IYV42" s="33"/>
      <c r="IYW42" s="33"/>
      <c r="IYX42" s="33"/>
      <c r="IYY42" s="33"/>
      <c r="IYZ42" s="33"/>
      <c r="IZA42" s="33"/>
      <c r="IZB42" s="33"/>
      <c r="IZC42" s="33"/>
      <c r="IZD42" s="33"/>
      <c r="IZE42" s="33"/>
      <c r="IZF42" s="33"/>
      <c r="IZG42" s="33"/>
      <c r="IZH42" s="33"/>
      <c r="IZI42" s="33"/>
      <c r="IZJ42" s="33"/>
      <c r="IZK42" s="33"/>
      <c r="IZL42" s="33"/>
      <c r="IZM42" s="33"/>
      <c r="IZN42" s="33"/>
      <c r="IZO42" s="33"/>
      <c r="IZP42" s="33"/>
      <c r="IZQ42" s="33"/>
      <c r="IZR42" s="33"/>
      <c r="IZS42" s="33"/>
      <c r="IZT42" s="33"/>
      <c r="IZU42" s="33"/>
      <c r="IZV42" s="33"/>
      <c r="IZW42" s="33"/>
      <c r="IZX42" s="33"/>
      <c r="IZY42" s="33"/>
      <c r="IZZ42" s="33"/>
      <c r="JAA42" s="33"/>
      <c r="JAB42" s="33"/>
      <c r="JAC42" s="33"/>
      <c r="JAD42" s="33"/>
      <c r="JAE42" s="33"/>
      <c r="JAF42" s="33"/>
      <c r="JAG42" s="33"/>
      <c r="JAH42" s="33"/>
      <c r="JAI42" s="33"/>
      <c r="JAJ42" s="33"/>
      <c r="JAK42" s="33"/>
      <c r="JAL42" s="33"/>
      <c r="JAM42" s="33"/>
      <c r="JAN42" s="33"/>
      <c r="JAO42" s="33"/>
      <c r="JAP42" s="33"/>
      <c r="JAQ42" s="33"/>
      <c r="JAR42" s="33"/>
      <c r="JAS42" s="33"/>
      <c r="JAT42" s="33"/>
      <c r="JAU42" s="33"/>
      <c r="JAV42" s="33"/>
      <c r="JAW42" s="33"/>
      <c r="JAX42" s="33"/>
      <c r="JAY42" s="33"/>
      <c r="JAZ42" s="33"/>
      <c r="JBA42" s="33"/>
      <c r="JBB42" s="33"/>
      <c r="JBC42" s="33"/>
      <c r="JBD42" s="33"/>
      <c r="JBE42" s="33"/>
      <c r="JBF42" s="33"/>
      <c r="JBG42" s="33"/>
      <c r="JBH42" s="33"/>
      <c r="JBI42" s="33"/>
      <c r="JBJ42" s="33"/>
      <c r="JBK42" s="33"/>
      <c r="JBL42" s="33"/>
      <c r="JBM42" s="33"/>
      <c r="JBN42" s="33"/>
      <c r="JBO42" s="33"/>
      <c r="JBP42" s="33"/>
      <c r="JBQ42" s="33"/>
      <c r="JBR42" s="33"/>
      <c r="JBS42" s="33"/>
      <c r="JBT42" s="33"/>
      <c r="JBU42" s="33"/>
      <c r="JBV42" s="33"/>
      <c r="JBW42" s="33"/>
      <c r="JBX42" s="33"/>
      <c r="JBY42" s="33"/>
      <c r="JBZ42" s="33"/>
      <c r="JCA42" s="33"/>
      <c r="JCB42" s="33"/>
      <c r="JCC42" s="33"/>
      <c r="JCD42" s="33"/>
      <c r="JCE42" s="33"/>
      <c r="JCF42" s="33"/>
      <c r="JCG42" s="33"/>
      <c r="JCH42" s="33"/>
      <c r="JCI42" s="33"/>
      <c r="JCJ42" s="33"/>
      <c r="JCK42" s="33"/>
      <c r="JCL42" s="33"/>
      <c r="JCM42" s="33"/>
      <c r="JCN42" s="33"/>
      <c r="JCO42" s="33"/>
      <c r="JCP42" s="33"/>
      <c r="JCQ42" s="33"/>
      <c r="JCR42" s="33"/>
      <c r="JCS42" s="33"/>
      <c r="JCT42" s="33"/>
      <c r="JCU42" s="33"/>
      <c r="JCV42" s="33"/>
      <c r="JCW42" s="33"/>
      <c r="JCX42" s="33"/>
      <c r="JCY42" s="33"/>
      <c r="JCZ42" s="33"/>
      <c r="JDA42" s="33"/>
      <c r="JDB42" s="33"/>
      <c r="JDC42" s="33"/>
      <c r="JDD42" s="33"/>
      <c r="JDE42" s="33"/>
      <c r="JDF42" s="33"/>
      <c r="JDG42" s="33"/>
      <c r="JDH42" s="33"/>
      <c r="JDI42" s="33"/>
      <c r="JDJ42" s="33"/>
      <c r="JDK42" s="33"/>
      <c r="JDL42" s="33"/>
      <c r="JDM42" s="33"/>
      <c r="JDN42" s="33"/>
      <c r="JDO42" s="33"/>
      <c r="JDP42" s="33"/>
      <c r="JDQ42" s="33"/>
      <c r="JDR42" s="33"/>
      <c r="JDS42" s="33"/>
      <c r="JDT42" s="33"/>
      <c r="JDU42" s="33"/>
      <c r="JDV42" s="33"/>
      <c r="JDW42" s="33"/>
      <c r="JDX42" s="33"/>
      <c r="JDY42" s="33"/>
      <c r="JDZ42" s="33"/>
      <c r="JEA42" s="33"/>
      <c r="JEB42" s="33"/>
      <c r="JEC42" s="33"/>
      <c r="JED42" s="33"/>
      <c r="JEE42" s="33"/>
      <c r="JEF42" s="33"/>
      <c r="JEG42" s="33"/>
      <c r="JEH42" s="33"/>
      <c r="JEI42" s="33"/>
      <c r="JEJ42" s="33"/>
      <c r="JEK42" s="33"/>
      <c r="JEL42" s="33"/>
      <c r="JEM42" s="33"/>
      <c r="JEN42" s="33"/>
      <c r="JEO42" s="33"/>
      <c r="JEP42" s="33"/>
      <c r="JEQ42" s="33"/>
      <c r="JER42" s="33"/>
      <c r="JES42" s="33"/>
      <c r="JET42" s="33"/>
      <c r="JEU42" s="33"/>
      <c r="JEV42" s="33"/>
      <c r="JEW42" s="33"/>
      <c r="JEX42" s="33"/>
      <c r="JEY42" s="33"/>
      <c r="JEZ42" s="33"/>
      <c r="JFA42" s="33"/>
      <c r="JFB42" s="33"/>
      <c r="JFC42" s="33"/>
      <c r="JFD42" s="33"/>
      <c r="JFE42" s="33"/>
      <c r="JFF42" s="33"/>
      <c r="JFG42" s="33"/>
      <c r="JFH42" s="33"/>
      <c r="JFI42" s="33"/>
      <c r="JFJ42" s="33"/>
      <c r="JFK42" s="33"/>
      <c r="JFL42" s="33"/>
      <c r="JFM42" s="33"/>
      <c r="JFN42" s="33"/>
      <c r="JFO42" s="33"/>
      <c r="JFP42" s="33"/>
      <c r="JFQ42" s="33"/>
      <c r="JFR42" s="33"/>
      <c r="JFS42" s="33"/>
      <c r="JFT42" s="33"/>
      <c r="JFU42" s="33"/>
      <c r="JFV42" s="33"/>
      <c r="JFW42" s="33"/>
      <c r="JFX42" s="33"/>
      <c r="JFY42" s="33"/>
      <c r="JFZ42" s="33"/>
      <c r="JGA42" s="33"/>
      <c r="JGB42" s="33"/>
      <c r="JGC42" s="33"/>
      <c r="JGD42" s="33"/>
      <c r="JGE42" s="33"/>
      <c r="JGF42" s="33"/>
      <c r="JGG42" s="33"/>
      <c r="JGH42" s="33"/>
      <c r="JGI42" s="33"/>
      <c r="JGJ42" s="33"/>
      <c r="JGK42" s="33"/>
      <c r="JGL42" s="33"/>
      <c r="JGM42" s="33"/>
      <c r="JGN42" s="33"/>
      <c r="JGO42" s="33"/>
      <c r="JGP42" s="33"/>
      <c r="JGQ42" s="33"/>
      <c r="JGR42" s="33"/>
      <c r="JGS42" s="33"/>
      <c r="JGT42" s="33"/>
      <c r="JGU42" s="33"/>
      <c r="JGV42" s="33"/>
      <c r="JGW42" s="33"/>
      <c r="JGX42" s="33"/>
      <c r="JGY42" s="33"/>
      <c r="JGZ42" s="33"/>
      <c r="JHA42" s="33"/>
      <c r="JHB42" s="33"/>
      <c r="JHC42" s="33"/>
      <c r="JHD42" s="33"/>
      <c r="JHE42" s="33"/>
      <c r="JHF42" s="33"/>
      <c r="JHG42" s="33"/>
      <c r="JHH42" s="33"/>
      <c r="JHI42" s="33"/>
      <c r="JHJ42" s="33"/>
      <c r="JHK42" s="33"/>
      <c r="JHL42" s="33"/>
      <c r="JHM42" s="33"/>
      <c r="JHN42" s="33"/>
      <c r="JHO42" s="33"/>
      <c r="JHP42" s="33"/>
      <c r="JHQ42" s="33"/>
      <c r="JHR42" s="33"/>
      <c r="JHS42" s="33"/>
      <c r="JHT42" s="33"/>
      <c r="JHU42" s="33"/>
      <c r="JHV42" s="33"/>
      <c r="JHW42" s="33"/>
      <c r="JHX42" s="33"/>
      <c r="JHY42" s="33"/>
      <c r="JHZ42" s="33"/>
      <c r="JIA42" s="33"/>
      <c r="JIB42" s="33"/>
      <c r="JIC42" s="33"/>
      <c r="JID42" s="33"/>
      <c r="JIE42" s="33"/>
      <c r="JIF42" s="33"/>
      <c r="JIG42" s="33"/>
      <c r="JIH42" s="33"/>
      <c r="JII42" s="33"/>
      <c r="JIJ42" s="33"/>
      <c r="JIK42" s="33"/>
      <c r="JIL42" s="33"/>
      <c r="JIM42" s="33"/>
      <c r="JIN42" s="33"/>
      <c r="JIO42" s="33"/>
      <c r="JIP42" s="33"/>
      <c r="JIQ42" s="33"/>
      <c r="JIR42" s="33"/>
      <c r="JIS42" s="33"/>
      <c r="JIT42" s="33"/>
      <c r="JIU42" s="33"/>
      <c r="JIV42" s="33"/>
      <c r="JIW42" s="33"/>
      <c r="JIX42" s="33"/>
      <c r="JIY42" s="33"/>
      <c r="JIZ42" s="33"/>
      <c r="JJA42" s="33"/>
      <c r="JJB42" s="33"/>
      <c r="JJC42" s="33"/>
      <c r="JJD42" s="33"/>
      <c r="JJE42" s="33"/>
      <c r="JJF42" s="33"/>
      <c r="JJG42" s="33"/>
      <c r="JJH42" s="33"/>
      <c r="JJI42" s="33"/>
      <c r="JJJ42" s="33"/>
      <c r="JJK42" s="33"/>
      <c r="JJL42" s="33"/>
      <c r="JJM42" s="33"/>
      <c r="JJN42" s="33"/>
      <c r="JJO42" s="33"/>
      <c r="JJP42" s="33"/>
      <c r="JJQ42" s="33"/>
      <c r="JJR42" s="33"/>
      <c r="JJS42" s="33"/>
      <c r="JJT42" s="33"/>
      <c r="JJU42" s="33"/>
      <c r="JJV42" s="33"/>
      <c r="JJW42" s="33"/>
      <c r="JJX42" s="33"/>
      <c r="JJY42" s="33"/>
      <c r="JJZ42" s="33"/>
      <c r="JKA42" s="33"/>
      <c r="JKB42" s="33"/>
      <c r="JKC42" s="33"/>
      <c r="JKD42" s="33"/>
      <c r="JKE42" s="33"/>
      <c r="JKF42" s="33"/>
      <c r="JKG42" s="33"/>
      <c r="JKH42" s="33"/>
      <c r="JKI42" s="33"/>
      <c r="JKJ42" s="33"/>
      <c r="JKK42" s="33"/>
      <c r="JKL42" s="33"/>
      <c r="JKM42" s="33"/>
      <c r="JKN42" s="33"/>
      <c r="JKO42" s="33"/>
      <c r="JKP42" s="33"/>
      <c r="JKQ42" s="33"/>
      <c r="JKR42" s="33"/>
      <c r="JKS42" s="33"/>
      <c r="JKT42" s="33"/>
      <c r="JKU42" s="33"/>
      <c r="JKV42" s="33"/>
      <c r="JKW42" s="33"/>
      <c r="JKX42" s="33"/>
      <c r="JKY42" s="33"/>
      <c r="JKZ42" s="33"/>
      <c r="JLA42" s="33"/>
      <c r="JLB42" s="33"/>
      <c r="JLC42" s="33"/>
      <c r="JLD42" s="33"/>
      <c r="JLE42" s="33"/>
      <c r="JLF42" s="33"/>
      <c r="JLG42" s="33"/>
      <c r="JLH42" s="33"/>
      <c r="JLI42" s="33"/>
      <c r="JLJ42" s="33"/>
      <c r="JLK42" s="33"/>
      <c r="JLL42" s="33"/>
      <c r="JLM42" s="33"/>
      <c r="JLN42" s="33"/>
      <c r="JLO42" s="33"/>
      <c r="JLP42" s="33"/>
      <c r="JLQ42" s="33"/>
      <c r="JLR42" s="33"/>
      <c r="JLS42" s="33"/>
      <c r="JLT42" s="33"/>
      <c r="JLU42" s="33"/>
      <c r="JLV42" s="33"/>
      <c r="JLW42" s="33"/>
      <c r="JLX42" s="33"/>
      <c r="JLY42" s="33"/>
      <c r="JLZ42" s="33"/>
      <c r="JMA42" s="33"/>
      <c r="JMB42" s="33"/>
      <c r="JMC42" s="33"/>
      <c r="JMD42" s="33"/>
      <c r="JME42" s="33"/>
      <c r="JMF42" s="33"/>
      <c r="JMG42" s="33"/>
      <c r="JMH42" s="33"/>
      <c r="JMI42" s="33"/>
      <c r="JMJ42" s="33"/>
      <c r="JMK42" s="33"/>
      <c r="JML42" s="33"/>
      <c r="JMM42" s="33"/>
      <c r="JMN42" s="33"/>
      <c r="JMO42" s="33"/>
      <c r="JMP42" s="33"/>
      <c r="JMQ42" s="33"/>
      <c r="JMR42" s="33"/>
      <c r="JMS42" s="33"/>
      <c r="JMT42" s="33"/>
      <c r="JMU42" s="33"/>
      <c r="JMV42" s="33"/>
      <c r="JMW42" s="33"/>
      <c r="JMX42" s="33"/>
      <c r="JMY42" s="33"/>
      <c r="JMZ42" s="33"/>
      <c r="JNA42" s="33"/>
      <c r="JNB42" s="33"/>
      <c r="JNC42" s="33"/>
      <c r="JND42" s="33"/>
      <c r="JNE42" s="33"/>
      <c r="JNF42" s="33"/>
      <c r="JNG42" s="33"/>
      <c r="JNH42" s="33"/>
      <c r="JNI42" s="33"/>
      <c r="JNJ42" s="33"/>
      <c r="JNK42" s="33"/>
      <c r="JNL42" s="33"/>
      <c r="JNM42" s="33"/>
      <c r="JNN42" s="33"/>
      <c r="JNO42" s="33"/>
      <c r="JNP42" s="33"/>
      <c r="JNQ42" s="33"/>
      <c r="JNR42" s="33"/>
      <c r="JNS42" s="33"/>
      <c r="JNT42" s="33"/>
      <c r="JNU42" s="33"/>
      <c r="JNV42" s="33"/>
      <c r="JNW42" s="33"/>
      <c r="JNX42" s="33"/>
      <c r="JNY42" s="33"/>
      <c r="JNZ42" s="33"/>
      <c r="JOA42" s="33"/>
      <c r="JOB42" s="33"/>
      <c r="JOC42" s="33"/>
      <c r="JOD42" s="33"/>
      <c r="JOE42" s="33"/>
      <c r="JOF42" s="33"/>
      <c r="JOG42" s="33"/>
      <c r="JOH42" s="33"/>
      <c r="JOI42" s="33"/>
      <c r="JOJ42" s="33"/>
      <c r="JOK42" s="33"/>
      <c r="JOL42" s="33"/>
      <c r="JOM42" s="33"/>
      <c r="JON42" s="33"/>
      <c r="JOO42" s="33"/>
      <c r="JOP42" s="33"/>
      <c r="JOQ42" s="33"/>
      <c r="JOR42" s="33"/>
      <c r="JOS42" s="33"/>
      <c r="JOT42" s="33"/>
      <c r="JOU42" s="33"/>
      <c r="JOV42" s="33"/>
      <c r="JOW42" s="33"/>
      <c r="JOX42" s="33"/>
      <c r="JOY42" s="33"/>
      <c r="JOZ42" s="33"/>
      <c r="JPA42" s="33"/>
      <c r="JPB42" s="33"/>
      <c r="JPC42" s="33"/>
      <c r="JPD42" s="33"/>
      <c r="JPE42" s="33"/>
      <c r="JPF42" s="33"/>
      <c r="JPG42" s="33"/>
      <c r="JPH42" s="33"/>
      <c r="JPI42" s="33"/>
      <c r="JPJ42" s="33"/>
      <c r="JPK42" s="33"/>
      <c r="JPL42" s="33"/>
      <c r="JPM42" s="33"/>
      <c r="JPN42" s="33"/>
      <c r="JPO42" s="33"/>
      <c r="JPP42" s="33"/>
      <c r="JPQ42" s="33"/>
      <c r="JPR42" s="33"/>
      <c r="JPS42" s="33"/>
      <c r="JPT42" s="33"/>
      <c r="JPU42" s="33"/>
      <c r="JPV42" s="33"/>
      <c r="JPW42" s="33"/>
      <c r="JPX42" s="33"/>
      <c r="JPY42" s="33"/>
      <c r="JPZ42" s="33"/>
      <c r="JQA42" s="33"/>
      <c r="JQB42" s="33"/>
      <c r="JQC42" s="33"/>
      <c r="JQD42" s="33"/>
      <c r="JQE42" s="33"/>
      <c r="JQF42" s="33"/>
      <c r="JQG42" s="33"/>
      <c r="JQH42" s="33"/>
      <c r="JQI42" s="33"/>
      <c r="JQJ42" s="33"/>
      <c r="JQK42" s="33"/>
      <c r="JQL42" s="33"/>
      <c r="JQM42" s="33"/>
      <c r="JQN42" s="33"/>
      <c r="JQO42" s="33"/>
      <c r="JQP42" s="33"/>
      <c r="JQQ42" s="33"/>
      <c r="JQR42" s="33"/>
      <c r="JQS42" s="33"/>
      <c r="JQT42" s="33"/>
      <c r="JQU42" s="33"/>
      <c r="JQV42" s="33"/>
      <c r="JQW42" s="33"/>
      <c r="JQX42" s="33"/>
      <c r="JQY42" s="33"/>
      <c r="JQZ42" s="33"/>
      <c r="JRA42" s="33"/>
      <c r="JRB42" s="33"/>
      <c r="JRC42" s="33"/>
      <c r="JRD42" s="33"/>
      <c r="JRE42" s="33"/>
      <c r="JRF42" s="33"/>
      <c r="JRG42" s="33"/>
      <c r="JRH42" s="33"/>
      <c r="JRI42" s="33"/>
      <c r="JRJ42" s="33"/>
      <c r="JRK42" s="33"/>
      <c r="JRL42" s="33"/>
      <c r="JRM42" s="33"/>
      <c r="JRN42" s="33"/>
      <c r="JRO42" s="33"/>
      <c r="JRP42" s="33"/>
      <c r="JRQ42" s="33"/>
      <c r="JRR42" s="33"/>
      <c r="JRS42" s="33"/>
      <c r="JRT42" s="33"/>
      <c r="JRU42" s="33"/>
      <c r="JRV42" s="33"/>
      <c r="JRW42" s="33"/>
      <c r="JRX42" s="33"/>
      <c r="JRY42" s="33"/>
      <c r="JRZ42" s="33"/>
      <c r="JSA42" s="33"/>
      <c r="JSB42" s="33"/>
      <c r="JSC42" s="33"/>
      <c r="JSD42" s="33"/>
      <c r="JSE42" s="33"/>
      <c r="JSF42" s="33"/>
      <c r="JSG42" s="33"/>
      <c r="JSH42" s="33"/>
      <c r="JSI42" s="33"/>
      <c r="JSJ42" s="33"/>
      <c r="JSK42" s="33"/>
      <c r="JSL42" s="33"/>
      <c r="JSM42" s="33"/>
      <c r="JSN42" s="33"/>
      <c r="JSO42" s="33"/>
      <c r="JSP42" s="33"/>
      <c r="JSQ42" s="33"/>
      <c r="JSR42" s="33"/>
      <c r="JSS42" s="33"/>
      <c r="JST42" s="33"/>
      <c r="JSU42" s="33"/>
      <c r="JSV42" s="33"/>
      <c r="JSW42" s="33"/>
      <c r="JSX42" s="33"/>
      <c r="JSY42" s="33"/>
      <c r="JSZ42" s="33"/>
      <c r="JTA42" s="33"/>
      <c r="JTB42" s="33"/>
      <c r="JTC42" s="33"/>
      <c r="JTD42" s="33"/>
      <c r="JTE42" s="33"/>
      <c r="JTF42" s="33"/>
      <c r="JTG42" s="33"/>
      <c r="JTH42" s="33"/>
      <c r="JTI42" s="33"/>
      <c r="JTJ42" s="33"/>
      <c r="JTK42" s="33"/>
      <c r="JTL42" s="33"/>
      <c r="JTM42" s="33"/>
      <c r="JTN42" s="33"/>
      <c r="JTO42" s="33"/>
      <c r="JTP42" s="33"/>
      <c r="JTQ42" s="33"/>
      <c r="JTR42" s="33"/>
      <c r="JTS42" s="33"/>
      <c r="JTT42" s="33"/>
      <c r="JTU42" s="33"/>
      <c r="JTV42" s="33"/>
      <c r="JTW42" s="33"/>
      <c r="JTX42" s="33"/>
      <c r="JTY42" s="33"/>
      <c r="JTZ42" s="33"/>
      <c r="JUA42" s="33"/>
      <c r="JUB42" s="33"/>
      <c r="JUC42" s="33"/>
      <c r="JUD42" s="33"/>
      <c r="JUE42" s="33"/>
      <c r="JUF42" s="33"/>
      <c r="JUG42" s="33"/>
      <c r="JUH42" s="33"/>
      <c r="JUI42" s="33"/>
      <c r="JUJ42" s="33"/>
      <c r="JUK42" s="33"/>
      <c r="JUL42" s="33"/>
      <c r="JUM42" s="33"/>
      <c r="JUN42" s="33"/>
      <c r="JUO42" s="33"/>
      <c r="JUP42" s="33"/>
      <c r="JUQ42" s="33"/>
      <c r="JUR42" s="33"/>
      <c r="JUS42" s="33"/>
      <c r="JUT42" s="33"/>
      <c r="JUU42" s="33"/>
      <c r="JUV42" s="33"/>
      <c r="JUW42" s="33"/>
      <c r="JUX42" s="33"/>
      <c r="JUY42" s="33"/>
      <c r="JUZ42" s="33"/>
      <c r="JVA42" s="33"/>
      <c r="JVB42" s="33"/>
      <c r="JVC42" s="33"/>
      <c r="JVD42" s="33"/>
      <c r="JVE42" s="33"/>
      <c r="JVF42" s="33"/>
      <c r="JVG42" s="33"/>
      <c r="JVH42" s="33"/>
      <c r="JVI42" s="33"/>
      <c r="JVJ42" s="33"/>
      <c r="JVK42" s="33"/>
      <c r="JVL42" s="33"/>
      <c r="JVM42" s="33"/>
      <c r="JVN42" s="33"/>
      <c r="JVO42" s="33"/>
      <c r="JVP42" s="33"/>
      <c r="JVQ42" s="33"/>
      <c r="JVR42" s="33"/>
      <c r="JVS42" s="33"/>
      <c r="JVT42" s="33"/>
      <c r="JVU42" s="33"/>
      <c r="JVV42" s="33"/>
      <c r="JVW42" s="33"/>
      <c r="JVX42" s="33"/>
      <c r="JVY42" s="33"/>
      <c r="JVZ42" s="33"/>
      <c r="JWA42" s="33"/>
      <c r="JWB42" s="33"/>
      <c r="JWC42" s="33"/>
      <c r="JWD42" s="33"/>
      <c r="JWE42" s="33"/>
      <c r="JWF42" s="33"/>
      <c r="JWG42" s="33"/>
      <c r="JWH42" s="33"/>
      <c r="JWI42" s="33"/>
      <c r="JWJ42" s="33"/>
      <c r="JWK42" s="33"/>
      <c r="JWL42" s="33"/>
      <c r="JWM42" s="33"/>
      <c r="JWN42" s="33"/>
      <c r="JWO42" s="33"/>
      <c r="JWP42" s="33"/>
      <c r="JWQ42" s="33"/>
      <c r="JWR42" s="33"/>
      <c r="JWS42" s="33"/>
      <c r="JWT42" s="33"/>
      <c r="JWU42" s="33"/>
      <c r="JWV42" s="33"/>
      <c r="JWW42" s="33"/>
      <c r="JWX42" s="33"/>
      <c r="JWY42" s="33"/>
      <c r="JWZ42" s="33"/>
      <c r="JXA42" s="33"/>
      <c r="JXB42" s="33"/>
      <c r="JXC42" s="33"/>
      <c r="JXD42" s="33"/>
      <c r="JXE42" s="33"/>
      <c r="JXF42" s="33"/>
      <c r="JXG42" s="33"/>
      <c r="JXH42" s="33"/>
      <c r="JXI42" s="33"/>
      <c r="JXJ42" s="33"/>
      <c r="JXK42" s="33"/>
      <c r="JXL42" s="33"/>
      <c r="JXM42" s="33"/>
      <c r="JXN42" s="33"/>
      <c r="JXO42" s="33"/>
      <c r="JXP42" s="33"/>
      <c r="JXQ42" s="33"/>
      <c r="JXR42" s="33"/>
      <c r="JXS42" s="33"/>
      <c r="JXT42" s="33"/>
      <c r="JXU42" s="33"/>
      <c r="JXV42" s="33"/>
      <c r="JXW42" s="33"/>
      <c r="JXX42" s="33"/>
      <c r="JXY42" s="33"/>
      <c r="JXZ42" s="33"/>
      <c r="JYA42" s="33"/>
      <c r="JYB42" s="33"/>
      <c r="JYC42" s="33"/>
      <c r="JYD42" s="33"/>
      <c r="JYE42" s="33"/>
      <c r="JYF42" s="33"/>
      <c r="JYG42" s="33"/>
      <c r="JYH42" s="33"/>
      <c r="JYI42" s="33"/>
      <c r="JYJ42" s="33"/>
      <c r="JYK42" s="33"/>
      <c r="JYL42" s="33"/>
      <c r="JYM42" s="33"/>
      <c r="JYN42" s="33"/>
      <c r="JYO42" s="33"/>
      <c r="JYP42" s="33"/>
      <c r="JYQ42" s="33"/>
      <c r="JYR42" s="33"/>
      <c r="JYS42" s="33"/>
      <c r="JYT42" s="33"/>
      <c r="JYU42" s="33"/>
      <c r="JYV42" s="33"/>
      <c r="JYW42" s="33"/>
      <c r="JYX42" s="33"/>
      <c r="JYY42" s="33"/>
      <c r="JYZ42" s="33"/>
      <c r="JZA42" s="33"/>
      <c r="JZB42" s="33"/>
      <c r="JZC42" s="33"/>
      <c r="JZD42" s="33"/>
      <c r="JZE42" s="33"/>
      <c r="JZF42" s="33"/>
      <c r="JZG42" s="33"/>
      <c r="JZH42" s="33"/>
      <c r="JZI42" s="33"/>
      <c r="JZJ42" s="33"/>
      <c r="JZK42" s="33"/>
      <c r="JZL42" s="33"/>
      <c r="JZM42" s="33"/>
      <c r="JZN42" s="33"/>
      <c r="JZO42" s="33"/>
      <c r="JZP42" s="33"/>
      <c r="JZQ42" s="33"/>
      <c r="JZR42" s="33"/>
      <c r="JZS42" s="33"/>
      <c r="JZT42" s="33"/>
      <c r="JZU42" s="33"/>
      <c r="JZV42" s="33"/>
      <c r="JZW42" s="33"/>
      <c r="JZX42" s="33"/>
      <c r="JZY42" s="33"/>
      <c r="JZZ42" s="33"/>
      <c r="KAA42" s="33"/>
      <c r="KAB42" s="33"/>
      <c r="KAC42" s="33"/>
      <c r="KAD42" s="33"/>
      <c r="KAE42" s="33"/>
      <c r="KAF42" s="33"/>
      <c r="KAG42" s="33"/>
      <c r="KAH42" s="33"/>
      <c r="KAI42" s="33"/>
      <c r="KAJ42" s="33"/>
      <c r="KAK42" s="33"/>
      <c r="KAL42" s="33"/>
      <c r="KAM42" s="33"/>
      <c r="KAN42" s="33"/>
      <c r="KAO42" s="33"/>
      <c r="KAP42" s="33"/>
      <c r="KAQ42" s="33"/>
      <c r="KAR42" s="33"/>
      <c r="KAS42" s="33"/>
      <c r="KAT42" s="33"/>
      <c r="KAU42" s="33"/>
      <c r="KAV42" s="33"/>
      <c r="KAW42" s="33"/>
      <c r="KAX42" s="33"/>
      <c r="KAY42" s="33"/>
      <c r="KAZ42" s="33"/>
      <c r="KBA42" s="33"/>
      <c r="KBB42" s="33"/>
      <c r="KBC42" s="33"/>
      <c r="KBD42" s="33"/>
      <c r="KBE42" s="33"/>
      <c r="KBF42" s="33"/>
      <c r="KBG42" s="33"/>
      <c r="KBH42" s="33"/>
      <c r="KBI42" s="33"/>
      <c r="KBJ42" s="33"/>
      <c r="KBK42" s="33"/>
      <c r="KBL42" s="33"/>
      <c r="KBM42" s="33"/>
      <c r="KBN42" s="33"/>
      <c r="KBO42" s="33"/>
      <c r="KBP42" s="33"/>
      <c r="KBQ42" s="33"/>
      <c r="KBR42" s="33"/>
      <c r="KBS42" s="33"/>
      <c r="KBT42" s="33"/>
      <c r="KBU42" s="33"/>
      <c r="KBV42" s="33"/>
      <c r="KBW42" s="33"/>
      <c r="KBX42" s="33"/>
      <c r="KBY42" s="33"/>
      <c r="KBZ42" s="33"/>
      <c r="KCA42" s="33"/>
      <c r="KCB42" s="33"/>
      <c r="KCC42" s="33"/>
      <c r="KCD42" s="33"/>
      <c r="KCE42" s="33"/>
      <c r="KCF42" s="33"/>
      <c r="KCG42" s="33"/>
      <c r="KCH42" s="33"/>
      <c r="KCI42" s="33"/>
      <c r="KCJ42" s="33"/>
      <c r="KCK42" s="33"/>
      <c r="KCL42" s="33"/>
      <c r="KCM42" s="33"/>
      <c r="KCN42" s="33"/>
      <c r="KCO42" s="33"/>
      <c r="KCP42" s="33"/>
      <c r="KCQ42" s="33"/>
      <c r="KCR42" s="33"/>
      <c r="KCS42" s="33"/>
      <c r="KCT42" s="33"/>
      <c r="KCU42" s="33"/>
      <c r="KCV42" s="33"/>
      <c r="KCW42" s="33"/>
      <c r="KCX42" s="33"/>
      <c r="KCY42" s="33"/>
      <c r="KCZ42" s="33"/>
      <c r="KDA42" s="33"/>
      <c r="KDB42" s="33"/>
      <c r="KDC42" s="33"/>
      <c r="KDD42" s="33"/>
      <c r="KDE42" s="33"/>
      <c r="KDF42" s="33"/>
      <c r="KDG42" s="33"/>
      <c r="KDH42" s="33"/>
      <c r="KDI42" s="33"/>
      <c r="KDJ42" s="33"/>
      <c r="KDK42" s="33"/>
      <c r="KDL42" s="33"/>
      <c r="KDM42" s="33"/>
      <c r="KDN42" s="33"/>
      <c r="KDO42" s="33"/>
      <c r="KDP42" s="33"/>
      <c r="KDQ42" s="33"/>
      <c r="KDR42" s="33"/>
      <c r="KDS42" s="33"/>
      <c r="KDT42" s="33"/>
      <c r="KDU42" s="33"/>
      <c r="KDV42" s="33"/>
      <c r="KDW42" s="33"/>
      <c r="KDX42" s="33"/>
      <c r="KDY42" s="33"/>
      <c r="KDZ42" s="33"/>
      <c r="KEA42" s="33"/>
      <c r="KEB42" s="33"/>
      <c r="KEC42" s="33"/>
      <c r="KED42" s="33"/>
      <c r="KEE42" s="33"/>
      <c r="KEF42" s="33"/>
      <c r="KEG42" s="33"/>
      <c r="KEH42" s="33"/>
      <c r="KEI42" s="33"/>
      <c r="KEJ42" s="33"/>
      <c r="KEK42" s="33"/>
      <c r="KEL42" s="33"/>
      <c r="KEM42" s="33"/>
      <c r="KEN42" s="33"/>
      <c r="KEO42" s="33"/>
      <c r="KEP42" s="33"/>
      <c r="KEQ42" s="33"/>
      <c r="KER42" s="33"/>
      <c r="KES42" s="33"/>
      <c r="KET42" s="33"/>
      <c r="KEU42" s="33"/>
      <c r="KEV42" s="33"/>
      <c r="KEW42" s="33"/>
      <c r="KEX42" s="33"/>
      <c r="KEY42" s="33"/>
      <c r="KEZ42" s="33"/>
      <c r="KFA42" s="33"/>
      <c r="KFB42" s="33"/>
      <c r="KFC42" s="33"/>
      <c r="KFD42" s="33"/>
      <c r="KFE42" s="33"/>
      <c r="KFF42" s="33"/>
      <c r="KFG42" s="33"/>
      <c r="KFH42" s="33"/>
      <c r="KFI42" s="33"/>
      <c r="KFJ42" s="33"/>
      <c r="KFK42" s="33"/>
      <c r="KFL42" s="33"/>
      <c r="KFM42" s="33"/>
      <c r="KFN42" s="33"/>
      <c r="KFO42" s="33"/>
      <c r="KFP42" s="33"/>
      <c r="KFQ42" s="33"/>
      <c r="KFR42" s="33"/>
      <c r="KFS42" s="33"/>
      <c r="KFT42" s="33"/>
      <c r="KFU42" s="33"/>
      <c r="KFV42" s="33"/>
      <c r="KFW42" s="33"/>
      <c r="KFX42" s="33"/>
      <c r="KFY42" s="33"/>
      <c r="KFZ42" s="33"/>
      <c r="KGA42" s="33"/>
      <c r="KGB42" s="33"/>
      <c r="KGC42" s="33"/>
      <c r="KGD42" s="33"/>
      <c r="KGE42" s="33"/>
      <c r="KGF42" s="33"/>
      <c r="KGG42" s="33"/>
      <c r="KGH42" s="33"/>
      <c r="KGI42" s="33"/>
      <c r="KGJ42" s="33"/>
      <c r="KGK42" s="33"/>
      <c r="KGL42" s="33"/>
      <c r="KGM42" s="33"/>
      <c r="KGN42" s="33"/>
      <c r="KGO42" s="33"/>
      <c r="KGP42" s="33"/>
      <c r="KGQ42" s="33"/>
      <c r="KGR42" s="33"/>
      <c r="KGS42" s="33"/>
      <c r="KGT42" s="33"/>
      <c r="KGU42" s="33"/>
      <c r="KGV42" s="33"/>
      <c r="KGW42" s="33"/>
      <c r="KGX42" s="33"/>
      <c r="KGY42" s="33"/>
      <c r="KGZ42" s="33"/>
      <c r="KHA42" s="33"/>
      <c r="KHB42" s="33"/>
      <c r="KHC42" s="33"/>
      <c r="KHD42" s="33"/>
      <c r="KHE42" s="33"/>
      <c r="KHF42" s="33"/>
      <c r="KHG42" s="33"/>
      <c r="KHH42" s="33"/>
      <c r="KHI42" s="33"/>
      <c r="KHJ42" s="33"/>
      <c r="KHK42" s="33"/>
      <c r="KHL42" s="33"/>
      <c r="KHM42" s="33"/>
      <c r="KHN42" s="33"/>
      <c r="KHO42" s="33"/>
      <c r="KHP42" s="33"/>
      <c r="KHQ42" s="33"/>
      <c r="KHR42" s="33"/>
      <c r="KHS42" s="33"/>
      <c r="KHT42" s="33"/>
      <c r="KHU42" s="33"/>
      <c r="KHV42" s="33"/>
      <c r="KHW42" s="33"/>
      <c r="KHX42" s="33"/>
      <c r="KHY42" s="33"/>
      <c r="KHZ42" s="33"/>
      <c r="KIA42" s="33"/>
      <c r="KIB42" s="33"/>
      <c r="KIC42" s="33"/>
      <c r="KID42" s="33"/>
      <c r="KIE42" s="33"/>
      <c r="KIF42" s="33"/>
      <c r="KIG42" s="33"/>
      <c r="KIH42" s="33"/>
      <c r="KII42" s="33"/>
      <c r="KIJ42" s="33"/>
      <c r="KIK42" s="33"/>
      <c r="KIL42" s="33"/>
      <c r="KIM42" s="33"/>
      <c r="KIN42" s="33"/>
      <c r="KIO42" s="33"/>
      <c r="KIP42" s="33"/>
      <c r="KIQ42" s="33"/>
      <c r="KIR42" s="33"/>
      <c r="KIS42" s="33"/>
      <c r="KIT42" s="33"/>
      <c r="KIU42" s="33"/>
      <c r="KIV42" s="33"/>
      <c r="KIW42" s="33"/>
      <c r="KIX42" s="33"/>
      <c r="KIY42" s="33"/>
      <c r="KIZ42" s="33"/>
      <c r="KJA42" s="33"/>
      <c r="KJB42" s="33"/>
      <c r="KJC42" s="33"/>
      <c r="KJD42" s="33"/>
      <c r="KJE42" s="33"/>
      <c r="KJF42" s="33"/>
      <c r="KJG42" s="33"/>
      <c r="KJH42" s="33"/>
      <c r="KJI42" s="33"/>
      <c r="KJJ42" s="33"/>
      <c r="KJK42" s="33"/>
      <c r="KJL42" s="33"/>
      <c r="KJM42" s="33"/>
      <c r="KJN42" s="33"/>
      <c r="KJO42" s="33"/>
      <c r="KJP42" s="33"/>
      <c r="KJQ42" s="33"/>
      <c r="KJR42" s="33"/>
      <c r="KJS42" s="33"/>
      <c r="KJT42" s="33"/>
      <c r="KJU42" s="33"/>
      <c r="KJV42" s="33"/>
      <c r="KJW42" s="33"/>
      <c r="KJX42" s="33"/>
      <c r="KJY42" s="33"/>
      <c r="KJZ42" s="33"/>
      <c r="KKA42" s="33"/>
      <c r="KKB42" s="33"/>
      <c r="KKC42" s="33"/>
      <c r="KKD42" s="33"/>
      <c r="KKE42" s="33"/>
      <c r="KKF42" s="33"/>
      <c r="KKG42" s="33"/>
      <c r="KKH42" s="33"/>
      <c r="KKI42" s="33"/>
      <c r="KKJ42" s="33"/>
      <c r="KKK42" s="33"/>
      <c r="KKL42" s="33"/>
      <c r="KKM42" s="33"/>
      <c r="KKN42" s="33"/>
      <c r="KKO42" s="33"/>
      <c r="KKP42" s="33"/>
      <c r="KKQ42" s="33"/>
      <c r="KKR42" s="33"/>
      <c r="KKS42" s="33"/>
      <c r="KKT42" s="33"/>
      <c r="KKU42" s="33"/>
      <c r="KKV42" s="33"/>
      <c r="KKW42" s="33"/>
      <c r="KKX42" s="33"/>
      <c r="KKY42" s="33"/>
      <c r="KKZ42" s="33"/>
      <c r="KLA42" s="33"/>
      <c r="KLB42" s="33"/>
      <c r="KLC42" s="33"/>
      <c r="KLD42" s="33"/>
      <c r="KLE42" s="33"/>
      <c r="KLF42" s="33"/>
      <c r="KLG42" s="33"/>
      <c r="KLH42" s="33"/>
      <c r="KLI42" s="33"/>
      <c r="KLJ42" s="33"/>
      <c r="KLK42" s="33"/>
      <c r="KLL42" s="33"/>
      <c r="KLM42" s="33"/>
      <c r="KLN42" s="33"/>
      <c r="KLO42" s="33"/>
      <c r="KLP42" s="33"/>
      <c r="KLQ42" s="33"/>
      <c r="KLR42" s="33"/>
      <c r="KLS42" s="33"/>
      <c r="KLT42" s="33"/>
      <c r="KLU42" s="33"/>
      <c r="KLV42" s="33"/>
      <c r="KLW42" s="33"/>
      <c r="KLX42" s="33"/>
      <c r="KLY42" s="33"/>
      <c r="KLZ42" s="33"/>
      <c r="KMA42" s="33"/>
      <c r="KMB42" s="33"/>
      <c r="KMC42" s="33"/>
      <c r="KMD42" s="33"/>
      <c r="KME42" s="33"/>
      <c r="KMF42" s="33"/>
      <c r="KMG42" s="33"/>
      <c r="KMH42" s="33"/>
      <c r="KMI42" s="33"/>
      <c r="KMJ42" s="33"/>
      <c r="KMK42" s="33"/>
      <c r="KML42" s="33"/>
      <c r="KMM42" s="33"/>
      <c r="KMN42" s="33"/>
      <c r="KMO42" s="33"/>
      <c r="KMP42" s="33"/>
      <c r="KMQ42" s="33"/>
      <c r="KMR42" s="33"/>
      <c r="KMS42" s="33"/>
      <c r="KMT42" s="33"/>
      <c r="KMU42" s="33"/>
      <c r="KMV42" s="33"/>
      <c r="KMW42" s="33"/>
      <c r="KMX42" s="33"/>
      <c r="KMY42" s="33"/>
      <c r="KMZ42" s="33"/>
      <c r="KNA42" s="33"/>
      <c r="KNB42" s="33"/>
      <c r="KNC42" s="33"/>
      <c r="KND42" s="33"/>
      <c r="KNE42" s="33"/>
      <c r="KNF42" s="33"/>
      <c r="KNG42" s="33"/>
      <c r="KNH42" s="33"/>
      <c r="KNI42" s="33"/>
      <c r="KNJ42" s="33"/>
      <c r="KNK42" s="33"/>
      <c r="KNL42" s="33"/>
      <c r="KNM42" s="33"/>
      <c r="KNN42" s="33"/>
      <c r="KNO42" s="33"/>
      <c r="KNP42" s="33"/>
      <c r="KNQ42" s="33"/>
      <c r="KNR42" s="33"/>
      <c r="KNS42" s="33"/>
      <c r="KNT42" s="33"/>
      <c r="KNU42" s="33"/>
      <c r="KNV42" s="33"/>
      <c r="KNW42" s="33"/>
      <c r="KNX42" s="33"/>
      <c r="KNY42" s="33"/>
      <c r="KNZ42" s="33"/>
      <c r="KOA42" s="33"/>
      <c r="KOB42" s="33"/>
      <c r="KOC42" s="33"/>
      <c r="KOD42" s="33"/>
      <c r="KOE42" s="33"/>
      <c r="KOF42" s="33"/>
      <c r="KOG42" s="33"/>
      <c r="KOH42" s="33"/>
      <c r="KOI42" s="33"/>
      <c r="KOJ42" s="33"/>
      <c r="KOK42" s="33"/>
      <c r="KOL42" s="33"/>
      <c r="KOM42" s="33"/>
      <c r="KON42" s="33"/>
      <c r="KOO42" s="33"/>
      <c r="KOP42" s="33"/>
      <c r="KOQ42" s="33"/>
      <c r="KOR42" s="33"/>
      <c r="KOS42" s="33"/>
      <c r="KOT42" s="33"/>
      <c r="KOU42" s="33"/>
      <c r="KOV42" s="33"/>
      <c r="KOW42" s="33"/>
      <c r="KOX42" s="33"/>
      <c r="KOY42" s="33"/>
      <c r="KOZ42" s="33"/>
      <c r="KPA42" s="33"/>
      <c r="KPB42" s="33"/>
      <c r="KPC42" s="33"/>
      <c r="KPD42" s="33"/>
      <c r="KPE42" s="33"/>
      <c r="KPF42" s="33"/>
      <c r="KPG42" s="33"/>
      <c r="KPH42" s="33"/>
      <c r="KPI42" s="33"/>
      <c r="KPJ42" s="33"/>
      <c r="KPK42" s="33"/>
      <c r="KPL42" s="33"/>
      <c r="KPM42" s="33"/>
      <c r="KPN42" s="33"/>
      <c r="KPO42" s="33"/>
      <c r="KPP42" s="33"/>
      <c r="KPQ42" s="33"/>
      <c r="KPR42" s="33"/>
      <c r="KPS42" s="33"/>
      <c r="KPT42" s="33"/>
      <c r="KPU42" s="33"/>
      <c r="KPV42" s="33"/>
      <c r="KPW42" s="33"/>
      <c r="KPX42" s="33"/>
      <c r="KPY42" s="33"/>
      <c r="KPZ42" s="33"/>
      <c r="KQA42" s="33"/>
      <c r="KQB42" s="33"/>
      <c r="KQC42" s="33"/>
      <c r="KQD42" s="33"/>
      <c r="KQE42" s="33"/>
      <c r="KQF42" s="33"/>
      <c r="KQG42" s="33"/>
      <c r="KQH42" s="33"/>
      <c r="KQI42" s="33"/>
      <c r="KQJ42" s="33"/>
      <c r="KQK42" s="33"/>
      <c r="KQL42" s="33"/>
      <c r="KQM42" s="33"/>
      <c r="KQN42" s="33"/>
      <c r="KQO42" s="33"/>
      <c r="KQP42" s="33"/>
      <c r="KQQ42" s="33"/>
      <c r="KQR42" s="33"/>
      <c r="KQS42" s="33"/>
      <c r="KQT42" s="33"/>
      <c r="KQU42" s="33"/>
      <c r="KQV42" s="33"/>
      <c r="KQW42" s="33"/>
      <c r="KQX42" s="33"/>
      <c r="KQY42" s="33"/>
      <c r="KQZ42" s="33"/>
      <c r="KRA42" s="33"/>
      <c r="KRB42" s="33"/>
      <c r="KRC42" s="33"/>
      <c r="KRD42" s="33"/>
      <c r="KRE42" s="33"/>
      <c r="KRF42" s="33"/>
      <c r="KRG42" s="33"/>
      <c r="KRH42" s="33"/>
      <c r="KRI42" s="33"/>
      <c r="KRJ42" s="33"/>
      <c r="KRK42" s="33"/>
      <c r="KRL42" s="33"/>
      <c r="KRM42" s="33"/>
      <c r="KRN42" s="33"/>
      <c r="KRO42" s="33"/>
      <c r="KRP42" s="33"/>
      <c r="KRQ42" s="33"/>
      <c r="KRR42" s="33"/>
      <c r="KRS42" s="33"/>
      <c r="KRT42" s="33"/>
      <c r="KRU42" s="33"/>
      <c r="KRV42" s="33"/>
      <c r="KRW42" s="33"/>
      <c r="KRX42" s="33"/>
      <c r="KRY42" s="33"/>
      <c r="KRZ42" s="33"/>
      <c r="KSA42" s="33"/>
      <c r="KSB42" s="33"/>
      <c r="KSC42" s="33"/>
      <c r="KSD42" s="33"/>
      <c r="KSE42" s="33"/>
      <c r="KSF42" s="33"/>
      <c r="KSG42" s="33"/>
      <c r="KSH42" s="33"/>
      <c r="KSI42" s="33"/>
      <c r="KSJ42" s="33"/>
      <c r="KSK42" s="33"/>
      <c r="KSL42" s="33"/>
      <c r="KSM42" s="33"/>
      <c r="KSN42" s="33"/>
      <c r="KSO42" s="33"/>
      <c r="KSP42" s="33"/>
      <c r="KSQ42" s="33"/>
      <c r="KSR42" s="33"/>
      <c r="KSS42" s="33"/>
      <c r="KST42" s="33"/>
      <c r="KSU42" s="33"/>
      <c r="KSV42" s="33"/>
      <c r="KSW42" s="33"/>
      <c r="KSX42" s="33"/>
      <c r="KSY42" s="33"/>
      <c r="KSZ42" s="33"/>
      <c r="KTA42" s="33"/>
      <c r="KTB42" s="33"/>
      <c r="KTC42" s="33"/>
      <c r="KTD42" s="33"/>
      <c r="KTE42" s="33"/>
      <c r="KTF42" s="33"/>
      <c r="KTG42" s="33"/>
      <c r="KTH42" s="33"/>
      <c r="KTI42" s="33"/>
      <c r="KTJ42" s="33"/>
      <c r="KTK42" s="33"/>
      <c r="KTL42" s="33"/>
      <c r="KTM42" s="33"/>
      <c r="KTN42" s="33"/>
      <c r="KTO42" s="33"/>
      <c r="KTP42" s="33"/>
      <c r="KTQ42" s="33"/>
      <c r="KTR42" s="33"/>
      <c r="KTS42" s="33"/>
      <c r="KTT42" s="33"/>
      <c r="KTU42" s="33"/>
      <c r="KTV42" s="33"/>
      <c r="KTW42" s="33"/>
      <c r="KTX42" s="33"/>
      <c r="KTY42" s="33"/>
      <c r="KTZ42" s="33"/>
      <c r="KUA42" s="33"/>
      <c r="KUB42" s="33"/>
      <c r="KUC42" s="33"/>
      <c r="KUD42" s="33"/>
      <c r="KUE42" s="33"/>
      <c r="KUF42" s="33"/>
      <c r="KUG42" s="33"/>
      <c r="KUH42" s="33"/>
      <c r="KUI42" s="33"/>
      <c r="KUJ42" s="33"/>
      <c r="KUK42" s="33"/>
      <c r="KUL42" s="33"/>
      <c r="KUM42" s="33"/>
      <c r="KUN42" s="33"/>
      <c r="KUO42" s="33"/>
      <c r="KUP42" s="33"/>
      <c r="KUQ42" s="33"/>
      <c r="KUR42" s="33"/>
      <c r="KUS42" s="33"/>
      <c r="KUT42" s="33"/>
      <c r="KUU42" s="33"/>
      <c r="KUV42" s="33"/>
      <c r="KUW42" s="33"/>
      <c r="KUX42" s="33"/>
      <c r="KUY42" s="33"/>
      <c r="KUZ42" s="33"/>
      <c r="KVA42" s="33"/>
      <c r="KVB42" s="33"/>
      <c r="KVC42" s="33"/>
      <c r="KVD42" s="33"/>
      <c r="KVE42" s="33"/>
      <c r="KVF42" s="33"/>
      <c r="KVG42" s="33"/>
      <c r="KVH42" s="33"/>
      <c r="KVI42" s="33"/>
      <c r="KVJ42" s="33"/>
      <c r="KVK42" s="33"/>
      <c r="KVL42" s="33"/>
      <c r="KVM42" s="33"/>
      <c r="KVN42" s="33"/>
      <c r="KVO42" s="33"/>
      <c r="KVP42" s="33"/>
      <c r="KVQ42" s="33"/>
      <c r="KVR42" s="33"/>
      <c r="KVS42" s="33"/>
      <c r="KVT42" s="33"/>
      <c r="KVU42" s="33"/>
      <c r="KVV42" s="33"/>
      <c r="KVW42" s="33"/>
      <c r="KVX42" s="33"/>
      <c r="KVY42" s="33"/>
      <c r="KVZ42" s="33"/>
      <c r="KWA42" s="33"/>
      <c r="KWB42" s="33"/>
      <c r="KWC42" s="33"/>
      <c r="KWD42" s="33"/>
      <c r="KWE42" s="33"/>
      <c r="KWF42" s="33"/>
      <c r="KWG42" s="33"/>
      <c r="KWH42" s="33"/>
      <c r="KWI42" s="33"/>
      <c r="KWJ42" s="33"/>
      <c r="KWK42" s="33"/>
      <c r="KWL42" s="33"/>
      <c r="KWM42" s="33"/>
      <c r="KWN42" s="33"/>
      <c r="KWO42" s="33"/>
      <c r="KWP42" s="33"/>
      <c r="KWQ42" s="33"/>
      <c r="KWR42" s="33"/>
      <c r="KWS42" s="33"/>
      <c r="KWT42" s="33"/>
      <c r="KWU42" s="33"/>
      <c r="KWV42" s="33"/>
      <c r="KWW42" s="33"/>
      <c r="KWX42" s="33"/>
      <c r="KWY42" s="33"/>
      <c r="KWZ42" s="33"/>
      <c r="KXA42" s="33"/>
      <c r="KXB42" s="33"/>
      <c r="KXC42" s="33"/>
      <c r="KXD42" s="33"/>
      <c r="KXE42" s="33"/>
      <c r="KXF42" s="33"/>
      <c r="KXG42" s="33"/>
      <c r="KXH42" s="33"/>
      <c r="KXI42" s="33"/>
      <c r="KXJ42" s="33"/>
      <c r="KXK42" s="33"/>
      <c r="KXL42" s="33"/>
      <c r="KXM42" s="33"/>
      <c r="KXN42" s="33"/>
      <c r="KXO42" s="33"/>
      <c r="KXP42" s="33"/>
      <c r="KXQ42" s="33"/>
      <c r="KXR42" s="33"/>
      <c r="KXS42" s="33"/>
      <c r="KXT42" s="33"/>
      <c r="KXU42" s="33"/>
      <c r="KXV42" s="33"/>
      <c r="KXW42" s="33"/>
      <c r="KXX42" s="33"/>
      <c r="KXY42" s="33"/>
      <c r="KXZ42" s="33"/>
      <c r="KYA42" s="33"/>
      <c r="KYB42" s="33"/>
      <c r="KYC42" s="33"/>
      <c r="KYD42" s="33"/>
      <c r="KYE42" s="33"/>
      <c r="KYF42" s="33"/>
      <c r="KYG42" s="33"/>
      <c r="KYH42" s="33"/>
      <c r="KYI42" s="33"/>
      <c r="KYJ42" s="33"/>
      <c r="KYK42" s="33"/>
      <c r="KYL42" s="33"/>
      <c r="KYM42" s="33"/>
      <c r="KYN42" s="33"/>
      <c r="KYO42" s="33"/>
      <c r="KYP42" s="33"/>
      <c r="KYQ42" s="33"/>
      <c r="KYR42" s="33"/>
      <c r="KYS42" s="33"/>
      <c r="KYT42" s="33"/>
      <c r="KYU42" s="33"/>
      <c r="KYV42" s="33"/>
      <c r="KYW42" s="33"/>
      <c r="KYX42" s="33"/>
      <c r="KYY42" s="33"/>
      <c r="KYZ42" s="33"/>
      <c r="KZA42" s="33"/>
      <c r="KZB42" s="33"/>
      <c r="KZC42" s="33"/>
      <c r="KZD42" s="33"/>
      <c r="KZE42" s="33"/>
      <c r="KZF42" s="33"/>
      <c r="KZG42" s="33"/>
      <c r="KZH42" s="33"/>
      <c r="KZI42" s="33"/>
      <c r="KZJ42" s="33"/>
      <c r="KZK42" s="33"/>
      <c r="KZL42" s="33"/>
      <c r="KZM42" s="33"/>
      <c r="KZN42" s="33"/>
      <c r="KZO42" s="33"/>
      <c r="KZP42" s="33"/>
      <c r="KZQ42" s="33"/>
      <c r="KZR42" s="33"/>
      <c r="KZS42" s="33"/>
      <c r="KZT42" s="33"/>
      <c r="KZU42" s="33"/>
      <c r="KZV42" s="33"/>
      <c r="KZW42" s="33"/>
      <c r="KZX42" s="33"/>
      <c r="KZY42" s="33"/>
      <c r="KZZ42" s="33"/>
      <c r="LAA42" s="33"/>
      <c r="LAB42" s="33"/>
      <c r="LAC42" s="33"/>
      <c r="LAD42" s="33"/>
      <c r="LAE42" s="33"/>
      <c r="LAF42" s="33"/>
      <c r="LAG42" s="33"/>
      <c r="LAH42" s="33"/>
      <c r="LAI42" s="33"/>
      <c r="LAJ42" s="33"/>
      <c r="LAK42" s="33"/>
      <c r="LAL42" s="33"/>
      <c r="LAM42" s="33"/>
      <c r="LAN42" s="33"/>
      <c r="LAO42" s="33"/>
      <c r="LAP42" s="33"/>
      <c r="LAQ42" s="33"/>
      <c r="LAR42" s="33"/>
      <c r="LAS42" s="33"/>
      <c r="LAT42" s="33"/>
      <c r="LAU42" s="33"/>
      <c r="LAV42" s="33"/>
      <c r="LAW42" s="33"/>
      <c r="LAX42" s="33"/>
      <c r="LAY42" s="33"/>
      <c r="LAZ42" s="33"/>
      <c r="LBA42" s="33"/>
      <c r="LBB42" s="33"/>
      <c r="LBC42" s="33"/>
      <c r="LBD42" s="33"/>
      <c r="LBE42" s="33"/>
      <c r="LBF42" s="33"/>
      <c r="LBG42" s="33"/>
      <c r="LBH42" s="33"/>
      <c r="LBI42" s="33"/>
      <c r="LBJ42" s="33"/>
      <c r="LBK42" s="33"/>
      <c r="LBL42" s="33"/>
      <c r="LBM42" s="33"/>
      <c r="LBN42" s="33"/>
      <c r="LBO42" s="33"/>
      <c r="LBP42" s="33"/>
      <c r="LBQ42" s="33"/>
      <c r="LBR42" s="33"/>
      <c r="LBS42" s="33"/>
      <c r="LBT42" s="33"/>
      <c r="LBU42" s="33"/>
      <c r="LBV42" s="33"/>
      <c r="LBW42" s="33"/>
      <c r="LBX42" s="33"/>
      <c r="LBY42" s="33"/>
      <c r="LBZ42" s="33"/>
      <c r="LCA42" s="33"/>
      <c r="LCB42" s="33"/>
      <c r="LCC42" s="33"/>
      <c r="LCD42" s="33"/>
      <c r="LCE42" s="33"/>
      <c r="LCF42" s="33"/>
      <c r="LCG42" s="33"/>
      <c r="LCH42" s="33"/>
      <c r="LCI42" s="33"/>
      <c r="LCJ42" s="33"/>
      <c r="LCK42" s="33"/>
      <c r="LCL42" s="33"/>
      <c r="LCM42" s="33"/>
      <c r="LCN42" s="33"/>
      <c r="LCO42" s="33"/>
      <c r="LCP42" s="33"/>
      <c r="LCQ42" s="33"/>
      <c r="LCR42" s="33"/>
      <c r="LCS42" s="33"/>
      <c r="LCT42" s="33"/>
      <c r="LCU42" s="33"/>
      <c r="LCV42" s="33"/>
      <c r="LCW42" s="33"/>
      <c r="LCX42" s="33"/>
      <c r="LCY42" s="33"/>
      <c r="LCZ42" s="33"/>
      <c r="LDA42" s="33"/>
      <c r="LDB42" s="33"/>
      <c r="LDC42" s="33"/>
      <c r="LDD42" s="33"/>
      <c r="LDE42" s="33"/>
      <c r="LDF42" s="33"/>
      <c r="LDG42" s="33"/>
      <c r="LDH42" s="33"/>
      <c r="LDI42" s="33"/>
      <c r="LDJ42" s="33"/>
      <c r="LDK42" s="33"/>
      <c r="LDL42" s="33"/>
      <c r="LDM42" s="33"/>
      <c r="LDN42" s="33"/>
      <c r="LDO42" s="33"/>
      <c r="LDP42" s="33"/>
      <c r="LDQ42" s="33"/>
      <c r="LDR42" s="33"/>
      <c r="LDS42" s="33"/>
      <c r="LDT42" s="33"/>
      <c r="LDU42" s="33"/>
      <c r="LDV42" s="33"/>
      <c r="LDW42" s="33"/>
      <c r="LDX42" s="33"/>
      <c r="LDY42" s="33"/>
      <c r="LDZ42" s="33"/>
      <c r="LEA42" s="33"/>
      <c r="LEB42" s="33"/>
      <c r="LEC42" s="33"/>
      <c r="LED42" s="33"/>
      <c r="LEE42" s="33"/>
      <c r="LEF42" s="33"/>
      <c r="LEG42" s="33"/>
      <c r="LEH42" s="33"/>
      <c r="LEI42" s="33"/>
      <c r="LEJ42" s="33"/>
      <c r="LEK42" s="33"/>
      <c r="LEL42" s="33"/>
      <c r="LEM42" s="33"/>
      <c r="LEN42" s="33"/>
      <c r="LEO42" s="33"/>
      <c r="LEP42" s="33"/>
      <c r="LEQ42" s="33"/>
      <c r="LER42" s="33"/>
      <c r="LES42" s="33"/>
      <c r="LET42" s="33"/>
      <c r="LEU42" s="33"/>
      <c r="LEV42" s="33"/>
      <c r="LEW42" s="33"/>
      <c r="LEX42" s="33"/>
      <c r="LEY42" s="33"/>
      <c r="LEZ42" s="33"/>
      <c r="LFA42" s="33"/>
      <c r="LFB42" s="33"/>
      <c r="LFC42" s="33"/>
      <c r="LFD42" s="33"/>
      <c r="LFE42" s="33"/>
      <c r="LFF42" s="33"/>
      <c r="LFG42" s="33"/>
      <c r="LFH42" s="33"/>
      <c r="LFI42" s="33"/>
      <c r="LFJ42" s="33"/>
      <c r="LFK42" s="33"/>
      <c r="LFL42" s="33"/>
      <c r="LFM42" s="33"/>
      <c r="LFN42" s="33"/>
      <c r="LFO42" s="33"/>
      <c r="LFP42" s="33"/>
      <c r="LFQ42" s="33"/>
      <c r="LFR42" s="33"/>
      <c r="LFS42" s="33"/>
      <c r="LFT42" s="33"/>
      <c r="LFU42" s="33"/>
      <c r="LFV42" s="33"/>
      <c r="LFW42" s="33"/>
      <c r="LFX42" s="33"/>
      <c r="LFY42" s="33"/>
      <c r="LFZ42" s="33"/>
      <c r="LGA42" s="33"/>
      <c r="LGB42" s="33"/>
      <c r="LGC42" s="33"/>
      <c r="LGD42" s="33"/>
      <c r="LGE42" s="33"/>
      <c r="LGF42" s="33"/>
      <c r="LGG42" s="33"/>
      <c r="LGH42" s="33"/>
      <c r="LGI42" s="33"/>
      <c r="LGJ42" s="33"/>
      <c r="LGK42" s="33"/>
      <c r="LGL42" s="33"/>
      <c r="LGM42" s="33"/>
      <c r="LGN42" s="33"/>
      <c r="LGO42" s="33"/>
      <c r="LGP42" s="33"/>
      <c r="LGQ42" s="33"/>
      <c r="LGR42" s="33"/>
      <c r="LGS42" s="33"/>
      <c r="LGT42" s="33"/>
      <c r="LGU42" s="33"/>
      <c r="LGV42" s="33"/>
      <c r="LGW42" s="33"/>
      <c r="LGX42" s="33"/>
      <c r="LGY42" s="33"/>
      <c r="LGZ42" s="33"/>
      <c r="LHA42" s="33"/>
      <c r="LHB42" s="33"/>
      <c r="LHC42" s="33"/>
      <c r="LHD42" s="33"/>
      <c r="LHE42" s="33"/>
      <c r="LHF42" s="33"/>
      <c r="LHG42" s="33"/>
      <c r="LHH42" s="33"/>
      <c r="LHI42" s="33"/>
      <c r="LHJ42" s="33"/>
      <c r="LHK42" s="33"/>
      <c r="LHL42" s="33"/>
      <c r="LHM42" s="33"/>
      <c r="LHN42" s="33"/>
      <c r="LHO42" s="33"/>
      <c r="LHP42" s="33"/>
      <c r="LHQ42" s="33"/>
      <c r="LHR42" s="33"/>
      <c r="LHS42" s="33"/>
      <c r="LHT42" s="33"/>
      <c r="LHU42" s="33"/>
      <c r="LHV42" s="33"/>
      <c r="LHW42" s="33"/>
      <c r="LHX42" s="33"/>
      <c r="LHY42" s="33"/>
      <c r="LHZ42" s="33"/>
      <c r="LIA42" s="33"/>
      <c r="LIB42" s="33"/>
      <c r="LIC42" s="33"/>
      <c r="LID42" s="33"/>
      <c r="LIE42" s="33"/>
      <c r="LIF42" s="33"/>
      <c r="LIG42" s="33"/>
      <c r="LIH42" s="33"/>
      <c r="LII42" s="33"/>
      <c r="LIJ42" s="33"/>
      <c r="LIK42" s="33"/>
      <c r="LIL42" s="33"/>
      <c r="LIM42" s="33"/>
      <c r="LIN42" s="33"/>
      <c r="LIO42" s="33"/>
      <c r="LIP42" s="33"/>
      <c r="LIQ42" s="33"/>
      <c r="LIR42" s="33"/>
      <c r="LIS42" s="33"/>
      <c r="LIT42" s="33"/>
      <c r="LIU42" s="33"/>
      <c r="LIV42" s="33"/>
      <c r="LIW42" s="33"/>
      <c r="LIX42" s="33"/>
      <c r="LIY42" s="33"/>
      <c r="LIZ42" s="33"/>
      <c r="LJA42" s="33"/>
      <c r="LJB42" s="33"/>
      <c r="LJC42" s="33"/>
      <c r="LJD42" s="33"/>
      <c r="LJE42" s="33"/>
      <c r="LJF42" s="33"/>
      <c r="LJG42" s="33"/>
      <c r="LJH42" s="33"/>
      <c r="LJI42" s="33"/>
      <c r="LJJ42" s="33"/>
      <c r="LJK42" s="33"/>
      <c r="LJL42" s="33"/>
      <c r="LJM42" s="33"/>
      <c r="LJN42" s="33"/>
      <c r="LJO42" s="33"/>
      <c r="LJP42" s="33"/>
      <c r="LJQ42" s="33"/>
      <c r="LJR42" s="33"/>
      <c r="LJS42" s="33"/>
      <c r="LJT42" s="33"/>
      <c r="LJU42" s="33"/>
      <c r="LJV42" s="33"/>
      <c r="LJW42" s="33"/>
      <c r="LJX42" s="33"/>
      <c r="LJY42" s="33"/>
      <c r="LJZ42" s="33"/>
      <c r="LKA42" s="33"/>
      <c r="LKB42" s="33"/>
      <c r="LKC42" s="33"/>
      <c r="LKD42" s="33"/>
      <c r="LKE42" s="33"/>
      <c r="LKF42" s="33"/>
      <c r="LKG42" s="33"/>
      <c r="LKH42" s="33"/>
      <c r="LKI42" s="33"/>
      <c r="LKJ42" s="33"/>
      <c r="LKK42" s="33"/>
      <c r="LKL42" s="33"/>
      <c r="LKM42" s="33"/>
      <c r="LKN42" s="33"/>
      <c r="LKO42" s="33"/>
      <c r="LKP42" s="33"/>
      <c r="LKQ42" s="33"/>
      <c r="LKR42" s="33"/>
      <c r="LKS42" s="33"/>
      <c r="LKT42" s="33"/>
      <c r="LKU42" s="33"/>
      <c r="LKV42" s="33"/>
      <c r="LKW42" s="33"/>
      <c r="LKX42" s="33"/>
      <c r="LKY42" s="33"/>
      <c r="LKZ42" s="33"/>
      <c r="LLA42" s="33"/>
      <c r="LLB42" s="33"/>
      <c r="LLC42" s="33"/>
      <c r="LLD42" s="33"/>
      <c r="LLE42" s="33"/>
      <c r="LLF42" s="33"/>
      <c r="LLG42" s="33"/>
      <c r="LLH42" s="33"/>
      <c r="LLI42" s="33"/>
      <c r="LLJ42" s="33"/>
      <c r="LLK42" s="33"/>
      <c r="LLL42" s="33"/>
      <c r="LLM42" s="33"/>
      <c r="LLN42" s="33"/>
      <c r="LLO42" s="33"/>
      <c r="LLP42" s="33"/>
      <c r="LLQ42" s="33"/>
      <c r="LLR42" s="33"/>
      <c r="LLS42" s="33"/>
      <c r="LLT42" s="33"/>
      <c r="LLU42" s="33"/>
      <c r="LLV42" s="33"/>
      <c r="LLW42" s="33"/>
      <c r="LLX42" s="33"/>
      <c r="LLY42" s="33"/>
      <c r="LLZ42" s="33"/>
      <c r="LMA42" s="33"/>
      <c r="LMB42" s="33"/>
      <c r="LMC42" s="33"/>
      <c r="LMD42" s="33"/>
      <c r="LME42" s="33"/>
      <c r="LMF42" s="33"/>
      <c r="LMG42" s="33"/>
      <c r="LMH42" s="33"/>
      <c r="LMI42" s="33"/>
      <c r="LMJ42" s="33"/>
      <c r="LMK42" s="33"/>
      <c r="LML42" s="33"/>
      <c r="LMM42" s="33"/>
      <c r="LMN42" s="33"/>
      <c r="LMO42" s="33"/>
      <c r="LMP42" s="33"/>
      <c r="LMQ42" s="33"/>
      <c r="LMR42" s="33"/>
      <c r="LMS42" s="33"/>
      <c r="LMT42" s="33"/>
      <c r="LMU42" s="33"/>
      <c r="LMV42" s="33"/>
      <c r="LMW42" s="33"/>
      <c r="LMX42" s="33"/>
      <c r="LMY42" s="33"/>
      <c r="LMZ42" s="33"/>
      <c r="LNA42" s="33"/>
      <c r="LNB42" s="33"/>
      <c r="LNC42" s="33"/>
      <c r="LND42" s="33"/>
      <c r="LNE42" s="33"/>
      <c r="LNF42" s="33"/>
      <c r="LNG42" s="33"/>
      <c r="LNH42" s="33"/>
      <c r="LNI42" s="33"/>
      <c r="LNJ42" s="33"/>
      <c r="LNK42" s="33"/>
      <c r="LNL42" s="33"/>
      <c r="LNM42" s="33"/>
      <c r="LNN42" s="33"/>
      <c r="LNO42" s="33"/>
      <c r="LNP42" s="33"/>
      <c r="LNQ42" s="33"/>
      <c r="LNR42" s="33"/>
      <c r="LNS42" s="33"/>
      <c r="LNT42" s="33"/>
      <c r="LNU42" s="33"/>
      <c r="LNV42" s="33"/>
      <c r="LNW42" s="33"/>
      <c r="LNX42" s="33"/>
      <c r="LNY42" s="33"/>
      <c r="LNZ42" s="33"/>
      <c r="LOA42" s="33"/>
      <c r="LOB42" s="33"/>
      <c r="LOC42" s="33"/>
      <c r="LOD42" s="33"/>
      <c r="LOE42" s="33"/>
      <c r="LOF42" s="33"/>
      <c r="LOG42" s="33"/>
      <c r="LOH42" s="33"/>
      <c r="LOI42" s="33"/>
      <c r="LOJ42" s="33"/>
      <c r="LOK42" s="33"/>
      <c r="LOL42" s="33"/>
      <c r="LOM42" s="33"/>
      <c r="LON42" s="33"/>
      <c r="LOO42" s="33"/>
      <c r="LOP42" s="33"/>
      <c r="LOQ42" s="33"/>
      <c r="LOR42" s="33"/>
      <c r="LOS42" s="33"/>
      <c r="LOT42" s="33"/>
      <c r="LOU42" s="33"/>
      <c r="LOV42" s="33"/>
      <c r="LOW42" s="33"/>
      <c r="LOX42" s="33"/>
      <c r="LOY42" s="33"/>
      <c r="LOZ42" s="33"/>
      <c r="LPA42" s="33"/>
      <c r="LPB42" s="33"/>
      <c r="LPC42" s="33"/>
      <c r="LPD42" s="33"/>
      <c r="LPE42" s="33"/>
      <c r="LPF42" s="33"/>
      <c r="LPG42" s="33"/>
      <c r="LPH42" s="33"/>
      <c r="LPI42" s="33"/>
      <c r="LPJ42" s="33"/>
      <c r="LPK42" s="33"/>
      <c r="LPL42" s="33"/>
      <c r="LPM42" s="33"/>
      <c r="LPN42" s="33"/>
      <c r="LPO42" s="33"/>
      <c r="LPP42" s="33"/>
      <c r="LPQ42" s="33"/>
      <c r="LPR42" s="33"/>
      <c r="LPS42" s="33"/>
      <c r="LPT42" s="33"/>
      <c r="LPU42" s="33"/>
      <c r="LPV42" s="33"/>
      <c r="LPW42" s="33"/>
      <c r="LPX42" s="33"/>
      <c r="LPY42" s="33"/>
      <c r="LPZ42" s="33"/>
      <c r="LQA42" s="33"/>
      <c r="LQB42" s="33"/>
      <c r="LQC42" s="33"/>
      <c r="LQD42" s="33"/>
      <c r="LQE42" s="33"/>
      <c r="LQF42" s="33"/>
      <c r="LQG42" s="33"/>
      <c r="LQH42" s="33"/>
      <c r="LQI42" s="33"/>
      <c r="LQJ42" s="33"/>
      <c r="LQK42" s="33"/>
      <c r="LQL42" s="33"/>
      <c r="LQM42" s="33"/>
      <c r="LQN42" s="33"/>
      <c r="LQO42" s="33"/>
      <c r="LQP42" s="33"/>
      <c r="LQQ42" s="33"/>
      <c r="LQR42" s="33"/>
      <c r="LQS42" s="33"/>
      <c r="LQT42" s="33"/>
      <c r="LQU42" s="33"/>
      <c r="LQV42" s="33"/>
      <c r="LQW42" s="33"/>
      <c r="LQX42" s="33"/>
      <c r="LQY42" s="33"/>
      <c r="LQZ42" s="33"/>
      <c r="LRA42" s="33"/>
      <c r="LRB42" s="33"/>
      <c r="LRC42" s="33"/>
      <c r="LRD42" s="33"/>
      <c r="LRE42" s="33"/>
      <c r="LRF42" s="33"/>
      <c r="LRG42" s="33"/>
      <c r="LRH42" s="33"/>
      <c r="LRI42" s="33"/>
      <c r="LRJ42" s="33"/>
      <c r="LRK42" s="33"/>
      <c r="LRL42" s="33"/>
      <c r="LRM42" s="33"/>
      <c r="LRN42" s="33"/>
      <c r="LRO42" s="33"/>
      <c r="LRP42" s="33"/>
      <c r="LRQ42" s="33"/>
      <c r="LRR42" s="33"/>
      <c r="LRS42" s="33"/>
      <c r="LRT42" s="33"/>
      <c r="LRU42" s="33"/>
      <c r="LRV42" s="33"/>
      <c r="LRW42" s="33"/>
      <c r="LRX42" s="33"/>
      <c r="LRY42" s="33"/>
      <c r="LRZ42" s="33"/>
      <c r="LSA42" s="33"/>
      <c r="LSB42" s="33"/>
      <c r="LSC42" s="33"/>
      <c r="LSD42" s="33"/>
      <c r="LSE42" s="33"/>
      <c r="LSF42" s="33"/>
      <c r="LSG42" s="33"/>
      <c r="LSH42" s="33"/>
      <c r="LSI42" s="33"/>
      <c r="LSJ42" s="33"/>
      <c r="LSK42" s="33"/>
      <c r="LSL42" s="33"/>
      <c r="LSM42" s="33"/>
      <c r="LSN42" s="33"/>
      <c r="LSO42" s="33"/>
      <c r="LSP42" s="33"/>
      <c r="LSQ42" s="33"/>
      <c r="LSR42" s="33"/>
      <c r="LSS42" s="33"/>
      <c r="LST42" s="33"/>
      <c r="LSU42" s="33"/>
      <c r="LSV42" s="33"/>
      <c r="LSW42" s="33"/>
      <c r="LSX42" s="33"/>
      <c r="LSY42" s="33"/>
      <c r="LSZ42" s="33"/>
      <c r="LTA42" s="33"/>
      <c r="LTB42" s="33"/>
      <c r="LTC42" s="33"/>
      <c r="LTD42" s="33"/>
      <c r="LTE42" s="33"/>
      <c r="LTF42" s="33"/>
      <c r="LTG42" s="33"/>
      <c r="LTH42" s="33"/>
      <c r="LTI42" s="33"/>
      <c r="LTJ42" s="33"/>
      <c r="LTK42" s="33"/>
      <c r="LTL42" s="33"/>
      <c r="LTM42" s="33"/>
      <c r="LTN42" s="33"/>
      <c r="LTO42" s="33"/>
      <c r="LTP42" s="33"/>
      <c r="LTQ42" s="33"/>
      <c r="LTR42" s="33"/>
      <c r="LTS42" s="33"/>
      <c r="LTT42" s="33"/>
      <c r="LTU42" s="33"/>
      <c r="LTV42" s="33"/>
      <c r="LTW42" s="33"/>
      <c r="LTX42" s="33"/>
      <c r="LTY42" s="33"/>
      <c r="LTZ42" s="33"/>
      <c r="LUA42" s="33"/>
      <c r="LUB42" s="33"/>
      <c r="LUC42" s="33"/>
      <c r="LUD42" s="33"/>
      <c r="LUE42" s="33"/>
      <c r="LUF42" s="33"/>
      <c r="LUG42" s="33"/>
      <c r="LUH42" s="33"/>
      <c r="LUI42" s="33"/>
      <c r="LUJ42" s="33"/>
      <c r="LUK42" s="33"/>
      <c r="LUL42" s="33"/>
      <c r="LUM42" s="33"/>
      <c r="LUN42" s="33"/>
      <c r="LUO42" s="33"/>
      <c r="LUP42" s="33"/>
      <c r="LUQ42" s="33"/>
      <c r="LUR42" s="33"/>
      <c r="LUS42" s="33"/>
      <c r="LUT42" s="33"/>
      <c r="LUU42" s="33"/>
      <c r="LUV42" s="33"/>
      <c r="LUW42" s="33"/>
      <c r="LUX42" s="33"/>
      <c r="LUY42" s="33"/>
      <c r="LUZ42" s="33"/>
      <c r="LVA42" s="33"/>
      <c r="LVB42" s="33"/>
      <c r="LVC42" s="33"/>
      <c r="LVD42" s="33"/>
      <c r="LVE42" s="33"/>
      <c r="LVF42" s="33"/>
      <c r="LVG42" s="33"/>
      <c r="LVH42" s="33"/>
      <c r="LVI42" s="33"/>
      <c r="LVJ42" s="33"/>
      <c r="LVK42" s="33"/>
      <c r="LVL42" s="33"/>
      <c r="LVM42" s="33"/>
      <c r="LVN42" s="33"/>
      <c r="LVO42" s="33"/>
      <c r="LVP42" s="33"/>
      <c r="LVQ42" s="33"/>
      <c r="LVR42" s="33"/>
      <c r="LVS42" s="33"/>
      <c r="LVT42" s="33"/>
      <c r="LVU42" s="33"/>
      <c r="LVV42" s="33"/>
      <c r="LVW42" s="33"/>
      <c r="LVX42" s="33"/>
      <c r="LVY42" s="33"/>
      <c r="LVZ42" s="33"/>
      <c r="LWA42" s="33"/>
      <c r="LWB42" s="33"/>
      <c r="LWC42" s="33"/>
      <c r="LWD42" s="33"/>
      <c r="LWE42" s="33"/>
      <c r="LWF42" s="33"/>
      <c r="LWG42" s="33"/>
      <c r="LWH42" s="33"/>
      <c r="LWI42" s="33"/>
      <c r="LWJ42" s="33"/>
      <c r="LWK42" s="33"/>
      <c r="LWL42" s="33"/>
      <c r="LWM42" s="33"/>
      <c r="LWN42" s="33"/>
      <c r="LWO42" s="33"/>
      <c r="LWP42" s="33"/>
      <c r="LWQ42" s="33"/>
      <c r="LWR42" s="33"/>
      <c r="LWS42" s="33"/>
      <c r="LWT42" s="33"/>
      <c r="LWU42" s="33"/>
      <c r="LWV42" s="33"/>
      <c r="LWW42" s="33"/>
      <c r="LWX42" s="33"/>
      <c r="LWY42" s="33"/>
      <c r="LWZ42" s="33"/>
      <c r="LXA42" s="33"/>
      <c r="LXB42" s="33"/>
      <c r="LXC42" s="33"/>
      <c r="LXD42" s="33"/>
      <c r="LXE42" s="33"/>
      <c r="LXF42" s="33"/>
      <c r="LXG42" s="33"/>
      <c r="LXH42" s="33"/>
      <c r="LXI42" s="33"/>
      <c r="LXJ42" s="33"/>
      <c r="LXK42" s="33"/>
      <c r="LXL42" s="33"/>
      <c r="LXM42" s="33"/>
      <c r="LXN42" s="33"/>
      <c r="LXO42" s="33"/>
      <c r="LXP42" s="33"/>
      <c r="LXQ42" s="33"/>
      <c r="LXR42" s="33"/>
      <c r="LXS42" s="33"/>
      <c r="LXT42" s="33"/>
      <c r="LXU42" s="33"/>
      <c r="LXV42" s="33"/>
      <c r="LXW42" s="33"/>
      <c r="LXX42" s="33"/>
      <c r="LXY42" s="33"/>
      <c r="LXZ42" s="33"/>
      <c r="LYA42" s="33"/>
      <c r="LYB42" s="33"/>
      <c r="LYC42" s="33"/>
      <c r="LYD42" s="33"/>
      <c r="LYE42" s="33"/>
      <c r="LYF42" s="33"/>
      <c r="LYG42" s="33"/>
      <c r="LYH42" s="33"/>
      <c r="LYI42" s="33"/>
      <c r="LYJ42" s="33"/>
      <c r="LYK42" s="33"/>
      <c r="LYL42" s="33"/>
      <c r="LYM42" s="33"/>
      <c r="LYN42" s="33"/>
      <c r="LYO42" s="33"/>
      <c r="LYP42" s="33"/>
      <c r="LYQ42" s="33"/>
      <c r="LYR42" s="33"/>
      <c r="LYS42" s="33"/>
      <c r="LYT42" s="33"/>
      <c r="LYU42" s="33"/>
      <c r="LYV42" s="33"/>
      <c r="LYW42" s="33"/>
      <c r="LYX42" s="33"/>
      <c r="LYY42" s="33"/>
      <c r="LYZ42" s="33"/>
      <c r="LZA42" s="33"/>
      <c r="LZB42" s="33"/>
      <c r="LZC42" s="33"/>
      <c r="LZD42" s="33"/>
      <c r="LZE42" s="33"/>
      <c r="LZF42" s="33"/>
      <c r="LZG42" s="33"/>
      <c r="LZH42" s="33"/>
      <c r="LZI42" s="33"/>
      <c r="LZJ42" s="33"/>
      <c r="LZK42" s="33"/>
      <c r="LZL42" s="33"/>
      <c r="LZM42" s="33"/>
      <c r="LZN42" s="33"/>
      <c r="LZO42" s="33"/>
      <c r="LZP42" s="33"/>
      <c r="LZQ42" s="33"/>
      <c r="LZR42" s="33"/>
      <c r="LZS42" s="33"/>
      <c r="LZT42" s="33"/>
      <c r="LZU42" s="33"/>
      <c r="LZV42" s="33"/>
      <c r="LZW42" s="33"/>
      <c r="LZX42" s="33"/>
      <c r="LZY42" s="33"/>
      <c r="LZZ42" s="33"/>
      <c r="MAA42" s="33"/>
      <c r="MAB42" s="33"/>
      <c r="MAC42" s="33"/>
      <c r="MAD42" s="33"/>
      <c r="MAE42" s="33"/>
      <c r="MAF42" s="33"/>
      <c r="MAG42" s="33"/>
      <c r="MAH42" s="33"/>
      <c r="MAI42" s="33"/>
      <c r="MAJ42" s="33"/>
      <c r="MAK42" s="33"/>
      <c r="MAL42" s="33"/>
      <c r="MAM42" s="33"/>
      <c r="MAN42" s="33"/>
      <c r="MAO42" s="33"/>
      <c r="MAP42" s="33"/>
      <c r="MAQ42" s="33"/>
      <c r="MAR42" s="33"/>
      <c r="MAS42" s="33"/>
      <c r="MAT42" s="33"/>
      <c r="MAU42" s="33"/>
      <c r="MAV42" s="33"/>
      <c r="MAW42" s="33"/>
      <c r="MAX42" s="33"/>
      <c r="MAY42" s="33"/>
      <c r="MAZ42" s="33"/>
      <c r="MBA42" s="33"/>
      <c r="MBB42" s="33"/>
      <c r="MBC42" s="33"/>
      <c r="MBD42" s="33"/>
      <c r="MBE42" s="33"/>
      <c r="MBF42" s="33"/>
      <c r="MBG42" s="33"/>
      <c r="MBH42" s="33"/>
      <c r="MBI42" s="33"/>
      <c r="MBJ42" s="33"/>
      <c r="MBK42" s="33"/>
      <c r="MBL42" s="33"/>
      <c r="MBM42" s="33"/>
      <c r="MBN42" s="33"/>
      <c r="MBO42" s="33"/>
      <c r="MBP42" s="33"/>
      <c r="MBQ42" s="33"/>
      <c r="MBR42" s="33"/>
      <c r="MBS42" s="33"/>
      <c r="MBT42" s="33"/>
      <c r="MBU42" s="33"/>
      <c r="MBV42" s="33"/>
      <c r="MBW42" s="33"/>
      <c r="MBX42" s="33"/>
      <c r="MBY42" s="33"/>
      <c r="MBZ42" s="33"/>
      <c r="MCA42" s="33"/>
      <c r="MCB42" s="33"/>
      <c r="MCC42" s="33"/>
      <c r="MCD42" s="33"/>
      <c r="MCE42" s="33"/>
      <c r="MCF42" s="33"/>
      <c r="MCG42" s="33"/>
      <c r="MCH42" s="33"/>
      <c r="MCI42" s="33"/>
      <c r="MCJ42" s="33"/>
      <c r="MCK42" s="33"/>
      <c r="MCL42" s="33"/>
      <c r="MCM42" s="33"/>
      <c r="MCN42" s="33"/>
      <c r="MCO42" s="33"/>
      <c r="MCP42" s="33"/>
      <c r="MCQ42" s="33"/>
      <c r="MCR42" s="33"/>
      <c r="MCS42" s="33"/>
      <c r="MCT42" s="33"/>
      <c r="MCU42" s="33"/>
      <c r="MCV42" s="33"/>
      <c r="MCW42" s="33"/>
      <c r="MCX42" s="33"/>
      <c r="MCY42" s="33"/>
      <c r="MCZ42" s="33"/>
      <c r="MDA42" s="33"/>
      <c r="MDB42" s="33"/>
      <c r="MDC42" s="33"/>
      <c r="MDD42" s="33"/>
      <c r="MDE42" s="33"/>
      <c r="MDF42" s="33"/>
      <c r="MDG42" s="33"/>
      <c r="MDH42" s="33"/>
      <c r="MDI42" s="33"/>
      <c r="MDJ42" s="33"/>
      <c r="MDK42" s="33"/>
      <c r="MDL42" s="33"/>
      <c r="MDM42" s="33"/>
      <c r="MDN42" s="33"/>
      <c r="MDO42" s="33"/>
      <c r="MDP42" s="33"/>
      <c r="MDQ42" s="33"/>
      <c r="MDR42" s="33"/>
      <c r="MDS42" s="33"/>
      <c r="MDT42" s="33"/>
      <c r="MDU42" s="33"/>
      <c r="MDV42" s="33"/>
      <c r="MDW42" s="33"/>
      <c r="MDX42" s="33"/>
      <c r="MDY42" s="33"/>
      <c r="MDZ42" s="33"/>
      <c r="MEA42" s="33"/>
      <c r="MEB42" s="33"/>
      <c r="MEC42" s="33"/>
      <c r="MED42" s="33"/>
      <c r="MEE42" s="33"/>
      <c r="MEF42" s="33"/>
      <c r="MEG42" s="33"/>
      <c r="MEH42" s="33"/>
      <c r="MEI42" s="33"/>
      <c r="MEJ42" s="33"/>
      <c r="MEK42" s="33"/>
      <c r="MEL42" s="33"/>
      <c r="MEM42" s="33"/>
      <c r="MEN42" s="33"/>
      <c r="MEO42" s="33"/>
      <c r="MEP42" s="33"/>
      <c r="MEQ42" s="33"/>
      <c r="MER42" s="33"/>
      <c r="MES42" s="33"/>
      <c r="MET42" s="33"/>
      <c r="MEU42" s="33"/>
      <c r="MEV42" s="33"/>
      <c r="MEW42" s="33"/>
      <c r="MEX42" s="33"/>
      <c r="MEY42" s="33"/>
      <c r="MEZ42" s="33"/>
      <c r="MFA42" s="33"/>
      <c r="MFB42" s="33"/>
      <c r="MFC42" s="33"/>
      <c r="MFD42" s="33"/>
      <c r="MFE42" s="33"/>
      <c r="MFF42" s="33"/>
      <c r="MFG42" s="33"/>
      <c r="MFH42" s="33"/>
      <c r="MFI42" s="33"/>
      <c r="MFJ42" s="33"/>
      <c r="MFK42" s="33"/>
      <c r="MFL42" s="33"/>
      <c r="MFM42" s="33"/>
      <c r="MFN42" s="33"/>
      <c r="MFO42" s="33"/>
      <c r="MFP42" s="33"/>
      <c r="MFQ42" s="33"/>
      <c r="MFR42" s="33"/>
      <c r="MFS42" s="33"/>
      <c r="MFT42" s="33"/>
      <c r="MFU42" s="33"/>
      <c r="MFV42" s="33"/>
      <c r="MFW42" s="33"/>
      <c r="MFX42" s="33"/>
      <c r="MFY42" s="33"/>
      <c r="MFZ42" s="33"/>
      <c r="MGA42" s="33"/>
      <c r="MGB42" s="33"/>
      <c r="MGC42" s="33"/>
      <c r="MGD42" s="33"/>
      <c r="MGE42" s="33"/>
      <c r="MGF42" s="33"/>
      <c r="MGG42" s="33"/>
      <c r="MGH42" s="33"/>
      <c r="MGI42" s="33"/>
      <c r="MGJ42" s="33"/>
      <c r="MGK42" s="33"/>
      <c r="MGL42" s="33"/>
      <c r="MGM42" s="33"/>
      <c r="MGN42" s="33"/>
      <c r="MGO42" s="33"/>
      <c r="MGP42" s="33"/>
      <c r="MGQ42" s="33"/>
      <c r="MGR42" s="33"/>
      <c r="MGS42" s="33"/>
      <c r="MGT42" s="33"/>
      <c r="MGU42" s="33"/>
      <c r="MGV42" s="33"/>
      <c r="MGW42" s="33"/>
      <c r="MGX42" s="33"/>
      <c r="MGY42" s="33"/>
      <c r="MGZ42" s="33"/>
      <c r="MHA42" s="33"/>
      <c r="MHB42" s="33"/>
      <c r="MHC42" s="33"/>
      <c r="MHD42" s="33"/>
      <c r="MHE42" s="33"/>
      <c r="MHF42" s="33"/>
      <c r="MHG42" s="33"/>
      <c r="MHH42" s="33"/>
      <c r="MHI42" s="33"/>
      <c r="MHJ42" s="33"/>
      <c r="MHK42" s="33"/>
      <c r="MHL42" s="33"/>
      <c r="MHM42" s="33"/>
      <c r="MHN42" s="33"/>
      <c r="MHO42" s="33"/>
      <c r="MHP42" s="33"/>
      <c r="MHQ42" s="33"/>
      <c r="MHR42" s="33"/>
      <c r="MHS42" s="33"/>
      <c r="MHT42" s="33"/>
      <c r="MHU42" s="33"/>
      <c r="MHV42" s="33"/>
      <c r="MHW42" s="33"/>
      <c r="MHX42" s="33"/>
      <c r="MHY42" s="33"/>
      <c r="MHZ42" s="33"/>
      <c r="MIA42" s="33"/>
      <c r="MIB42" s="33"/>
      <c r="MIC42" s="33"/>
      <c r="MID42" s="33"/>
      <c r="MIE42" s="33"/>
      <c r="MIF42" s="33"/>
      <c r="MIG42" s="33"/>
      <c r="MIH42" s="33"/>
      <c r="MII42" s="33"/>
      <c r="MIJ42" s="33"/>
      <c r="MIK42" s="33"/>
      <c r="MIL42" s="33"/>
      <c r="MIM42" s="33"/>
      <c r="MIN42" s="33"/>
      <c r="MIO42" s="33"/>
      <c r="MIP42" s="33"/>
      <c r="MIQ42" s="33"/>
      <c r="MIR42" s="33"/>
      <c r="MIS42" s="33"/>
      <c r="MIT42" s="33"/>
      <c r="MIU42" s="33"/>
      <c r="MIV42" s="33"/>
      <c r="MIW42" s="33"/>
      <c r="MIX42" s="33"/>
      <c r="MIY42" s="33"/>
      <c r="MIZ42" s="33"/>
      <c r="MJA42" s="33"/>
      <c r="MJB42" s="33"/>
      <c r="MJC42" s="33"/>
      <c r="MJD42" s="33"/>
      <c r="MJE42" s="33"/>
      <c r="MJF42" s="33"/>
      <c r="MJG42" s="33"/>
      <c r="MJH42" s="33"/>
      <c r="MJI42" s="33"/>
      <c r="MJJ42" s="33"/>
      <c r="MJK42" s="33"/>
      <c r="MJL42" s="33"/>
      <c r="MJM42" s="33"/>
      <c r="MJN42" s="33"/>
      <c r="MJO42" s="33"/>
      <c r="MJP42" s="33"/>
      <c r="MJQ42" s="33"/>
      <c r="MJR42" s="33"/>
      <c r="MJS42" s="33"/>
      <c r="MJT42" s="33"/>
      <c r="MJU42" s="33"/>
      <c r="MJV42" s="33"/>
      <c r="MJW42" s="33"/>
      <c r="MJX42" s="33"/>
      <c r="MJY42" s="33"/>
      <c r="MJZ42" s="33"/>
      <c r="MKA42" s="33"/>
      <c r="MKB42" s="33"/>
      <c r="MKC42" s="33"/>
      <c r="MKD42" s="33"/>
      <c r="MKE42" s="33"/>
      <c r="MKF42" s="33"/>
      <c r="MKG42" s="33"/>
      <c r="MKH42" s="33"/>
      <c r="MKI42" s="33"/>
      <c r="MKJ42" s="33"/>
      <c r="MKK42" s="33"/>
      <c r="MKL42" s="33"/>
      <c r="MKM42" s="33"/>
      <c r="MKN42" s="33"/>
      <c r="MKO42" s="33"/>
      <c r="MKP42" s="33"/>
      <c r="MKQ42" s="33"/>
      <c r="MKR42" s="33"/>
      <c r="MKS42" s="33"/>
      <c r="MKT42" s="33"/>
      <c r="MKU42" s="33"/>
      <c r="MKV42" s="33"/>
      <c r="MKW42" s="33"/>
      <c r="MKX42" s="33"/>
      <c r="MKY42" s="33"/>
      <c r="MKZ42" s="33"/>
      <c r="MLA42" s="33"/>
      <c r="MLB42" s="33"/>
      <c r="MLC42" s="33"/>
      <c r="MLD42" s="33"/>
      <c r="MLE42" s="33"/>
      <c r="MLF42" s="33"/>
      <c r="MLG42" s="33"/>
      <c r="MLH42" s="33"/>
      <c r="MLI42" s="33"/>
      <c r="MLJ42" s="33"/>
      <c r="MLK42" s="33"/>
      <c r="MLL42" s="33"/>
      <c r="MLM42" s="33"/>
      <c r="MLN42" s="33"/>
      <c r="MLO42" s="33"/>
      <c r="MLP42" s="33"/>
      <c r="MLQ42" s="33"/>
      <c r="MLR42" s="33"/>
      <c r="MLS42" s="33"/>
      <c r="MLT42" s="33"/>
      <c r="MLU42" s="33"/>
      <c r="MLV42" s="33"/>
      <c r="MLW42" s="33"/>
      <c r="MLX42" s="33"/>
      <c r="MLY42" s="33"/>
      <c r="MLZ42" s="33"/>
      <c r="MMA42" s="33"/>
      <c r="MMB42" s="33"/>
      <c r="MMC42" s="33"/>
      <c r="MMD42" s="33"/>
      <c r="MME42" s="33"/>
      <c r="MMF42" s="33"/>
      <c r="MMG42" s="33"/>
      <c r="MMH42" s="33"/>
      <c r="MMI42" s="33"/>
      <c r="MMJ42" s="33"/>
      <c r="MMK42" s="33"/>
      <c r="MML42" s="33"/>
      <c r="MMM42" s="33"/>
      <c r="MMN42" s="33"/>
      <c r="MMO42" s="33"/>
      <c r="MMP42" s="33"/>
      <c r="MMQ42" s="33"/>
      <c r="MMR42" s="33"/>
      <c r="MMS42" s="33"/>
      <c r="MMT42" s="33"/>
      <c r="MMU42" s="33"/>
      <c r="MMV42" s="33"/>
      <c r="MMW42" s="33"/>
      <c r="MMX42" s="33"/>
      <c r="MMY42" s="33"/>
      <c r="MMZ42" s="33"/>
      <c r="MNA42" s="33"/>
      <c r="MNB42" s="33"/>
      <c r="MNC42" s="33"/>
      <c r="MND42" s="33"/>
      <c r="MNE42" s="33"/>
      <c r="MNF42" s="33"/>
      <c r="MNG42" s="33"/>
      <c r="MNH42" s="33"/>
      <c r="MNI42" s="33"/>
      <c r="MNJ42" s="33"/>
      <c r="MNK42" s="33"/>
      <c r="MNL42" s="33"/>
      <c r="MNM42" s="33"/>
      <c r="MNN42" s="33"/>
      <c r="MNO42" s="33"/>
      <c r="MNP42" s="33"/>
      <c r="MNQ42" s="33"/>
      <c r="MNR42" s="33"/>
      <c r="MNS42" s="33"/>
      <c r="MNT42" s="33"/>
      <c r="MNU42" s="33"/>
      <c r="MNV42" s="33"/>
      <c r="MNW42" s="33"/>
      <c r="MNX42" s="33"/>
      <c r="MNY42" s="33"/>
      <c r="MNZ42" s="33"/>
      <c r="MOA42" s="33"/>
      <c r="MOB42" s="33"/>
      <c r="MOC42" s="33"/>
      <c r="MOD42" s="33"/>
      <c r="MOE42" s="33"/>
      <c r="MOF42" s="33"/>
      <c r="MOG42" s="33"/>
      <c r="MOH42" s="33"/>
      <c r="MOI42" s="33"/>
      <c r="MOJ42" s="33"/>
      <c r="MOK42" s="33"/>
      <c r="MOL42" s="33"/>
      <c r="MOM42" s="33"/>
      <c r="MON42" s="33"/>
      <c r="MOO42" s="33"/>
      <c r="MOP42" s="33"/>
      <c r="MOQ42" s="33"/>
      <c r="MOR42" s="33"/>
      <c r="MOS42" s="33"/>
      <c r="MOT42" s="33"/>
      <c r="MOU42" s="33"/>
      <c r="MOV42" s="33"/>
      <c r="MOW42" s="33"/>
      <c r="MOX42" s="33"/>
      <c r="MOY42" s="33"/>
      <c r="MOZ42" s="33"/>
      <c r="MPA42" s="33"/>
      <c r="MPB42" s="33"/>
      <c r="MPC42" s="33"/>
      <c r="MPD42" s="33"/>
      <c r="MPE42" s="33"/>
      <c r="MPF42" s="33"/>
      <c r="MPG42" s="33"/>
      <c r="MPH42" s="33"/>
      <c r="MPI42" s="33"/>
      <c r="MPJ42" s="33"/>
      <c r="MPK42" s="33"/>
      <c r="MPL42" s="33"/>
      <c r="MPM42" s="33"/>
      <c r="MPN42" s="33"/>
      <c r="MPO42" s="33"/>
      <c r="MPP42" s="33"/>
      <c r="MPQ42" s="33"/>
      <c r="MPR42" s="33"/>
      <c r="MPS42" s="33"/>
      <c r="MPT42" s="33"/>
      <c r="MPU42" s="33"/>
      <c r="MPV42" s="33"/>
      <c r="MPW42" s="33"/>
      <c r="MPX42" s="33"/>
      <c r="MPY42" s="33"/>
      <c r="MPZ42" s="33"/>
      <c r="MQA42" s="33"/>
      <c r="MQB42" s="33"/>
      <c r="MQC42" s="33"/>
      <c r="MQD42" s="33"/>
      <c r="MQE42" s="33"/>
      <c r="MQF42" s="33"/>
      <c r="MQG42" s="33"/>
      <c r="MQH42" s="33"/>
      <c r="MQI42" s="33"/>
      <c r="MQJ42" s="33"/>
      <c r="MQK42" s="33"/>
      <c r="MQL42" s="33"/>
      <c r="MQM42" s="33"/>
      <c r="MQN42" s="33"/>
      <c r="MQO42" s="33"/>
      <c r="MQP42" s="33"/>
      <c r="MQQ42" s="33"/>
      <c r="MQR42" s="33"/>
      <c r="MQS42" s="33"/>
      <c r="MQT42" s="33"/>
      <c r="MQU42" s="33"/>
      <c r="MQV42" s="33"/>
      <c r="MQW42" s="33"/>
      <c r="MQX42" s="33"/>
      <c r="MQY42" s="33"/>
      <c r="MQZ42" s="33"/>
      <c r="MRA42" s="33"/>
      <c r="MRB42" s="33"/>
      <c r="MRC42" s="33"/>
      <c r="MRD42" s="33"/>
      <c r="MRE42" s="33"/>
      <c r="MRF42" s="33"/>
      <c r="MRG42" s="33"/>
      <c r="MRH42" s="33"/>
      <c r="MRI42" s="33"/>
      <c r="MRJ42" s="33"/>
      <c r="MRK42" s="33"/>
      <c r="MRL42" s="33"/>
      <c r="MRM42" s="33"/>
      <c r="MRN42" s="33"/>
      <c r="MRO42" s="33"/>
      <c r="MRP42" s="33"/>
      <c r="MRQ42" s="33"/>
      <c r="MRR42" s="33"/>
      <c r="MRS42" s="33"/>
      <c r="MRT42" s="33"/>
      <c r="MRU42" s="33"/>
      <c r="MRV42" s="33"/>
      <c r="MRW42" s="33"/>
      <c r="MRX42" s="33"/>
      <c r="MRY42" s="33"/>
      <c r="MRZ42" s="33"/>
      <c r="MSA42" s="33"/>
      <c r="MSB42" s="33"/>
      <c r="MSC42" s="33"/>
      <c r="MSD42" s="33"/>
      <c r="MSE42" s="33"/>
      <c r="MSF42" s="33"/>
      <c r="MSG42" s="33"/>
      <c r="MSH42" s="33"/>
      <c r="MSI42" s="33"/>
      <c r="MSJ42" s="33"/>
      <c r="MSK42" s="33"/>
      <c r="MSL42" s="33"/>
      <c r="MSM42" s="33"/>
      <c r="MSN42" s="33"/>
      <c r="MSO42" s="33"/>
      <c r="MSP42" s="33"/>
      <c r="MSQ42" s="33"/>
      <c r="MSR42" s="33"/>
      <c r="MSS42" s="33"/>
      <c r="MST42" s="33"/>
      <c r="MSU42" s="33"/>
      <c r="MSV42" s="33"/>
      <c r="MSW42" s="33"/>
      <c r="MSX42" s="33"/>
      <c r="MSY42" s="33"/>
      <c r="MSZ42" s="33"/>
      <c r="MTA42" s="33"/>
      <c r="MTB42" s="33"/>
      <c r="MTC42" s="33"/>
      <c r="MTD42" s="33"/>
      <c r="MTE42" s="33"/>
      <c r="MTF42" s="33"/>
      <c r="MTG42" s="33"/>
      <c r="MTH42" s="33"/>
      <c r="MTI42" s="33"/>
      <c r="MTJ42" s="33"/>
      <c r="MTK42" s="33"/>
      <c r="MTL42" s="33"/>
      <c r="MTM42" s="33"/>
      <c r="MTN42" s="33"/>
      <c r="MTO42" s="33"/>
      <c r="MTP42" s="33"/>
      <c r="MTQ42" s="33"/>
      <c r="MTR42" s="33"/>
      <c r="MTS42" s="33"/>
      <c r="MTT42" s="33"/>
      <c r="MTU42" s="33"/>
      <c r="MTV42" s="33"/>
      <c r="MTW42" s="33"/>
      <c r="MTX42" s="33"/>
      <c r="MTY42" s="33"/>
      <c r="MTZ42" s="33"/>
      <c r="MUA42" s="33"/>
      <c r="MUB42" s="33"/>
      <c r="MUC42" s="33"/>
      <c r="MUD42" s="33"/>
      <c r="MUE42" s="33"/>
      <c r="MUF42" s="33"/>
      <c r="MUG42" s="33"/>
      <c r="MUH42" s="33"/>
      <c r="MUI42" s="33"/>
      <c r="MUJ42" s="33"/>
      <c r="MUK42" s="33"/>
      <c r="MUL42" s="33"/>
      <c r="MUM42" s="33"/>
      <c r="MUN42" s="33"/>
      <c r="MUO42" s="33"/>
      <c r="MUP42" s="33"/>
      <c r="MUQ42" s="33"/>
      <c r="MUR42" s="33"/>
      <c r="MUS42" s="33"/>
      <c r="MUT42" s="33"/>
      <c r="MUU42" s="33"/>
      <c r="MUV42" s="33"/>
      <c r="MUW42" s="33"/>
      <c r="MUX42" s="33"/>
      <c r="MUY42" s="33"/>
      <c r="MUZ42" s="33"/>
      <c r="MVA42" s="33"/>
      <c r="MVB42" s="33"/>
      <c r="MVC42" s="33"/>
      <c r="MVD42" s="33"/>
      <c r="MVE42" s="33"/>
      <c r="MVF42" s="33"/>
      <c r="MVG42" s="33"/>
      <c r="MVH42" s="33"/>
      <c r="MVI42" s="33"/>
      <c r="MVJ42" s="33"/>
      <c r="MVK42" s="33"/>
      <c r="MVL42" s="33"/>
      <c r="MVM42" s="33"/>
      <c r="MVN42" s="33"/>
      <c r="MVO42" s="33"/>
      <c r="MVP42" s="33"/>
      <c r="MVQ42" s="33"/>
      <c r="MVR42" s="33"/>
      <c r="MVS42" s="33"/>
      <c r="MVT42" s="33"/>
      <c r="MVU42" s="33"/>
      <c r="MVV42" s="33"/>
      <c r="MVW42" s="33"/>
      <c r="MVX42" s="33"/>
      <c r="MVY42" s="33"/>
      <c r="MVZ42" s="33"/>
      <c r="MWA42" s="33"/>
      <c r="MWB42" s="33"/>
      <c r="MWC42" s="33"/>
      <c r="MWD42" s="33"/>
      <c r="MWE42" s="33"/>
      <c r="MWF42" s="33"/>
      <c r="MWG42" s="33"/>
      <c r="MWH42" s="33"/>
      <c r="MWI42" s="33"/>
      <c r="MWJ42" s="33"/>
      <c r="MWK42" s="33"/>
      <c r="MWL42" s="33"/>
      <c r="MWM42" s="33"/>
      <c r="MWN42" s="33"/>
      <c r="MWO42" s="33"/>
      <c r="MWP42" s="33"/>
      <c r="MWQ42" s="33"/>
      <c r="MWR42" s="33"/>
      <c r="MWS42" s="33"/>
      <c r="MWT42" s="33"/>
      <c r="MWU42" s="33"/>
      <c r="MWV42" s="33"/>
      <c r="MWW42" s="33"/>
      <c r="MWX42" s="33"/>
      <c r="MWY42" s="33"/>
      <c r="MWZ42" s="33"/>
      <c r="MXA42" s="33"/>
      <c r="MXB42" s="33"/>
      <c r="MXC42" s="33"/>
      <c r="MXD42" s="33"/>
      <c r="MXE42" s="33"/>
      <c r="MXF42" s="33"/>
      <c r="MXG42" s="33"/>
      <c r="MXH42" s="33"/>
      <c r="MXI42" s="33"/>
      <c r="MXJ42" s="33"/>
      <c r="MXK42" s="33"/>
      <c r="MXL42" s="33"/>
      <c r="MXM42" s="33"/>
      <c r="MXN42" s="33"/>
      <c r="MXO42" s="33"/>
      <c r="MXP42" s="33"/>
      <c r="MXQ42" s="33"/>
      <c r="MXR42" s="33"/>
      <c r="MXS42" s="33"/>
      <c r="MXT42" s="33"/>
      <c r="MXU42" s="33"/>
      <c r="MXV42" s="33"/>
      <c r="MXW42" s="33"/>
      <c r="MXX42" s="33"/>
      <c r="MXY42" s="33"/>
      <c r="MXZ42" s="33"/>
      <c r="MYA42" s="33"/>
      <c r="MYB42" s="33"/>
      <c r="MYC42" s="33"/>
      <c r="MYD42" s="33"/>
      <c r="MYE42" s="33"/>
      <c r="MYF42" s="33"/>
      <c r="MYG42" s="33"/>
      <c r="MYH42" s="33"/>
      <c r="MYI42" s="33"/>
      <c r="MYJ42" s="33"/>
      <c r="MYK42" s="33"/>
      <c r="MYL42" s="33"/>
      <c r="MYM42" s="33"/>
      <c r="MYN42" s="33"/>
      <c r="MYO42" s="33"/>
      <c r="MYP42" s="33"/>
      <c r="MYQ42" s="33"/>
      <c r="MYR42" s="33"/>
      <c r="MYS42" s="33"/>
      <c r="MYT42" s="33"/>
      <c r="MYU42" s="33"/>
      <c r="MYV42" s="33"/>
      <c r="MYW42" s="33"/>
      <c r="MYX42" s="33"/>
      <c r="MYY42" s="33"/>
      <c r="MYZ42" s="33"/>
      <c r="MZA42" s="33"/>
      <c r="MZB42" s="33"/>
      <c r="MZC42" s="33"/>
      <c r="MZD42" s="33"/>
      <c r="MZE42" s="33"/>
      <c r="MZF42" s="33"/>
      <c r="MZG42" s="33"/>
      <c r="MZH42" s="33"/>
      <c r="MZI42" s="33"/>
      <c r="MZJ42" s="33"/>
      <c r="MZK42" s="33"/>
      <c r="MZL42" s="33"/>
      <c r="MZM42" s="33"/>
      <c r="MZN42" s="33"/>
      <c r="MZO42" s="33"/>
      <c r="MZP42" s="33"/>
      <c r="MZQ42" s="33"/>
      <c r="MZR42" s="33"/>
      <c r="MZS42" s="33"/>
      <c r="MZT42" s="33"/>
      <c r="MZU42" s="33"/>
      <c r="MZV42" s="33"/>
      <c r="MZW42" s="33"/>
      <c r="MZX42" s="33"/>
      <c r="MZY42" s="33"/>
      <c r="MZZ42" s="33"/>
      <c r="NAA42" s="33"/>
      <c r="NAB42" s="33"/>
      <c r="NAC42" s="33"/>
      <c r="NAD42" s="33"/>
      <c r="NAE42" s="33"/>
      <c r="NAF42" s="33"/>
      <c r="NAG42" s="33"/>
      <c r="NAH42" s="33"/>
      <c r="NAI42" s="33"/>
      <c r="NAJ42" s="33"/>
      <c r="NAK42" s="33"/>
      <c r="NAL42" s="33"/>
      <c r="NAM42" s="33"/>
      <c r="NAN42" s="33"/>
      <c r="NAO42" s="33"/>
      <c r="NAP42" s="33"/>
      <c r="NAQ42" s="33"/>
      <c r="NAR42" s="33"/>
      <c r="NAS42" s="33"/>
      <c r="NAT42" s="33"/>
      <c r="NAU42" s="33"/>
      <c r="NAV42" s="33"/>
      <c r="NAW42" s="33"/>
      <c r="NAX42" s="33"/>
      <c r="NAY42" s="33"/>
      <c r="NAZ42" s="33"/>
      <c r="NBA42" s="33"/>
      <c r="NBB42" s="33"/>
      <c r="NBC42" s="33"/>
      <c r="NBD42" s="33"/>
      <c r="NBE42" s="33"/>
      <c r="NBF42" s="33"/>
      <c r="NBG42" s="33"/>
      <c r="NBH42" s="33"/>
      <c r="NBI42" s="33"/>
      <c r="NBJ42" s="33"/>
      <c r="NBK42" s="33"/>
      <c r="NBL42" s="33"/>
      <c r="NBM42" s="33"/>
      <c r="NBN42" s="33"/>
      <c r="NBO42" s="33"/>
      <c r="NBP42" s="33"/>
      <c r="NBQ42" s="33"/>
      <c r="NBR42" s="33"/>
      <c r="NBS42" s="33"/>
      <c r="NBT42" s="33"/>
      <c r="NBU42" s="33"/>
      <c r="NBV42" s="33"/>
      <c r="NBW42" s="33"/>
      <c r="NBX42" s="33"/>
      <c r="NBY42" s="33"/>
      <c r="NBZ42" s="33"/>
      <c r="NCA42" s="33"/>
      <c r="NCB42" s="33"/>
      <c r="NCC42" s="33"/>
      <c r="NCD42" s="33"/>
      <c r="NCE42" s="33"/>
      <c r="NCF42" s="33"/>
      <c r="NCG42" s="33"/>
      <c r="NCH42" s="33"/>
      <c r="NCI42" s="33"/>
      <c r="NCJ42" s="33"/>
      <c r="NCK42" s="33"/>
      <c r="NCL42" s="33"/>
      <c r="NCM42" s="33"/>
      <c r="NCN42" s="33"/>
      <c r="NCO42" s="33"/>
      <c r="NCP42" s="33"/>
      <c r="NCQ42" s="33"/>
      <c r="NCR42" s="33"/>
      <c r="NCS42" s="33"/>
      <c r="NCT42" s="33"/>
      <c r="NCU42" s="33"/>
      <c r="NCV42" s="33"/>
      <c r="NCW42" s="33"/>
      <c r="NCX42" s="33"/>
      <c r="NCY42" s="33"/>
      <c r="NCZ42" s="33"/>
      <c r="NDA42" s="33"/>
      <c r="NDB42" s="33"/>
      <c r="NDC42" s="33"/>
      <c r="NDD42" s="33"/>
      <c r="NDE42" s="33"/>
      <c r="NDF42" s="33"/>
      <c r="NDG42" s="33"/>
      <c r="NDH42" s="33"/>
      <c r="NDI42" s="33"/>
      <c r="NDJ42" s="33"/>
      <c r="NDK42" s="33"/>
      <c r="NDL42" s="33"/>
      <c r="NDM42" s="33"/>
      <c r="NDN42" s="33"/>
      <c r="NDO42" s="33"/>
      <c r="NDP42" s="33"/>
      <c r="NDQ42" s="33"/>
      <c r="NDR42" s="33"/>
      <c r="NDS42" s="33"/>
      <c r="NDT42" s="33"/>
      <c r="NDU42" s="33"/>
      <c r="NDV42" s="33"/>
      <c r="NDW42" s="33"/>
      <c r="NDX42" s="33"/>
      <c r="NDY42" s="33"/>
      <c r="NDZ42" s="33"/>
      <c r="NEA42" s="33"/>
      <c r="NEB42" s="33"/>
      <c r="NEC42" s="33"/>
      <c r="NED42" s="33"/>
      <c r="NEE42" s="33"/>
      <c r="NEF42" s="33"/>
      <c r="NEG42" s="33"/>
      <c r="NEH42" s="33"/>
      <c r="NEI42" s="33"/>
      <c r="NEJ42" s="33"/>
      <c r="NEK42" s="33"/>
      <c r="NEL42" s="33"/>
      <c r="NEM42" s="33"/>
      <c r="NEN42" s="33"/>
      <c r="NEO42" s="33"/>
      <c r="NEP42" s="33"/>
      <c r="NEQ42" s="33"/>
      <c r="NER42" s="33"/>
      <c r="NES42" s="33"/>
      <c r="NET42" s="33"/>
      <c r="NEU42" s="33"/>
      <c r="NEV42" s="33"/>
      <c r="NEW42" s="33"/>
      <c r="NEX42" s="33"/>
      <c r="NEY42" s="33"/>
      <c r="NEZ42" s="33"/>
      <c r="NFA42" s="33"/>
      <c r="NFB42" s="33"/>
      <c r="NFC42" s="33"/>
      <c r="NFD42" s="33"/>
      <c r="NFE42" s="33"/>
      <c r="NFF42" s="33"/>
      <c r="NFG42" s="33"/>
      <c r="NFH42" s="33"/>
      <c r="NFI42" s="33"/>
      <c r="NFJ42" s="33"/>
      <c r="NFK42" s="33"/>
      <c r="NFL42" s="33"/>
      <c r="NFM42" s="33"/>
      <c r="NFN42" s="33"/>
      <c r="NFO42" s="33"/>
      <c r="NFP42" s="33"/>
      <c r="NFQ42" s="33"/>
      <c r="NFR42" s="33"/>
      <c r="NFS42" s="33"/>
      <c r="NFT42" s="33"/>
      <c r="NFU42" s="33"/>
      <c r="NFV42" s="33"/>
      <c r="NFW42" s="33"/>
      <c r="NFX42" s="33"/>
      <c r="NFY42" s="33"/>
      <c r="NFZ42" s="33"/>
      <c r="NGA42" s="33"/>
      <c r="NGB42" s="33"/>
      <c r="NGC42" s="33"/>
      <c r="NGD42" s="33"/>
      <c r="NGE42" s="33"/>
      <c r="NGF42" s="33"/>
      <c r="NGG42" s="33"/>
      <c r="NGH42" s="33"/>
      <c r="NGI42" s="33"/>
      <c r="NGJ42" s="33"/>
      <c r="NGK42" s="33"/>
      <c r="NGL42" s="33"/>
      <c r="NGM42" s="33"/>
      <c r="NGN42" s="33"/>
      <c r="NGO42" s="33"/>
      <c r="NGP42" s="33"/>
      <c r="NGQ42" s="33"/>
      <c r="NGR42" s="33"/>
      <c r="NGS42" s="33"/>
      <c r="NGT42" s="33"/>
      <c r="NGU42" s="33"/>
      <c r="NGV42" s="33"/>
      <c r="NGW42" s="33"/>
      <c r="NGX42" s="33"/>
      <c r="NGY42" s="33"/>
      <c r="NGZ42" s="33"/>
      <c r="NHA42" s="33"/>
      <c r="NHB42" s="33"/>
      <c r="NHC42" s="33"/>
      <c r="NHD42" s="33"/>
      <c r="NHE42" s="33"/>
      <c r="NHF42" s="33"/>
      <c r="NHG42" s="33"/>
      <c r="NHH42" s="33"/>
      <c r="NHI42" s="33"/>
      <c r="NHJ42" s="33"/>
      <c r="NHK42" s="33"/>
      <c r="NHL42" s="33"/>
      <c r="NHM42" s="33"/>
      <c r="NHN42" s="33"/>
      <c r="NHO42" s="33"/>
      <c r="NHP42" s="33"/>
      <c r="NHQ42" s="33"/>
      <c r="NHR42" s="33"/>
      <c r="NHS42" s="33"/>
      <c r="NHT42" s="33"/>
      <c r="NHU42" s="33"/>
      <c r="NHV42" s="33"/>
      <c r="NHW42" s="33"/>
      <c r="NHX42" s="33"/>
      <c r="NHY42" s="33"/>
      <c r="NHZ42" s="33"/>
      <c r="NIA42" s="33"/>
      <c r="NIB42" s="33"/>
      <c r="NIC42" s="33"/>
      <c r="NID42" s="33"/>
      <c r="NIE42" s="33"/>
      <c r="NIF42" s="33"/>
      <c r="NIG42" s="33"/>
      <c r="NIH42" s="33"/>
      <c r="NII42" s="33"/>
      <c r="NIJ42" s="33"/>
      <c r="NIK42" s="33"/>
      <c r="NIL42" s="33"/>
      <c r="NIM42" s="33"/>
      <c r="NIN42" s="33"/>
      <c r="NIO42" s="33"/>
      <c r="NIP42" s="33"/>
      <c r="NIQ42" s="33"/>
      <c r="NIR42" s="33"/>
      <c r="NIS42" s="33"/>
      <c r="NIT42" s="33"/>
      <c r="NIU42" s="33"/>
      <c r="NIV42" s="33"/>
      <c r="NIW42" s="33"/>
      <c r="NIX42" s="33"/>
      <c r="NIY42" s="33"/>
      <c r="NIZ42" s="33"/>
      <c r="NJA42" s="33"/>
      <c r="NJB42" s="33"/>
      <c r="NJC42" s="33"/>
      <c r="NJD42" s="33"/>
      <c r="NJE42" s="33"/>
      <c r="NJF42" s="33"/>
      <c r="NJG42" s="33"/>
      <c r="NJH42" s="33"/>
      <c r="NJI42" s="33"/>
      <c r="NJJ42" s="33"/>
      <c r="NJK42" s="33"/>
      <c r="NJL42" s="33"/>
      <c r="NJM42" s="33"/>
      <c r="NJN42" s="33"/>
      <c r="NJO42" s="33"/>
      <c r="NJP42" s="33"/>
      <c r="NJQ42" s="33"/>
      <c r="NJR42" s="33"/>
      <c r="NJS42" s="33"/>
      <c r="NJT42" s="33"/>
      <c r="NJU42" s="33"/>
      <c r="NJV42" s="33"/>
      <c r="NJW42" s="33"/>
      <c r="NJX42" s="33"/>
      <c r="NJY42" s="33"/>
      <c r="NJZ42" s="33"/>
      <c r="NKA42" s="33"/>
      <c r="NKB42" s="33"/>
      <c r="NKC42" s="33"/>
      <c r="NKD42" s="33"/>
      <c r="NKE42" s="33"/>
      <c r="NKF42" s="33"/>
      <c r="NKG42" s="33"/>
      <c r="NKH42" s="33"/>
      <c r="NKI42" s="33"/>
      <c r="NKJ42" s="33"/>
      <c r="NKK42" s="33"/>
      <c r="NKL42" s="33"/>
      <c r="NKM42" s="33"/>
      <c r="NKN42" s="33"/>
      <c r="NKO42" s="33"/>
      <c r="NKP42" s="33"/>
      <c r="NKQ42" s="33"/>
      <c r="NKR42" s="33"/>
      <c r="NKS42" s="33"/>
      <c r="NKT42" s="33"/>
      <c r="NKU42" s="33"/>
      <c r="NKV42" s="33"/>
      <c r="NKW42" s="33"/>
      <c r="NKX42" s="33"/>
      <c r="NKY42" s="33"/>
      <c r="NKZ42" s="33"/>
      <c r="NLA42" s="33"/>
      <c r="NLB42" s="33"/>
      <c r="NLC42" s="33"/>
      <c r="NLD42" s="33"/>
      <c r="NLE42" s="33"/>
      <c r="NLF42" s="33"/>
      <c r="NLG42" s="33"/>
      <c r="NLH42" s="33"/>
      <c r="NLI42" s="33"/>
      <c r="NLJ42" s="33"/>
      <c r="NLK42" s="33"/>
      <c r="NLL42" s="33"/>
      <c r="NLM42" s="33"/>
      <c r="NLN42" s="33"/>
      <c r="NLO42" s="33"/>
      <c r="NLP42" s="33"/>
      <c r="NLQ42" s="33"/>
      <c r="NLR42" s="33"/>
      <c r="NLS42" s="33"/>
      <c r="NLT42" s="33"/>
      <c r="NLU42" s="33"/>
      <c r="NLV42" s="33"/>
      <c r="NLW42" s="33"/>
      <c r="NLX42" s="33"/>
      <c r="NLY42" s="33"/>
      <c r="NLZ42" s="33"/>
      <c r="NMA42" s="33"/>
      <c r="NMB42" s="33"/>
      <c r="NMC42" s="33"/>
      <c r="NMD42" s="33"/>
      <c r="NME42" s="33"/>
      <c r="NMF42" s="33"/>
      <c r="NMG42" s="33"/>
      <c r="NMH42" s="33"/>
      <c r="NMI42" s="33"/>
      <c r="NMJ42" s="33"/>
      <c r="NMK42" s="33"/>
      <c r="NML42" s="33"/>
      <c r="NMM42" s="33"/>
      <c r="NMN42" s="33"/>
      <c r="NMO42" s="33"/>
      <c r="NMP42" s="33"/>
      <c r="NMQ42" s="33"/>
      <c r="NMR42" s="33"/>
      <c r="NMS42" s="33"/>
      <c r="NMT42" s="33"/>
      <c r="NMU42" s="33"/>
      <c r="NMV42" s="33"/>
      <c r="NMW42" s="33"/>
      <c r="NMX42" s="33"/>
      <c r="NMY42" s="33"/>
      <c r="NMZ42" s="33"/>
      <c r="NNA42" s="33"/>
      <c r="NNB42" s="33"/>
      <c r="NNC42" s="33"/>
      <c r="NND42" s="33"/>
      <c r="NNE42" s="33"/>
      <c r="NNF42" s="33"/>
      <c r="NNG42" s="33"/>
      <c r="NNH42" s="33"/>
      <c r="NNI42" s="33"/>
      <c r="NNJ42" s="33"/>
      <c r="NNK42" s="33"/>
      <c r="NNL42" s="33"/>
      <c r="NNM42" s="33"/>
      <c r="NNN42" s="33"/>
      <c r="NNO42" s="33"/>
      <c r="NNP42" s="33"/>
      <c r="NNQ42" s="33"/>
      <c r="NNR42" s="33"/>
      <c r="NNS42" s="33"/>
      <c r="NNT42" s="33"/>
      <c r="NNU42" s="33"/>
      <c r="NNV42" s="33"/>
      <c r="NNW42" s="33"/>
      <c r="NNX42" s="33"/>
      <c r="NNY42" s="33"/>
      <c r="NNZ42" s="33"/>
      <c r="NOA42" s="33"/>
      <c r="NOB42" s="33"/>
      <c r="NOC42" s="33"/>
      <c r="NOD42" s="33"/>
      <c r="NOE42" s="33"/>
      <c r="NOF42" s="33"/>
      <c r="NOG42" s="33"/>
      <c r="NOH42" s="33"/>
      <c r="NOI42" s="33"/>
      <c r="NOJ42" s="33"/>
      <c r="NOK42" s="33"/>
      <c r="NOL42" s="33"/>
      <c r="NOM42" s="33"/>
      <c r="NON42" s="33"/>
      <c r="NOO42" s="33"/>
      <c r="NOP42" s="33"/>
      <c r="NOQ42" s="33"/>
      <c r="NOR42" s="33"/>
      <c r="NOS42" s="33"/>
      <c r="NOT42" s="33"/>
      <c r="NOU42" s="33"/>
      <c r="NOV42" s="33"/>
      <c r="NOW42" s="33"/>
      <c r="NOX42" s="33"/>
      <c r="NOY42" s="33"/>
      <c r="NOZ42" s="33"/>
      <c r="NPA42" s="33"/>
      <c r="NPB42" s="33"/>
      <c r="NPC42" s="33"/>
      <c r="NPD42" s="33"/>
      <c r="NPE42" s="33"/>
      <c r="NPF42" s="33"/>
      <c r="NPG42" s="33"/>
      <c r="NPH42" s="33"/>
      <c r="NPI42" s="33"/>
      <c r="NPJ42" s="33"/>
      <c r="NPK42" s="33"/>
      <c r="NPL42" s="33"/>
      <c r="NPM42" s="33"/>
      <c r="NPN42" s="33"/>
      <c r="NPO42" s="33"/>
      <c r="NPP42" s="33"/>
      <c r="NPQ42" s="33"/>
      <c r="NPR42" s="33"/>
      <c r="NPS42" s="33"/>
      <c r="NPT42" s="33"/>
      <c r="NPU42" s="33"/>
      <c r="NPV42" s="33"/>
      <c r="NPW42" s="33"/>
      <c r="NPX42" s="33"/>
      <c r="NPY42" s="33"/>
      <c r="NPZ42" s="33"/>
      <c r="NQA42" s="33"/>
      <c r="NQB42" s="33"/>
      <c r="NQC42" s="33"/>
      <c r="NQD42" s="33"/>
      <c r="NQE42" s="33"/>
      <c r="NQF42" s="33"/>
      <c r="NQG42" s="33"/>
      <c r="NQH42" s="33"/>
      <c r="NQI42" s="33"/>
      <c r="NQJ42" s="33"/>
      <c r="NQK42" s="33"/>
      <c r="NQL42" s="33"/>
      <c r="NQM42" s="33"/>
      <c r="NQN42" s="33"/>
      <c r="NQO42" s="33"/>
      <c r="NQP42" s="33"/>
      <c r="NQQ42" s="33"/>
      <c r="NQR42" s="33"/>
      <c r="NQS42" s="33"/>
      <c r="NQT42" s="33"/>
      <c r="NQU42" s="33"/>
      <c r="NQV42" s="33"/>
      <c r="NQW42" s="33"/>
      <c r="NQX42" s="33"/>
      <c r="NQY42" s="33"/>
      <c r="NQZ42" s="33"/>
      <c r="NRA42" s="33"/>
      <c r="NRB42" s="33"/>
      <c r="NRC42" s="33"/>
      <c r="NRD42" s="33"/>
      <c r="NRE42" s="33"/>
      <c r="NRF42" s="33"/>
      <c r="NRG42" s="33"/>
      <c r="NRH42" s="33"/>
      <c r="NRI42" s="33"/>
      <c r="NRJ42" s="33"/>
      <c r="NRK42" s="33"/>
      <c r="NRL42" s="33"/>
      <c r="NRM42" s="33"/>
      <c r="NRN42" s="33"/>
      <c r="NRO42" s="33"/>
      <c r="NRP42" s="33"/>
      <c r="NRQ42" s="33"/>
      <c r="NRR42" s="33"/>
      <c r="NRS42" s="33"/>
      <c r="NRT42" s="33"/>
      <c r="NRU42" s="33"/>
      <c r="NRV42" s="33"/>
      <c r="NRW42" s="33"/>
      <c r="NRX42" s="33"/>
      <c r="NRY42" s="33"/>
      <c r="NRZ42" s="33"/>
      <c r="NSA42" s="33"/>
      <c r="NSB42" s="33"/>
      <c r="NSC42" s="33"/>
      <c r="NSD42" s="33"/>
      <c r="NSE42" s="33"/>
      <c r="NSF42" s="33"/>
      <c r="NSG42" s="33"/>
      <c r="NSH42" s="33"/>
      <c r="NSI42" s="33"/>
      <c r="NSJ42" s="33"/>
      <c r="NSK42" s="33"/>
      <c r="NSL42" s="33"/>
      <c r="NSM42" s="33"/>
      <c r="NSN42" s="33"/>
      <c r="NSO42" s="33"/>
      <c r="NSP42" s="33"/>
      <c r="NSQ42" s="33"/>
      <c r="NSR42" s="33"/>
      <c r="NSS42" s="33"/>
      <c r="NST42" s="33"/>
      <c r="NSU42" s="33"/>
      <c r="NSV42" s="33"/>
      <c r="NSW42" s="33"/>
      <c r="NSX42" s="33"/>
      <c r="NSY42" s="33"/>
      <c r="NSZ42" s="33"/>
      <c r="NTA42" s="33"/>
      <c r="NTB42" s="33"/>
      <c r="NTC42" s="33"/>
      <c r="NTD42" s="33"/>
      <c r="NTE42" s="33"/>
      <c r="NTF42" s="33"/>
      <c r="NTG42" s="33"/>
      <c r="NTH42" s="33"/>
      <c r="NTI42" s="33"/>
      <c r="NTJ42" s="33"/>
      <c r="NTK42" s="33"/>
      <c r="NTL42" s="33"/>
      <c r="NTM42" s="33"/>
      <c r="NTN42" s="33"/>
      <c r="NTO42" s="33"/>
      <c r="NTP42" s="33"/>
      <c r="NTQ42" s="33"/>
      <c r="NTR42" s="33"/>
      <c r="NTS42" s="33"/>
      <c r="NTT42" s="33"/>
      <c r="NTU42" s="33"/>
      <c r="NTV42" s="33"/>
      <c r="NTW42" s="33"/>
      <c r="NTX42" s="33"/>
      <c r="NTY42" s="33"/>
      <c r="NTZ42" s="33"/>
      <c r="NUA42" s="33"/>
      <c r="NUB42" s="33"/>
      <c r="NUC42" s="33"/>
      <c r="NUD42" s="33"/>
      <c r="NUE42" s="33"/>
      <c r="NUF42" s="33"/>
      <c r="NUG42" s="33"/>
      <c r="NUH42" s="33"/>
      <c r="NUI42" s="33"/>
      <c r="NUJ42" s="33"/>
      <c r="NUK42" s="33"/>
      <c r="NUL42" s="33"/>
      <c r="NUM42" s="33"/>
      <c r="NUN42" s="33"/>
      <c r="NUO42" s="33"/>
      <c r="NUP42" s="33"/>
      <c r="NUQ42" s="33"/>
      <c r="NUR42" s="33"/>
      <c r="NUS42" s="33"/>
      <c r="NUT42" s="33"/>
      <c r="NUU42" s="33"/>
      <c r="NUV42" s="33"/>
      <c r="NUW42" s="33"/>
      <c r="NUX42" s="33"/>
      <c r="NUY42" s="33"/>
      <c r="NUZ42" s="33"/>
      <c r="NVA42" s="33"/>
      <c r="NVB42" s="33"/>
      <c r="NVC42" s="33"/>
      <c r="NVD42" s="33"/>
      <c r="NVE42" s="33"/>
      <c r="NVF42" s="33"/>
      <c r="NVG42" s="33"/>
      <c r="NVH42" s="33"/>
      <c r="NVI42" s="33"/>
      <c r="NVJ42" s="33"/>
      <c r="NVK42" s="33"/>
      <c r="NVL42" s="33"/>
      <c r="NVM42" s="33"/>
      <c r="NVN42" s="33"/>
      <c r="NVO42" s="33"/>
      <c r="NVP42" s="33"/>
      <c r="NVQ42" s="33"/>
      <c r="NVR42" s="33"/>
      <c r="NVS42" s="33"/>
      <c r="NVT42" s="33"/>
      <c r="NVU42" s="33"/>
      <c r="NVV42" s="33"/>
      <c r="NVW42" s="33"/>
      <c r="NVX42" s="33"/>
      <c r="NVY42" s="33"/>
      <c r="NVZ42" s="33"/>
      <c r="NWA42" s="33"/>
      <c r="NWB42" s="33"/>
      <c r="NWC42" s="33"/>
      <c r="NWD42" s="33"/>
      <c r="NWE42" s="33"/>
      <c r="NWF42" s="33"/>
      <c r="NWG42" s="33"/>
      <c r="NWH42" s="33"/>
      <c r="NWI42" s="33"/>
      <c r="NWJ42" s="33"/>
      <c r="NWK42" s="33"/>
      <c r="NWL42" s="33"/>
      <c r="NWM42" s="33"/>
      <c r="NWN42" s="33"/>
      <c r="NWO42" s="33"/>
      <c r="NWP42" s="33"/>
      <c r="NWQ42" s="33"/>
      <c r="NWR42" s="33"/>
      <c r="NWS42" s="33"/>
      <c r="NWT42" s="33"/>
      <c r="NWU42" s="33"/>
      <c r="NWV42" s="33"/>
      <c r="NWW42" s="33"/>
      <c r="NWX42" s="33"/>
      <c r="NWY42" s="33"/>
      <c r="NWZ42" s="33"/>
      <c r="NXA42" s="33"/>
      <c r="NXB42" s="33"/>
      <c r="NXC42" s="33"/>
      <c r="NXD42" s="33"/>
      <c r="NXE42" s="33"/>
      <c r="NXF42" s="33"/>
      <c r="NXG42" s="33"/>
      <c r="NXH42" s="33"/>
      <c r="NXI42" s="33"/>
      <c r="NXJ42" s="33"/>
      <c r="NXK42" s="33"/>
      <c r="NXL42" s="33"/>
      <c r="NXM42" s="33"/>
      <c r="NXN42" s="33"/>
      <c r="NXO42" s="33"/>
      <c r="NXP42" s="33"/>
      <c r="NXQ42" s="33"/>
      <c r="NXR42" s="33"/>
      <c r="NXS42" s="33"/>
      <c r="NXT42" s="33"/>
      <c r="NXU42" s="33"/>
      <c r="NXV42" s="33"/>
      <c r="NXW42" s="33"/>
      <c r="NXX42" s="33"/>
      <c r="NXY42" s="33"/>
      <c r="NXZ42" s="33"/>
      <c r="NYA42" s="33"/>
      <c r="NYB42" s="33"/>
      <c r="NYC42" s="33"/>
      <c r="NYD42" s="33"/>
      <c r="NYE42" s="33"/>
      <c r="NYF42" s="33"/>
      <c r="NYG42" s="33"/>
      <c r="NYH42" s="33"/>
      <c r="NYI42" s="33"/>
      <c r="NYJ42" s="33"/>
      <c r="NYK42" s="33"/>
      <c r="NYL42" s="33"/>
      <c r="NYM42" s="33"/>
      <c r="NYN42" s="33"/>
      <c r="NYO42" s="33"/>
      <c r="NYP42" s="33"/>
      <c r="NYQ42" s="33"/>
      <c r="NYR42" s="33"/>
      <c r="NYS42" s="33"/>
      <c r="NYT42" s="33"/>
      <c r="NYU42" s="33"/>
      <c r="NYV42" s="33"/>
      <c r="NYW42" s="33"/>
      <c r="NYX42" s="33"/>
      <c r="NYY42" s="33"/>
      <c r="NYZ42" s="33"/>
      <c r="NZA42" s="33"/>
      <c r="NZB42" s="33"/>
      <c r="NZC42" s="33"/>
      <c r="NZD42" s="33"/>
      <c r="NZE42" s="33"/>
      <c r="NZF42" s="33"/>
      <c r="NZG42" s="33"/>
      <c r="NZH42" s="33"/>
      <c r="NZI42" s="33"/>
      <c r="NZJ42" s="33"/>
      <c r="NZK42" s="33"/>
      <c r="NZL42" s="33"/>
      <c r="NZM42" s="33"/>
      <c r="NZN42" s="33"/>
      <c r="NZO42" s="33"/>
      <c r="NZP42" s="33"/>
      <c r="NZQ42" s="33"/>
      <c r="NZR42" s="33"/>
      <c r="NZS42" s="33"/>
      <c r="NZT42" s="33"/>
      <c r="NZU42" s="33"/>
      <c r="NZV42" s="33"/>
      <c r="NZW42" s="33"/>
      <c r="NZX42" s="33"/>
      <c r="NZY42" s="33"/>
      <c r="NZZ42" s="33"/>
      <c r="OAA42" s="33"/>
      <c r="OAB42" s="33"/>
      <c r="OAC42" s="33"/>
      <c r="OAD42" s="33"/>
      <c r="OAE42" s="33"/>
      <c r="OAF42" s="33"/>
      <c r="OAG42" s="33"/>
      <c r="OAH42" s="33"/>
      <c r="OAI42" s="33"/>
      <c r="OAJ42" s="33"/>
      <c r="OAK42" s="33"/>
      <c r="OAL42" s="33"/>
      <c r="OAM42" s="33"/>
      <c r="OAN42" s="33"/>
      <c r="OAO42" s="33"/>
      <c r="OAP42" s="33"/>
      <c r="OAQ42" s="33"/>
      <c r="OAR42" s="33"/>
      <c r="OAS42" s="33"/>
      <c r="OAT42" s="33"/>
      <c r="OAU42" s="33"/>
      <c r="OAV42" s="33"/>
      <c r="OAW42" s="33"/>
      <c r="OAX42" s="33"/>
      <c r="OAY42" s="33"/>
      <c r="OAZ42" s="33"/>
      <c r="OBA42" s="33"/>
      <c r="OBB42" s="33"/>
      <c r="OBC42" s="33"/>
      <c r="OBD42" s="33"/>
      <c r="OBE42" s="33"/>
      <c r="OBF42" s="33"/>
      <c r="OBG42" s="33"/>
      <c r="OBH42" s="33"/>
      <c r="OBI42" s="33"/>
      <c r="OBJ42" s="33"/>
      <c r="OBK42" s="33"/>
      <c r="OBL42" s="33"/>
      <c r="OBM42" s="33"/>
      <c r="OBN42" s="33"/>
      <c r="OBO42" s="33"/>
      <c r="OBP42" s="33"/>
      <c r="OBQ42" s="33"/>
      <c r="OBR42" s="33"/>
      <c r="OBS42" s="33"/>
      <c r="OBT42" s="33"/>
      <c r="OBU42" s="33"/>
      <c r="OBV42" s="33"/>
      <c r="OBW42" s="33"/>
      <c r="OBX42" s="33"/>
      <c r="OBY42" s="33"/>
      <c r="OBZ42" s="33"/>
      <c r="OCA42" s="33"/>
      <c r="OCB42" s="33"/>
      <c r="OCC42" s="33"/>
      <c r="OCD42" s="33"/>
      <c r="OCE42" s="33"/>
      <c r="OCF42" s="33"/>
      <c r="OCG42" s="33"/>
      <c r="OCH42" s="33"/>
      <c r="OCI42" s="33"/>
      <c r="OCJ42" s="33"/>
      <c r="OCK42" s="33"/>
      <c r="OCL42" s="33"/>
      <c r="OCM42" s="33"/>
      <c r="OCN42" s="33"/>
      <c r="OCO42" s="33"/>
      <c r="OCP42" s="33"/>
      <c r="OCQ42" s="33"/>
      <c r="OCR42" s="33"/>
      <c r="OCS42" s="33"/>
      <c r="OCT42" s="33"/>
      <c r="OCU42" s="33"/>
      <c r="OCV42" s="33"/>
      <c r="OCW42" s="33"/>
      <c r="OCX42" s="33"/>
      <c r="OCY42" s="33"/>
      <c r="OCZ42" s="33"/>
      <c r="ODA42" s="33"/>
      <c r="ODB42" s="33"/>
      <c r="ODC42" s="33"/>
      <c r="ODD42" s="33"/>
      <c r="ODE42" s="33"/>
      <c r="ODF42" s="33"/>
      <c r="ODG42" s="33"/>
      <c r="ODH42" s="33"/>
      <c r="ODI42" s="33"/>
      <c r="ODJ42" s="33"/>
      <c r="ODK42" s="33"/>
      <c r="ODL42" s="33"/>
      <c r="ODM42" s="33"/>
      <c r="ODN42" s="33"/>
      <c r="ODO42" s="33"/>
      <c r="ODP42" s="33"/>
      <c r="ODQ42" s="33"/>
      <c r="ODR42" s="33"/>
      <c r="ODS42" s="33"/>
      <c r="ODT42" s="33"/>
      <c r="ODU42" s="33"/>
      <c r="ODV42" s="33"/>
      <c r="ODW42" s="33"/>
      <c r="ODX42" s="33"/>
      <c r="ODY42" s="33"/>
      <c r="ODZ42" s="33"/>
      <c r="OEA42" s="33"/>
      <c r="OEB42" s="33"/>
      <c r="OEC42" s="33"/>
      <c r="OED42" s="33"/>
      <c r="OEE42" s="33"/>
      <c r="OEF42" s="33"/>
      <c r="OEG42" s="33"/>
      <c r="OEH42" s="33"/>
      <c r="OEI42" s="33"/>
      <c r="OEJ42" s="33"/>
      <c r="OEK42" s="33"/>
      <c r="OEL42" s="33"/>
      <c r="OEM42" s="33"/>
      <c r="OEN42" s="33"/>
      <c r="OEO42" s="33"/>
      <c r="OEP42" s="33"/>
      <c r="OEQ42" s="33"/>
      <c r="OER42" s="33"/>
      <c r="OES42" s="33"/>
      <c r="OET42" s="33"/>
      <c r="OEU42" s="33"/>
      <c r="OEV42" s="33"/>
      <c r="OEW42" s="33"/>
      <c r="OEX42" s="33"/>
      <c r="OEY42" s="33"/>
      <c r="OEZ42" s="33"/>
      <c r="OFA42" s="33"/>
      <c r="OFB42" s="33"/>
      <c r="OFC42" s="33"/>
      <c r="OFD42" s="33"/>
      <c r="OFE42" s="33"/>
      <c r="OFF42" s="33"/>
      <c r="OFG42" s="33"/>
      <c r="OFH42" s="33"/>
      <c r="OFI42" s="33"/>
      <c r="OFJ42" s="33"/>
      <c r="OFK42" s="33"/>
      <c r="OFL42" s="33"/>
      <c r="OFM42" s="33"/>
      <c r="OFN42" s="33"/>
      <c r="OFO42" s="33"/>
      <c r="OFP42" s="33"/>
      <c r="OFQ42" s="33"/>
      <c r="OFR42" s="33"/>
      <c r="OFS42" s="33"/>
      <c r="OFT42" s="33"/>
      <c r="OFU42" s="33"/>
      <c r="OFV42" s="33"/>
      <c r="OFW42" s="33"/>
      <c r="OFX42" s="33"/>
      <c r="OFY42" s="33"/>
      <c r="OFZ42" s="33"/>
      <c r="OGA42" s="33"/>
      <c r="OGB42" s="33"/>
      <c r="OGC42" s="33"/>
      <c r="OGD42" s="33"/>
      <c r="OGE42" s="33"/>
      <c r="OGF42" s="33"/>
      <c r="OGG42" s="33"/>
      <c r="OGH42" s="33"/>
      <c r="OGI42" s="33"/>
      <c r="OGJ42" s="33"/>
      <c r="OGK42" s="33"/>
      <c r="OGL42" s="33"/>
      <c r="OGM42" s="33"/>
      <c r="OGN42" s="33"/>
      <c r="OGO42" s="33"/>
      <c r="OGP42" s="33"/>
      <c r="OGQ42" s="33"/>
      <c r="OGR42" s="33"/>
      <c r="OGS42" s="33"/>
      <c r="OGT42" s="33"/>
      <c r="OGU42" s="33"/>
      <c r="OGV42" s="33"/>
      <c r="OGW42" s="33"/>
      <c r="OGX42" s="33"/>
      <c r="OGY42" s="33"/>
      <c r="OGZ42" s="33"/>
      <c r="OHA42" s="33"/>
      <c r="OHB42" s="33"/>
      <c r="OHC42" s="33"/>
      <c r="OHD42" s="33"/>
      <c r="OHE42" s="33"/>
      <c r="OHF42" s="33"/>
      <c r="OHG42" s="33"/>
      <c r="OHH42" s="33"/>
      <c r="OHI42" s="33"/>
      <c r="OHJ42" s="33"/>
      <c r="OHK42" s="33"/>
      <c r="OHL42" s="33"/>
      <c r="OHM42" s="33"/>
      <c r="OHN42" s="33"/>
      <c r="OHO42" s="33"/>
      <c r="OHP42" s="33"/>
      <c r="OHQ42" s="33"/>
      <c r="OHR42" s="33"/>
      <c r="OHS42" s="33"/>
      <c r="OHT42" s="33"/>
      <c r="OHU42" s="33"/>
      <c r="OHV42" s="33"/>
      <c r="OHW42" s="33"/>
      <c r="OHX42" s="33"/>
      <c r="OHY42" s="33"/>
      <c r="OHZ42" s="33"/>
      <c r="OIA42" s="33"/>
      <c r="OIB42" s="33"/>
      <c r="OIC42" s="33"/>
      <c r="OID42" s="33"/>
      <c r="OIE42" s="33"/>
      <c r="OIF42" s="33"/>
      <c r="OIG42" s="33"/>
      <c r="OIH42" s="33"/>
      <c r="OII42" s="33"/>
      <c r="OIJ42" s="33"/>
      <c r="OIK42" s="33"/>
      <c r="OIL42" s="33"/>
      <c r="OIM42" s="33"/>
      <c r="OIN42" s="33"/>
      <c r="OIO42" s="33"/>
      <c r="OIP42" s="33"/>
      <c r="OIQ42" s="33"/>
      <c r="OIR42" s="33"/>
      <c r="OIS42" s="33"/>
      <c r="OIT42" s="33"/>
      <c r="OIU42" s="33"/>
      <c r="OIV42" s="33"/>
      <c r="OIW42" s="33"/>
      <c r="OIX42" s="33"/>
      <c r="OIY42" s="33"/>
      <c r="OIZ42" s="33"/>
      <c r="OJA42" s="33"/>
      <c r="OJB42" s="33"/>
      <c r="OJC42" s="33"/>
      <c r="OJD42" s="33"/>
      <c r="OJE42" s="33"/>
      <c r="OJF42" s="33"/>
      <c r="OJG42" s="33"/>
      <c r="OJH42" s="33"/>
      <c r="OJI42" s="33"/>
      <c r="OJJ42" s="33"/>
      <c r="OJK42" s="33"/>
      <c r="OJL42" s="33"/>
      <c r="OJM42" s="33"/>
      <c r="OJN42" s="33"/>
      <c r="OJO42" s="33"/>
      <c r="OJP42" s="33"/>
      <c r="OJQ42" s="33"/>
      <c r="OJR42" s="33"/>
      <c r="OJS42" s="33"/>
      <c r="OJT42" s="33"/>
      <c r="OJU42" s="33"/>
      <c r="OJV42" s="33"/>
      <c r="OJW42" s="33"/>
      <c r="OJX42" s="33"/>
      <c r="OJY42" s="33"/>
      <c r="OJZ42" s="33"/>
      <c r="OKA42" s="33"/>
      <c r="OKB42" s="33"/>
      <c r="OKC42" s="33"/>
      <c r="OKD42" s="33"/>
      <c r="OKE42" s="33"/>
      <c r="OKF42" s="33"/>
      <c r="OKG42" s="33"/>
      <c r="OKH42" s="33"/>
      <c r="OKI42" s="33"/>
      <c r="OKJ42" s="33"/>
      <c r="OKK42" s="33"/>
      <c r="OKL42" s="33"/>
      <c r="OKM42" s="33"/>
      <c r="OKN42" s="33"/>
      <c r="OKO42" s="33"/>
      <c r="OKP42" s="33"/>
      <c r="OKQ42" s="33"/>
      <c r="OKR42" s="33"/>
      <c r="OKS42" s="33"/>
      <c r="OKT42" s="33"/>
      <c r="OKU42" s="33"/>
      <c r="OKV42" s="33"/>
      <c r="OKW42" s="33"/>
      <c r="OKX42" s="33"/>
      <c r="OKY42" s="33"/>
      <c r="OKZ42" s="33"/>
      <c r="OLA42" s="33"/>
      <c r="OLB42" s="33"/>
      <c r="OLC42" s="33"/>
      <c r="OLD42" s="33"/>
      <c r="OLE42" s="33"/>
      <c r="OLF42" s="33"/>
      <c r="OLG42" s="33"/>
      <c r="OLH42" s="33"/>
      <c r="OLI42" s="33"/>
      <c r="OLJ42" s="33"/>
      <c r="OLK42" s="33"/>
      <c r="OLL42" s="33"/>
      <c r="OLM42" s="33"/>
      <c r="OLN42" s="33"/>
      <c r="OLO42" s="33"/>
      <c r="OLP42" s="33"/>
      <c r="OLQ42" s="33"/>
      <c r="OLR42" s="33"/>
      <c r="OLS42" s="33"/>
      <c r="OLT42" s="33"/>
      <c r="OLU42" s="33"/>
      <c r="OLV42" s="33"/>
      <c r="OLW42" s="33"/>
      <c r="OLX42" s="33"/>
      <c r="OLY42" s="33"/>
      <c r="OLZ42" s="33"/>
      <c r="OMA42" s="33"/>
      <c r="OMB42" s="33"/>
      <c r="OMC42" s="33"/>
      <c r="OMD42" s="33"/>
      <c r="OME42" s="33"/>
      <c r="OMF42" s="33"/>
      <c r="OMG42" s="33"/>
      <c r="OMH42" s="33"/>
      <c r="OMI42" s="33"/>
      <c r="OMJ42" s="33"/>
      <c r="OMK42" s="33"/>
      <c r="OML42" s="33"/>
      <c r="OMM42" s="33"/>
      <c r="OMN42" s="33"/>
      <c r="OMO42" s="33"/>
      <c r="OMP42" s="33"/>
      <c r="OMQ42" s="33"/>
      <c r="OMR42" s="33"/>
      <c r="OMS42" s="33"/>
      <c r="OMT42" s="33"/>
      <c r="OMU42" s="33"/>
      <c r="OMV42" s="33"/>
      <c r="OMW42" s="33"/>
      <c r="OMX42" s="33"/>
      <c r="OMY42" s="33"/>
      <c r="OMZ42" s="33"/>
      <c r="ONA42" s="33"/>
      <c r="ONB42" s="33"/>
      <c r="ONC42" s="33"/>
      <c r="OND42" s="33"/>
      <c r="ONE42" s="33"/>
      <c r="ONF42" s="33"/>
      <c r="ONG42" s="33"/>
      <c r="ONH42" s="33"/>
      <c r="ONI42" s="33"/>
      <c r="ONJ42" s="33"/>
      <c r="ONK42" s="33"/>
      <c r="ONL42" s="33"/>
      <c r="ONM42" s="33"/>
      <c r="ONN42" s="33"/>
      <c r="ONO42" s="33"/>
      <c r="ONP42" s="33"/>
      <c r="ONQ42" s="33"/>
      <c r="ONR42" s="33"/>
      <c r="ONS42" s="33"/>
      <c r="ONT42" s="33"/>
      <c r="ONU42" s="33"/>
      <c r="ONV42" s="33"/>
      <c r="ONW42" s="33"/>
      <c r="ONX42" s="33"/>
      <c r="ONY42" s="33"/>
      <c r="ONZ42" s="33"/>
      <c r="OOA42" s="33"/>
      <c r="OOB42" s="33"/>
      <c r="OOC42" s="33"/>
      <c r="OOD42" s="33"/>
      <c r="OOE42" s="33"/>
      <c r="OOF42" s="33"/>
      <c r="OOG42" s="33"/>
      <c r="OOH42" s="33"/>
      <c r="OOI42" s="33"/>
      <c r="OOJ42" s="33"/>
      <c r="OOK42" s="33"/>
      <c r="OOL42" s="33"/>
      <c r="OOM42" s="33"/>
      <c r="OON42" s="33"/>
      <c r="OOO42" s="33"/>
      <c r="OOP42" s="33"/>
      <c r="OOQ42" s="33"/>
      <c r="OOR42" s="33"/>
      <c r="OOS42" s="33"/>
      <c r="OOT42" s="33"/>
      <c r="OOU42" s="33"/>
      <c r="OOV42" s="33"/>
      <c r="OOW42" s="33"/>
      <c r="OOX42" s="33"/>
      <c r="OOY42" s="33"/>
      <c r="OOZ42" s="33"/>
      <c r="OPA42" s="33"/>
      <c r="OPB42" s="33"/>
      <c r="OPC42" s="33"/>
      <c r="OPD42" s="33"/>
      <c r="OPE42" s="33"/>
      <c r="OPF42" s="33"/>
      <c r="OPG42" s="33"/>
      <c r="OPH42" s="33"/>
      <c r="OPI42" s="33"/>
      <c r="OPJ42" s="33"/>
      <c r="OPK42" s="33"/>
      <c r="OPL42" s="33"/>
      <c r="OPM42" s="33"/>
      <c r="OPN42" s="33"/>
      <c r="OPO42" s="33"/>
      <c r="OPP42" s="33"/>
      <c r="OPQ42" s="33"/>
      <c r="OPR42" s="33"/>
      <c r="OPS42" s="33"/>
      <c r="OPT42" s="33"/>
      <c r="OPU42" s="33"/>
      <c r="OPV42" s="33"/>
      <c r="OPW42" s="33"/>
      <c r="OPX42" s="33"/>
      <c r="OPY42" s="33"/>
      <c r="OPZ42" s="33"/>
      <c r="OQA42" s="33"/>
      <c r="OQB42" s="33"/>
      <c r="OQC42" s="33"/>
      <c r="OQD42" s="33"/>
      <c r="OQE42" s="33"/>
      <c r="OQF42" s="33"/>
      <c r="OQG42" s="33"/>
      <c r="OQH42" s="33"/>
      <c r="OQI42" s="33"/>
      <c r="OQJ42" s="33"/>
      <c r="OQK42" s="33"/>
      <c r="OQL42" s="33"/>
      <c r="OQM42" s="33"/>
      <c r="OQN42" s="33"/>
      <c r="OQO42" s="33"/>
      <c r="OQP42" s="33"/>
      <c r="OQQ42" s="33"/>
      <c r="OQR42" s="33"/>
      <c r="OQS42" s="33"/>
      <c r="OQT42" s="33"/>
      <c r="OQU42" s="33"/>
      <c r="OQV42" s="33"/>
      <c r="OQW42" s="33"/>
      <c r="OQX42" s="33"/>
      <c r="OQY42" s="33"/>
      <c r="OQZ42" s="33"/>
      <c r="ORA42" s="33"/>
      <c r="ORB42" s="33"/>
      <c r="ORC42" s="33"/>
      <c r="ORD42" s="33"/>
      <c r="ORE42" s="33"/>
      <c r="ORF42" s="33"/>
      <c r="ORG42" s="33"/>
      <c r="ORH42" s="33"/>
      <c r="ORI42" s="33"/>
      <c r="ORJ42" s="33"/>
      <c r="ORK42" s="33"/>
      <c r="ORL42" s="33"/>
      <c r="ORM42" s="33"/>
      <c r="ORN42" s="33"/>
      <c r="ORO42" s="33"/>
      <c r="ORP42" s="33"/>
      <c r="ORQ42" s="33"/>
      <c r="ORR42" s="33"/>
      <c r="ORS42" s="33"/>
      <c r="ORT42" s="33"/>
      <c r="ORU42" s="33"/>
      <c r="ORV42" s="33"/>
      <c r="ORW42" s="33"/>
      <c r="ORX42" s="33"/>
      <c r="ORY42" s="33"/>
      <c r="ORZ42" s="33"/>
      <c r="OSA42" s="33"/>
      <c r="OSB42" s="33"/>
      <c r="OSC42" s="33"/>
      <c r="OSD42" s="33"/>
      <c r="OSE42" s="33"/>
      <c r="OSF42" s="33"/>
      <c r="OSG42" s="33"/>
      <c r="OSH42" s="33"/>
      <c r="OSI42" s="33"/>
      <c r="OSJ42" s="33"/>
      <c r="OSK42" s="33"/>
      <c r="OSL42" s="33"/>
      <c r="OSM42" s="33"/>
      <c r="OSN42" s="33"/>
      <c r="OSO42" s="33"/>
      <c r="OSP42" s="33"/>
      <c r="OSQ42" s="33"/>
      <c r="OSR42" s="33"/>
      <c r="OSS42" s="33"/>
      <c r="OST42" s="33"/>
      <c r="OSU42" s="33"/>
      <c r="OSV42" s="33"/>
      <c r="OSW42" s="33"/>
      <c r="OSX42" s="33"/>
      <c r="OSY42" s="33"/>
      <c r="OSZ42" s="33"/>
      <c r="OTA42" s="33"/>
      <c r="OTB42" s="33"/>
      <c r="OTC42" s="33"/>
      <c r="OTD42" s="33"/>
      <c r="OTE42" s="33"/>
      <c r="OTF42" s="33"/>
      <c r="OTG42" s="33"/>
      <c r="OTH42" s="33"/>
      <c r="OTI42" s="33"/>
      <c r="OTJ42" s="33"/>
      <c r="OTK42" s="33"/>
      <c r="OTL42" s="33"/>
      <c r="OTM42" s="33"/>
      <c r="OTN42" s="33"/>
      <c r="OTO42" s="33"/>
      <c r="OTP42" s="33"/>
      <c r="OTQ42" s="33"/>
      <c r="OTR42" s="33"/>
      <c r="OTS42" s="33"/>
      <c r="OTT42" s="33"/>
      <c r="OTU42" s="33"/>
      <c r="OTV42" s="33"/>
      <c r="OTW42" s="33"/>
      <c r="OTX42" s="33"/>
      <c r="OTY42" s="33"/>
      <c r="OTZ42" s="33"/>
      <c r="OUA42" s="33"/>
      <c r="OUB42" s="33"/>
      <c r="OUC42" s="33"/>
      <c r="OUD42" s="33"/>
      <c r="OUE42" s="33"/>
      <c r="OUF42" s="33"/>
      <c r="OUG42" s="33"/>
      <c r="OUH42" s="33"/>
      <c r="OUI42" s="33"/>
      <c r="OUJ42" s="33"/>
      <c r="OUK42" s="33"/>
      <c r="OUL42" s="33"/>
      <c r="OUM42" s="33"/>
      <c r="OUN42" s="33"/>
      <c r="OUO42" s="33"/>
      <c r="OUP42" s="33"/>
      <c r="OUQ42" s="33"/>
      <c r="OUR42" s="33"/>
      <c r="OUS42" s="33"/>
      <c r="OUT42" s="33"/>
      <c r="OUU42" s="33"/>
      <c r="OUV42" s="33"/>
      <c r="OUW42" s="33"/>
      <c r="OUX42" s="33"/>
      <c r="OUY42" s="33"/>
      <c r="OUZ42" s="33"/>
      <c r="OVA42" s="33"/>
      <c r="OVB42" s="33"/>
      <c r="OVC42" s="33"/>
      <c r="OVD42" s="33"/>
      <c r="OVE42" s="33"/>
      <c r="OVF42" s="33"/>
      <c r="OVG42" s="33"/>
      <c r="OVH42" s="33"/>
      <c r="OVI42" s="33"/>
      <c r="OVJ42" s="33"/>
      <c r="OVK42" s="33"/>
      <c r="OVL42" s="33"/>
      <c r="OVM42" s="33"/>
      <c r="OVN42" s="33"/>
      <c r="OVO42" s="33"/>
      <c r="OVP42" s="33"/>
      <c r="OVQ42" s="33"/>
      <c r="OVR42" s="33"/>
      <c r="OVS42" s="33"/>
      <c r="OVT42" s="33"/>
      <c r="OVU42" s="33"/>
      <c r="OVV42" s="33"/>
      <c r="OVW42" s="33"/>
      <c r="OVX42" s="33"/>
      <c r="OVY42" s="33"/>
      <c r="OVZ42" s="33"/>
      <c r="OWA42" s="33"/>
      <c r="OWB42" s="33"/>
      <c r="OWC42" s="33"/>
      <c r="OWD42" s="33"/>
      <c r="OWE42" s="33"/>
      <c r="OWF42" s="33"/>
      <c r="OWG42" s="33"/>
      <c r="OWH42" s="33"/>
      <c r="OWI42" s="33"/>
      <c r="OWJ42" s="33"/>
      <c r="OWK42" s="33"/>
      <c r="OWL42" s="33"/>
      <c r="OWM42" s="33"/>
      <c r="OWN42" s="33"/>
      <c r="OWO42" s="33"/>
      <c r="OWP42" s="33"/>
      <c r="OWQ42" s="33"/>
      <c r="OWR42" s="33"/>
      <c r="OWS42" s="33"/>
      <c r="OWT42" s="33"/>
      <c r="OWU42" s="33"/>
      <c r="OWV42" s="33"/>
      <c r="OWW42" s="33"/>
      <c r="OWX42" s="33"/>
      <c r="OWY42" s="33"/>
      <c r="OWZ42" s="33"/>
      <c r="OXA42" s="33"/>
      <c r="OXB42" s="33"/>
      <c r="OXC42" s="33"/>
      <c r="OXD42" s="33"/>
      <c r="OXE42" s="33"/>
      <c r="OXF42" s="33"/>
      <c r="OXG42" s="33"/>
      <c r="OXH42" s="33"/>
      <c r="OXI42" s="33"/>
      <c r="OXJ42" s="33"/>
      <c r="OXK42" s="33"/>
      <c r="OXL42" s="33"/>
      <c r="OXM42" s="33"/>
      <c r="OXN42" s="33"/>
      <c r="OXO42" s="33"/>
      <c r="OXP42" s="33"/>
      <c r="OXQ42" s="33"/>
      <c r="OXR42" s="33"/>
      <c r="OXS42" s="33"/>
      <c r="OXT42" s="33"/>
      <c r="OXU42" s="33"/>
      <c r="OXV42" s="33"/>
      <c r="OXW42" s="33"/>
      <c r="OXX42" s="33"/>
      <c r="OXY42" s="33"/>
      <c r="OXZ42" s="33"/>
      <c r="OYA42" s="33"/>
      <c r="OYB42" s="33"/>
      <c r="OYC42" s="33"/>
      <c r="OYD42" s="33"/>
      <c r="OYE42" s="33"/>
      <c r="OYF42" s="33"/>
      <c r="OYG42" s="33"/>
      <c r="OYH42" s="33"/>
      <c r="OYI42" s="33"/>
      <c r="OYJ42" s="33"/>
      <c r="OYK42" s="33"/>
      <c r="OYL42" s="33"/>
      <c r="OYM42" s="33"/>
      <c r="OYN42" s="33"/>
      <c r="OYO42" s="33"/>
      <c r="OYP42" s="33"/>
      <c r="OYQ42" s="33"/>
      <c r="OYR42" s="33"/>
      <c r="OYS42" s="33"/>
      <c r="OYT42" s="33"/>
      <c r="OYU42" s="33"/>
      <c r="OYV42" s="33"/>
      <c r="OYW42" s="33"/>
      <c r="OYX42" s="33"/>
      <c r="OYY42" s="33"/>
      <c r="OYZ42" s="33"/>
      <c r="OZA42" s="33"/>
      <c r="OZB42" s="33"/>
      <c r="OZC42" s="33"/>
      <c r="OZD42" s="33"/>
      <c r="OZE42" s="33"/>
      <c r="OZF42" s="33"/>
      <c r="OZG42" s="33"/>
      <c r="OZH42" s="33"/>
      <c r="OZI42" s="33"/>
      <c r="OZJ42" s="33"/>
      <c r="OZK42" s="33"/>
      <c r="OZL42" s="33"/>
      <c r="OZM42" s="33"/>
      <c r="OZN42" s="33"/>
      <c r="OZO42" s="33"/>
      <c r="OZP42" s="33"/>
      <c r="OZQ42" s="33"/>
      <c r="OZR42" s="33"/>
      <c r="OZS42" s="33"/>
      <c r="OZT42" s="33"/>
      <c r="OZU42" s="33"/>
      <c r="OZV42" s="33"/>
      <c r="OZW42" s="33"/>
      <c r="OZX42" s="33"/>
      <c r="OZY42" s="33"/>
      <c r="OZZ42" s="33"/>
      <c r="PAA42" s="33"/>
      <c r="PAB42" s="33"/>
      <c r="PAC42" s="33"/>
      <c r="PAD42" s="33"/>
      <c r="PAE42" s="33"/>
      <c r="PAF42" s="33"/>
      <c r="PAG42" s="33"/>
      <c r="PAH42" s="33"/>
      <c r="PAI42" s="33"/>
      <c r="PAJ42" s="33"/>
      <c r="PAK42" s="33"/>
      <c r="PAL42" s="33"/>
      <c r="PAM42" s="33"/>
      <c r="PAN42" s="33"/>
      <c r="PAO42" s="33"/>
      <c r="PAP42" s="33"/>
      <c r="PAQ42" s="33"/>
      <c r="PAR42" s="33"/>
      <c r="PAS42" s="33"/>
      <c r="PAT42" s="33"/>
      <c r="PAU42" s="33"/>
      <c r="PAV42" s="33"/>
      <c r="PAW42" s="33"/>
      <c r="PAX42" s="33"/>
      <c r="PAY42" s="33"/>
      <c r="PAZ42" s="33"/>
      <c r="PBA42" s="33"/>
      <c r="PBB42" s="33"/>
      <c r="PBC42" s="33"/>
      <c r="PBD42" s="33"/>
      <c r="PBE42" s="33"/>
      <c r="PBF42" s="33"/>
      <c r="PBG42" s="33"/>
      <c r="PBH42" s="33"/>
      <c r="PBI42" s="33"/>
      <c r="PBJ42" s="33"/>
      <c r="PBK42" s="33"/>
      <c r="PBL42" s="33"/>
      <c r="PBM42" s="33"/>
      <c r="PBN42" s="33"/>
      <c r="PBO42" s="33"/>
      <c r="PBP42" s="33"/>
      <c r="PBQ42" s="33"/>
      <c r="PBR42" s="33"/>
      <c r="PBS42" s="33"/>
      <c r="PBT42" s="33"/>
      <c r="PBU42" s="33"/>
      <c r="PBV42" s="33"/>
      <c r="PBW42" s="33"/>
      <c r="PBX42" s="33"/>
      <c r="PBY42" s="33"/>
      <c r="PBZ42" s="33"/>
      <c r="PCA42" s="33"/>
      <c r="PCB42" s="33"/>
      <c r="PCC42" s="33"/>
      <c r="PCD42" s="33"/>
      <c r="PCE42" s="33"/>
      <c r="PCF42" s="33"/>
      <c r="PCG42" s="33"/>
      <c r="PCH42" s="33"/>
      <c r="PCI42" s="33"/>
      <c r="PCJ42" s="33"/>
      <c r="PCK42" s="33"/>
      <c r="PCL42" s="33"/>
      <c r="PCM42" s="33"/>
      <c r="PCN42" s="33"/>
      <c r="PCO42" s="33"/>
      <c r="PCP42" s="33"/>
      <c r="PCQ42" s="33"/>
      <c r="PCR42" s="33"/>
      <c r="PCS42" s="33"/>
      <c r="PCT42" s="33"/>
      <c r="PCU42" s="33"/>
      <c r="PCV42" s="33"/>
      <c r="PCW42" s="33"/>
      <c r="PCX42" s="33"/>
      <c r="PCY42" s="33"/>
      <c r="PCZ42" s="33"/>
      <c r="PDA42" s="33"/>
      <c r="PDB42" s="33"/>
      <c r="PDC42" s="33"/>
      <c r="PDD42" s="33"/>
      <c r="PDE42" s="33"/>
      <c r="PDF42" s="33"/>
      <c r="PDG42" s="33"/>
      <c r="PDH42" s="33"/>
      <c r="PDI42" s="33"/>
      <c r="PDJ42" s="33"/>
      <c r="PDK42" s="33"/>
      <c r="PDL42" s="33"/>
      <c r="PDM42" s="33"/>
      <c r="PDN42" s="33"/>
      <c r="PDO42" s="33"/>
      <c r="PDP42" s="33"/>
      <c r="PDQ42" s="33"/>
      <c r="PDR42" s="33"/>
      <c r="PDS42" s="33"/>
      <c r="PDT42" s="33"/>
      <c r="PDU42" s="33"/>
      <c r="PDV42" s="33"/>
      <c r="PDW42" s="33"/>
      <c r="PDX42" s="33"/>
      <c r="PDY42" s="33"/>
      <c r="PDZ42" s="33"/>
      <c r="PEA42" s="33"/>
      <c r="PEB42" s="33"/>
      <c r="PEC42" s="33"/>
      <c r="PED42" s="33"/>
      <c r="PEE42" s="33"/>
      <c r="PEF42" s="33"/>
      <c r="PEG42" s="33"/>
      <c r="PEH42" s="33"/>
      <c r="PEI42" s="33"/>
      <c r="PEJ42" s="33"/>
      <c r="PEK42" s="33"/>
      <c r="PEL42" s="33"/>
      <c r="PEM42" s="33"/>
      <c r="PEN42" s="33"/>
      <c r="PEO42" s="33"/>
      <c r="PEP42" s="33"/>
      <c r="PEQ42" s="33"/>
      <c r="PER42" s="33"/>
      <c r="PES42" s="33"/>
      <c r="PET42" s="33"/>
      <c r="PEU42" s="33"/>
      <c r="PEV42" s="33"/>
      <c r="PEW42" s="33"/>
      <c r="PEX42" s="33"/>
      <c r="PEY42" s="33"/>
      <c r="PEZ42" s="33"/>
      <c r="PFA42" s="33"/>
      <c r="PFB42" s="33"/>
      <c r="PFC42" s="33"/>
      <c r="PFD42" s="33"/>
      <c r="PFE42" s="33"/>
      <c r="PFF42" s="33"/>
      <c r="PFG42" s="33"/>
      <c r="PFH42" s="33"/>
      <c r="PFI42" s="33"/>
      <c r="PFJ42" s="33"/>
      <c r="PFK42" s="33"/>
      <c r="PFL42" s="33"/>
      <c r="PFM42" s="33"/>
      <c r="PFN42" s="33"/>
      <c r="PFO42" s="33"/>
      <c r="PFP42" s="33"/>
      <c r="PFQ42" s="33"/>
      <c r="PFR42" s="33"/>
      <c r="PFS42" s="33"/>
      <c r="PFT42" s="33"/>
      <c r="PFU42" s="33"/>
      <c r="PFV42" s="33"/>
      <c r="PFW42" s="33"/>
      <c r="PFX42" s="33"/>
      <c r="PFY42" s="33"/>
      <c r="PFZ42" s="33"/>
      <c r="PGA42" s="33"/>
      <c r="PGB42" s="33"/>
      <c r="PGC42" s="33"/>
      <c r="PGD42" s="33"/>
      <c r="PGE42" s="33"/>
      <c r="PGF42" s="33"/>
      <c r="PGG42" s="33"/>
      <c r="PGH42" s="33"/>
      <c r="PGI42" s="33"/>
      <c r="PGJ42" s="33"/>
      <c r="PGK42" s="33"/>
      <c r="PGL42" s="33"/>
      <c r="PGM42" s="33"/>
      <c r="PGN42" s="33"/>
      <c r="PGO42" s="33"/>
      <c r="PGP42" s="33"/>
      <c r="PGQ42" s="33"/>
      <c r="PGR42" s="33"/>
      <c r="PGS42" s="33"/>
      <c r="PGT42" s="33"/>
      <c r="PGU42" s="33"/>
      <c r="PGV42" s="33"/>
      <c r="PGW42" s="33"/>
      <c r="PGX42" s="33"/>
      <c r="PGY42" s="33"/>
      <c r="PGZ42" s="33"/>
      <c r="PHA42" s="33"/>
      <c r="PHB42" s="33"/>
      <c r="PHC42" s="33"/>
      <c r="PHD42" s="33"/>
      <c r="PHE42" s="33"/>
      <c r="PHF42" s="33"/>
      <c r="PHG42" s="33"/>
      <c r="PHH42" s="33"/>
      <c r="PHI42" s="33"/>
      <c r="PHJ42" s="33"/>
      <c r="PHK42" s="33"/>
      <c r="PHL42" s="33"/>
      <c r="PHM42" s="33"/>
      <c r="PHN42" s="33"/>
      <c r="PHO42" s="33"/>
      <c r="PHP42" s="33"/>
      <c r="PHQ42" s="33"/>
      <c r="PHR42" s="33"/>
      <c r="PHS42" s="33"/>
      <c r="PHT42" s="33"/>
      <c r="PHU42" s="33"/>
      <c r="PHV42" s="33"/>
      <c r="PHW42" s="33"/>
      <c r="PHX42" s="33"/>
      <c r="PHY42" s="33"/>
      <c r="PHZ42" s="33"/>
      <c r="PIA42" s="33"/>
      <c r="PIB42" s="33"/>
      <c r="PIC42" s="33"/>
      <c r="PID42" s="33"/>
      <c r="PIE42" s="33"/>
      <c r="PIF42" s="33"/>
      <c r="PIG42" s="33"/>
      <c r="PIH42" s="33"/>
      <c r="PII42" s="33"/>
      <c r="PIJ42" s="33"/>
      <c r="PIK42" s="33"/>
      <c r="PIL42" s="33"/>
      <c r="PIM42" s="33"/>
      <c r="PIN42" s="33"/>
      <c r="PIO42" s="33"/>
      <c r="PIP42" s="33"/>
      <c r="PIQ42" s="33"/>
      <c r="PIR42" s="33"/>
      <c r="PIS42" s="33"/>
      <c r="PIT42" s="33"/>
      <c r="PIU42" s="33"/>
      <c r="PIV42" s="33"/>
      <c r="PIW42" s="33"/>
      <c r="PIX42" s="33"/>
      <c r="PIY42" s="33"/>
      <c r="PIZ42" s="33"/>
      <c r="PJA42" s="33"/>
      <c r="PJB42" s="33"/>
      <c r="PJC42" s="33"/>
      <c r="PJD42" s="33"/>
      <c r="PJE42" s="33"/>
      <c r="PJF42" s="33"/>
      <c r="PJG42" s="33"/>
      <c r="PJH42" s="33"/>
      <c r="PJI42" s="33"/>
      <c r="PJJ42" s="33"/>
      <c r="PJK42" s="33"/>
      <c r="PJL42" s="33"/>
      <c r="PJM42" s="33"/>
      <c r="PJN42" s="33"/>
      <c r="PJO42" s="33"/>
      <c r="PJP42" s="33"/>
      <c r="PJQ42" s="33"/>
      <c r="PJR42" s="33"/>
      <c r="PJS42" s="33"/>
      <c r="PJT42" s="33"/>
      <c r="PJU42" s="33"/>
      <c r="PJV42" s="33"/>
      <c r="PJW42" s="33"/>
      <c r="PJX42" s="33"/>
      <c r="PJY42" s="33"/>
      <c r="PJZ42" s="33"/>
      <c r="PKA42" s="33"/>
      <c r="PKB42" s="33"/>
      <c r="PKC42" s="33"/>
      <c r="PKD42" s="33"/>
      <c r="PKE42" s="33"/>
      <c r="PKF42" s="33"/>
      <c r="PKG42" s="33"/>
      <c r="PKH42" s="33"/>
      <c r="PKI42" s="33"/>
      <c r="PKJ42" s="33"/>
      <c r="PKK42" s="33"/>
      <c r="PKL42" s="33"/>
      <c r="PKM42" s="33"/>
      <c r="PKN42" s="33"/>
      <c r="PKO42" s="33"/>
      <c r="PKP42" s="33"/>
      <c r="PKQ42" s="33"/>
      <c r="PKR42" s="33"/>
      <c r="PKS42" s="33"/>
      <c r="PKT42" s="33"/>
      <c r="PKU42" s="33"/>
      <c r="PKV42" s="33"/>
      <c r="PKW42" s="33"/>
      <c r="PKX42" s="33"/>
      <c r="PKY42" s="33"/>
      <c r="PKZ42" s="33"/>
      <c r="PLA42" s="33"/>
      <c r="PLB42" s="33"/>
      <c r="PLC42" s="33"/>
      <c r="PLD42" s="33"/>
      <c r="PLE42" s="33"/>
      <c r="PLF42" s="33"/>
      <c r="PLG42" s="33"/>
      <c r="PLH42" s="33"/>
      <c r="PLI42" s="33"/>
      <c r="PLJ42" s="33"/>
      <c r="PLK42" s="33"/>
      <c r="PLL42" s="33"/>
      <c r="PLM42" s="33"/>
      <c r="PLN42" s="33"/>
      <c r="PLO42" s="33"/>
      <c r="PLP42" s="33"/>
      <c r="PLQ42" s="33"/>
      <c r="PLR42" s="33"/>
      <c r="PLS42" s="33"/>
      <c r="PLT42" s="33"/>
      <c r="PLU42" s="33"/>
      <c r="PLV42" s="33"/>
      <c r="PLW42" s="33"/>
      <c r="PLX42" s="33"/>
      <c r="PLY42" s="33"/>
      <c r="PLZ42" s="33"/>
      <c r="PMA42" s="33"/>
      <c r="PMB42" s="33"/>
      <c r="PMC42" s="33"/>
      <c r="PMD42" s="33"/>
      <c r="PME42" s="33"/>
      <c r="PMF42" s="33"/>
      <c r="PMG42" s="33"/>
      <c r="PMH42" s="33"/>
      <c r="PMI42" s="33"/>
      <c r="PMJ42" s="33"/>
      <c r="PMK42" s="33"/>
      <c r="PML42" s="33"/>
      <c r="PMM42" s="33"/>
      <c r="PMN42" s="33"/>
      <c r="PMO42" s="33"/>
      <c r="PMP42" s="33"/>
      <c r="PMQ42" s="33"/>
      <c r="PMR42" s="33"/>
      <c r="PMS42" s="33"/>
      <c r="PMT42" s="33"/>
      <c r="PMU42" s="33"/>
      <c r="PMV42" s="33"/>
      <c r="PMW42" s="33"/>
      <c r="PMX42" s="33"/>
      <c r="PMY42" s="33"/>
      <c r="PMZ42" s="33"/>
      <c r="PNA42" s="33"/>
      <c r="PNB42" s="33"/>
      <c r="PNC42" s="33"/>
      <c r="PND42" s="33"/>
      <c r="PNE42" s="33"/>
      <c r="PNF42" s="33"/>
      <c r="PNG42" s="33"/>
      <c r="PNH42" s="33"/>
      <c r="PNI42" s="33"/>
      <c r="PNJ42" s="33"/>
      <c r="PNK42" s="33"/>
      <c r="PNL42" s="33"/>
      <c r="PNM42" s="33"/>
      <c r="PNN42" s="33"/>
      <c r="PNO42" s="33"/>
      <c r="PNP42" s="33"/>
      <c r="PNQ42" s="33"/>
      <c r="PNR42" s="33"/>
      <c r="PNS42" s="33"/>
      <c r="PNT42" s="33"/>
      <c r="PNU42" s="33"/>
      <c r="PNV42" s="33"/>
      <c r="PNW42" s="33"/>
      <c r="PNX42" s="33"/>
      <c r="PNY42" s="33"/>
      <c r="PNZ42" s="33"/>
      <c r="POA42" s="33"/>
      <c r="POB42" s="33"/>
      <c r="POC42" s="33"/>
      <c r="POD42" s="33"/>
      <c r="POE42" s="33"/>
      <c r="POF42" s="33"/>
      <c r="POG42" s="33"/>
      <c r="POH42" s="33"/>
      <c r="POI42" s="33"/>
      <c r="POJ42" s="33"/>
      <c r="POK42" s="33"/>
      <c r="POL42" s="33"/>
      <c r="POM42" s="33"/>
      <c r="PON42" s="33"/>
      <c r="POO42" s="33"/>
      <c r="POP42" s="33"/>
      <c r="POQ42" s="33"/>
      <c r="POR42" s="33"/>
      <c r="POS42" s="33"/>
      <c r="POT42" s="33"/>
      <c r="POU42" s="33"/>
      <c r="POV42" s="33"/>
      <c r="POW42" s="33"/>
      <c r="POX42" s="33"/>
      <c r="POY42" s="33"/>
      <c r="POZ42" s="33"/>
      <c r="PPA42" s="33"/>
      <c r="PPB42" s="33"/>
      <c r="PPC42" s="33"/>
      <c r="PPD42" s="33"/>
      <c r="PPE42" s="33"/>
      <c r="PPF42" s="33"/>
      <c r="PPG42" s="33"/>
      <c r="PPH42" s="33"/>
      <c r="PPI42" s="33"/>
      <c r="PPJ42" s="33"/>
      <c r="PPK42" s="33"/>
      <c r="PPL42" s="33"/>
      <c r="PPM42" s="33"/>
      <c r="PPN42" s="33"/>
      <c r="PPO42" s="33"/>
      <c r="PPP42" s="33"/>
      <c r="PPQ42" s="33"/>
      <c r="PPR42" s="33"/>
      <c r="PPS42" s="33"/>
      <c r="PPT42" s="33"/>
      <c r="PPU42" s="33"/>
      <c r="PPV42" s="33"/>
      <c r="PPW42" s="33"/>
      <c r="PPX42" s="33"/>
      <c r="PPY42" s="33"/>
      <c r="PPZ42" s="33"/>
      <c r="PQA42" s="33"/>
      <c r="PQB42" s="33"/>
      <c r="PQC42" s="33"/>
      <c r="PQD42" s="33"/>
      <c r="PQE42" s="33"/>
      <c r="PQF42" s="33"/>
      <c r="PQG42" s="33"/>
      <c r="PQH42" s="33"/>
      <c r="PQI42" s="33"/>
      <c r="PQJ42" s="33"/>
      <c r="PQK42" s="33"/>
      <c r="PQL42" s="33"/>
      <c r="PQM42" s="33"/>
      <c r="PQN42" s="33"/>
      <c r="PQO42" s="33"/>
      <c r="PQP42" s="33"/>
      <c r="PQQ42" s="33"/>
      <c r="PQR42" s="33"/>
      <c r="PQS42" s="33"/>
      <c r="PQT42" s="33"/>
      <c r="PQU42" s="33"/>
      <c r="PQV42" s="33"/>
      <c r="PQW42" s="33"/>
      <c r="PQX42" s="33"/>
      <c r="PQY42" s="33"/>
      <c r="PQZ42" s="33"/>
      <c r="PRA42" s="33"/>
      <c r="PRB42" s="33"/>
      <c r="PRC42" s="33"/>
      <c r="PRD42" s="33"/>
      <c r="PRE42" s="33"/>
      <c r="PRF42" s="33"/>
      <c r="PRG42" s="33"/>
      <c r="PRH42" s="33"/>
      <c r="PRI42" s="33"/>
      <c r="PRJ42" s="33"/>
      <c r="PRK42" s="33"/>
      <c r="PRL42" s="33"/>
      <c r="PRM42" s="33"/>
      <c r="PRN42" s="33"/>
      <c r="PRO42" s="33"/>
      <c r="PRP42" s="33"/>
      <c r="PRQ42" s="33"/>
      <c r="PRR42" s="33"/>
      <c r="PRS42" s="33"/>
      <c r="PRT42" s="33"/>
      <c r="PRU42" s="33"/>
      <c r="PRV42" s="33"/>
      <c r="PRW42" s="33"/>
      <c r="PRX42" s="33"/>
      <c r="PRY42" s="33"/>
      <c r="PRZ42" s="33"/>
      <c r="PSA42" s="33"/>
      <c r="PSB42" s="33"/>
      <c r="PSC42" s="33"/>
      <c r="PSD42" s="33"/>
      <c r="PSE42" s="33"/>
      <c r="PSF42" s="33"/>
      <c r="PSG42" s="33"/>
      <c r="PSH42" s="33"/>
      <c r="PSI42" s="33"/>
      <c r="PSJ42" s="33"/>
      <c r="PSK42" s="33"/>
      <c r="PSL42" s="33"/>
      <c r="PSM42" s="33"/>
      <c r="PSN42" s="33"/>
      <c r="PSO42" s="33"/>
      <c r="PSP42" s="33"/>
      <c r="PSQ42" s="33"/>
      <c r="PSR42" s="33"/>
      <c r="PSS42" s="33"/>
      <c r="PST42" s="33"/>
      <c r="PSU42" s="33"/>
      <c r="PSV42" s="33"/>
      <c r="PSW42" s="33"/>
      <c r="PSX42" s="33"/>
      <c r="PSY42" s="33"/>
      <c r="PSZ42" s="33"/>
      <c r="PTA42" s="33"/>
      <c r="PTB42" s="33"/>
      <c r="PTC42" s="33"/>
      <c r="PTD42" s="33"/>
      <c r="PTE42" s="33"/>
      <c r="PTF42" s="33"/>
      <c r="PTG42" s="33"/>
      <c r="PTH42" s="33"/>
      <c r="PTI42" s="33"/>
      <c r="PTJ42" s="33"/>
      <c r="PTK42" s="33"/>
      <c r="PTL42" s="33"/>
      <c r="PTM42" s="33"/>
      <c r="PTN42" s="33"/>
      <c r="PTO42" s="33"/>
      <c r="PTP42" s="33"/>
      <c r="PTQ42" s="33"/>
      <c r="PTR42" s="33"/>
      <c r="PTS42" s="33"/>
      <c r="PTT42" s="33"/>
      <c r="PTU42" s="33"/>
      <c r="PTV42" s="33"/>
      <c r="PTW42" s="33"/>
      <c r="PTX42" s="33"/>
      <c r="PTY42" s="33"/>
      <c r="PTZ42" s="33"/>
      <c r="PUA42" s="33"/>
      <c r="PUB42" s="33"/>
      <c r="PUC42" s="33"/>
      <c r="PUD42" s="33"/>
      <c r="PUE42" s="33"/>
      <c r="PUF42" s="33"/>
      <c r="PUG42" s="33"/>
      <c r="PUH42" s="33"/>
      <c r="PUI42" s="33"/>
      <c r="PUJ42" s="33"/>
      <c r="PUK42" s="33"/>
      <c r="PUL42" s="33"/>
      <c r="PUM42" s="33"/>
      <c r="PUN42" s="33"/>
      <c r="PUO42" s="33"/>
      <c r="PUP42" s="33"/>
      <c r="PUQ42" s="33"/>
      <c r="PUR42" s="33"/>
      <c r="PUS42" s="33"/>
      <c r="PUT42" s="33"/>
      <c r="PUU42" s="33"/>
      <c r="PUV42" s="33"/>
      <c r="PUW42" s="33"/>
      <c r="PUX42" s="33"/>
      <c r="PUY42" s="33"/>
      <c r="PUZ42" s="33"/>
      <c r="PVA42" s="33"/>
      <c r="PVB42" s="33"/>
      <c r="PVC42" s="33"/>
      <c r="PVD42" s="33"/>
      <c r="PVE42" s="33"/>
      <c r="PVF42" s="33"/>
      <c r="PVG42" s="33"/>
      <c r="PVH42" s="33"/>
      <c r="PVI42" s="33"/>
      <c r="PVJ42" s="33"/>
      <c r="PVK42" s="33"/>
      <c r="PVL42" s="33"/>
      <c r="PVM42" s="33"/>
      <c r="PVN42" s="33"/>
      <c r="PVO42" s="33"/>
      <c r="PVP42" s="33"/>
      <c r="PVQ42" s="33"/>
      <c r="PVR42" s="33"/>
      <c r="PVS42" s="33"/>
      <c r="PVT42" s="33"/>
      <c r="PVU42" s="33"/>
      <c r="PVV42" s="33"/>
      <c r="PVW42" s="33"/>
      <c r="PVX42" s="33"/>
      <c r="PVY42" s="33"/>
      <c r="PVZ42" s="33"/>
      <c r="PWA42" s="33"/>
      <c r="PWB42" s="33"/>
      <c r="PWC42" s="33"/>
      <c r="PWD42" s="33"/>
      <c r="PWE42" s="33"/>
      <c r="PWF42" s="33"/>
      <c r="PWG42" s="33"/>
      <c r="PWH42" s="33"/>
      <c r="PWI42" s="33"/>
      <c r="PWJ42" s="33"/>
      <c r="PWK42" s="33"/>
      <c r="PWL42" s="33"/>
      <c r="PWM42" s="33"/>
      <c r="PWN42" s="33"/>
      <c r="PWO42" s="33"/>
      <c r="PWP42" s="33"/>
      <c r="PWQ42" s="33"/>
      <c r="PWR42" s="33"/>
      <c r="PWS42" s="33"/>
      <c r="PWT42" s="33"/>
      <c r="PWU42" s="33"/>
      <c r="PWV42" s="33"/>
      <c r="PWW42" s="33"/>
      <c r="PWX42" s="33"/>
      <c r="PWY42" s="33"/>
      <c r="PWZ42" s="33"/>
      <c r="PXA42" s="33"/>
      <c r="PXB42" s="33"/>
      <c r="PXC42" s="33"/>
      <c r="PXD42" s="33"/>
      <c r="PXE42" s="33"/>
      <c r="PXF42" s="33"/>
      <c r="PXG42" s="33"/>
      <c r="PXH42" s="33"/>
      <c r="PXI42" s="33"/>
      <c r="PXJ42" s="33"/>
      <c r="PXK42" s="33"/>
      <c r="PXL42" s="33"/>
      <c r="PXM42" s="33"/>
      <c r="PXN42" s="33"/>
      <c r="PXO42" s="33"/>
      <c r="PXP42" s="33"/>
      <c r="PXQ42" s="33"/>
      <c r="PXR42" s="33"/>
      <c r="PXS42" s="33"/>
      <c r="PXT42" s="33"/>
      <c r="PXU42" s="33"/>
      <c r="PXV42" s="33"/>
      <c r="PXW42" s="33"/>
      <c r="PXX42" s="33"/>
      <c r="PXY42" s="33"/>
      <c r="PXZ42" s="33"/>
      <c r="PYA42" s="33"/>
      <c r="PYB42" s="33"/>
      <c r="PYC42" s="33"/>
      <c r="PYD42" s="33"/>
      <c r="PYE42" s="33"/>
      <c r="PYF42" s="33"/>
      <c r="PYG42" s="33"/>
      <c r="PYH42" s="33"/>
      <c r="PYI42" s="33"/>
      <c r="PYJ42" s="33"/>
      <c r="PYK42" s="33"/>
      <c r="PYL42" s="33"/>
      <c r="PYM42" s="33"/>
      <c r="PYN42" s="33"/>
      <c r="PYO42" s="33"/>
      <c r="PYP42" s="33"/>
      <c r="PYQ42" s="33"/>
      <c r="PYR42" s="33"/>
      <c r="PYS42" s="33"/>
      <c r="PYT42" s="33"/>
      <c r="PYU42" s="33"/>
      <c r="PYV42" s="33"/>
      <c r="PYW42" s="33"/>
      <c r="PYX42" s="33"/>
      <c r="PYY42" s="33"/>
      <c r="PYZ42" s="33"/>
      <c r="PZA42" s="33"/>
      <c r="PZB42" s="33"/>
      <c r="PZC42" s="33"/>
      <c r="PZD42" s="33"/>
      <c r="PZE42" s="33"/>
      <c r="PZF42" s="33"/>
      <c r="PZG42" s="33"/>
      <c r="PZH42" s="33"/>
      <c r="PZI42" s="33"/>
      <c r="PZJ42" s="33"/>
      <c r="PZK42" s="33"/>
      <c r="PZL42" s="33"/>
      <c r="PZM42" s="33"/>
      <c r="PZN42" s="33"/>
      <c r="PZO42" s="33"/>
      <c r="PZP42" s="33"/>
      <c r="PZQ42" s="33"/>
      <c r="PZR42" s="33"/>
      <c r="PZS42" s="33"/>
      <c r="PZT42" s="33"/>
      <c r="PZU42" s="33"/>
      <c r="PZV42" s="33"/>
      <c r="PZW42" s="33"/>
      <c r="PZX42" s="33"/>
      <c r="PZY42" s="33"/>
      <c r="PZZ42" s="33"/>
      <c r="QAA42" s="33"/>
      <c r="QAB42" s="33"/>
      <c r="QAC42" s="33"/>
      <c r="QAD42" s="33"/>
      <c r="QAE42" s="33"/>
      <c r="QAF42" s="33"/>
      <c r="QAG42" s="33"/>
      <c r="QAH42" s="33"/>
      <c r="QAI42" s="33"/>
      <c r="QAJ42" s="33"/>
      <c r="QAK42" s="33"/>
      <c r="QAL42" s="33"/>
      <c r="QAM42" s="33"/>
      <c r="QAN42" s="33"/>
      <c r="QAO42" s="33"/>
      <c r="QAP42" s="33"/>
      <c r="QAQ42" s="33"/>
      <c r="QAR42" s="33"/>
      <c r="QAS42" s="33"/>
      <c r="QAT42" s="33"/>
      <c r="QAU42" s="33"/>
      <c r="QAV42" s="33"/>
      <c r="QAW42" s="33"/>
      <c r="QAX42" s="33"/>
      <c r="QAY42" s="33"/>
      <c r="QAZ42" s="33"/>
      <c r="QBA42" s="33"/>
      <c r="QBB42" s="33"/>
      <c r="QBC42" s="33"/>
      <c r="QBD42" s="33"/>
      <c r="QBE42" s="33"/>
      <c r="QBF42" s="33"/>
      <c r="QBG42" s="33"/>
      <c r="QBH42" s="33"/>
      <c r="QBI42" s="33"/>
      <c r="QBJ42" s="33"/>
      <c r="QBK42" s="33"/>
      <c r="QBL42" s="33"/>
      <c r="QBM42" s="33"/>
      <c r="QBN42" s="33"/>
      <c r="QBO42" s="33"/>
      <c r="QBP42" s="33"/>
      <c r="QBQ42" s="33"/>
      <c r="QBR42" s="33"/>
      <c r="QBS42" s="33"/>
      <c r="QBT42" s="33"/>
      <c r="QBU42" s="33"/>
      <c r="QBV42" s="33"/>
      <c r="QBW42" s="33"/>
      <c r="QBX42" s="33"/>
      <c r="QBY42" s="33"/>
      <c r="QBZ42" s="33"/>
      <c r="QCA42" s="33"/>
      <c r="QCB42" s="33"/>
      <c r="QCC42" s="33"/>
      <c r="QCD42" s="33"/>
      <c r="QCE42" s="33"/>
      <c r="QCF42" s="33"/>
      <c r="QCG42" s="33"/>
      <c r="QCH42" s="33"/>
      <c r="QCI42" s="33"/>
      <c r="QCJ42" s="33"/>
      <c r="QCK42" s="33"/>
      <c r="QCL42" s="33"/>
      <c r="QCM42" s="33"/>
      <c r="QCN42" s="33"/>
      <c r="QCO42" s="33"/>
      <c r="QCP42" s="33"/>
      <c r="QCQ42" s="33"/>
      <c r="QCR42" s="33"/>
      <c r="QCS42" s="33"/>
      <c r="QCT42" s="33"/>
      <c r="QCU42" s="33"/>
      <c r="QCV42" s="33"/>
      <c r="QCW42" s="33"/>
      <c r="QCX42" s="33"/>
      <c r="QCY42" s="33"/>
      <c r="QCZ42" s="33"/>
      <c r="QDA42" s="33"/>
      <c r="QDB42" s="33"/>
      <c r="QDC42" s="33"/>
      <c r="QDD42" s="33"/>
      <c r="QDE42" s="33"/>
      <c r="QDF42" s="33"/>
      <c r="QDG42" s="33"/>
      <c r="QDH42" s="33"/>
      <c r="QDI42" s="33"/>
      <c r="QDJ42" s="33"/>
      <c r="QDK42" s="33"/>
      <c r="QDL42" s="33"/>
      <c r="QDM42" s="33"/>
      <c r="QDN42" s="33"/>
      <c r="QDO42" s="33"/>
      <c r="QDP42" s="33"/>
      <c r="QDQ42" s="33"/>
      <c r="QDR42" s="33"/>
      <c r="QDS42" s="33"/>
      <c r="QDT42" s="33"/>
      <c r="QDU42" s="33"/>
      <c r="QDV42" s="33"/>
      <c r="QDW42" s="33"/>
      <c r="QDX42" s="33"/>
      <c r="QDY42" s="33"/>
      <c r="QDZ42" s="33"/>
      <c r="QEA42" s="33"/>
      <c r="QEB42" s="33"/>
      <c r="QEC42" s="33"/>
      <c r="QED42" s="33"/>
      <c r="QEE42" s="33"/>
      <c r="QEF42" s="33"/>
      <c r="QEG42" s="33"/>
      <c r="QEH42" s="33"/>
      <c r="QEI42" s="33"/>
      <c r="QEJ42" s="33"/>
      <c r="QEK42" s="33"/>
      <c r="QEL42" s="33"/>
      <c r="QEM42" s="33"/>
      <c r="QEN42" s="33"/>
      <c r="QEO42" s="33"/>
      <c r="QEP42" s="33"/>
      <c r="QEQ42" s="33"/>
      <c r="QER42" s="33"/>
      <c r="QES42" s="33"/>
      <c r="QET42" s="33"/>
      <c r="QEU42" s="33"/>
      <c r="QEV42" s="33"/>
      <c r="QEW42" s="33"/>
      <c r="QEX42" s="33"/>
      <c r="QEY42" s="33"/>
      <c r="QEZ42" s="33"/>
      <c r="QFA42" s="33"/>
      <c r="QFB42" s="33"/>
      <c r="QFC42" s="33"/>
      <c r="QFD42" s="33"/>
      <c r="QFE42" s="33"/>
      <c r="QFF42" s="33"/>
      <c r="QFG42" s="33"/>
      <c r="QFH42" s="33"/>
      <c r="QFI42" s="33"/>
      <c r="QFJ42" s="33"/>
      <c r="QFK42" s="33"/>
      <c r="QFL42" s="33"/>
      <c r="QFM42" s="33"/>
      <c r="QFN42" s="33"/>
      <c r="QFO42" s="33"/>
      <c r="QFP42" s="33"/>
      <c r="QFQ42" s="33"/>
      <c r="QFR42" s="33"/>
      <c r="QFS42" s="33"/>
      <c r="QFT42" s="33"/>
      <c r="QFU42" s="33"/>
      <c r="QFV42" s="33"/>
      <c r="QFW42" s="33"/>
      <c r="QFX42" s="33"/>
      <c r="QFY42" s="33"/>
      <c r="QFZ42" s="33"/>
      <c r="QGA42" s="33"/>
      <c r="QGB42" s="33"/>
      <c r="QGC42" s="33"/>
      <c r="QGD42" s="33"/>
      <c r="QGE42" s="33"/>
      <c r="QGF42" s="33"/>
      <c r="QGG42" s="33"/>
      <c r="QGH42" s="33"/>
      <c r="QGI42" s="33"/>
      <c r="QGJ42" s="33"/>
      <c r="QGK42" s="33"/>
      <c r="QGL42" s="33"/>
      <c r="QGM42" s="33"/>
      <c r="QGN42" s="33"/>
      <c r="QGO42" s="33"/>
      <c r="QGP42" s="33"/>
      <c r="QGQ42" s="33"/>
      <c r="QGR42" s="33"/>
      <c r="QGS42" s="33"/>
      <c r="QGT42" s="33"/>
      <c r="QGU42" s="33"/>
      <c r="QGV42" s="33"/>
      <c r="QGW42" s="33"/>
      <c r="QGX42" s="33"/>
      <c r="QGY42" s="33"/>
      <c r="QGZ42" s="33"/>
      <c r="QHA42" s="33"/>
      <c r="QHB42" s="33"/>
      <c r="QHC42" s="33"/>
      <c r="QHD42" s="33"/>
      <c r="QHE42" s="33"/>
      <c r="QHF42" s="33"/>
      <c r="QHG42" s="33"/>
      <c r="QHH42" s="33"/>
      <c r="QHI42" s="33"/>
      <c r="QHJ42" s="33"/>
      <c r="QHK42" s="33"/>
      <c r="QHL42" s="33"/>
      <c r="QHM42" s="33"/>
      <c r="QHN42" s="33"/>
      <c r="QHO42" s="33"/>
      <c r="QHP42" s="33"/>
      <c r="QHQ42" s="33"/>
      <c r="QHR42" s="33"/>
      <c r="QHS42" s="33"/>
      <c r="QHT42" s="33"/>
      <c r="QHU42" s="33"/>
      <c r="QHV42" s="33"/>
      <c r="QHW42" s="33"/>
      <c r="QHX42" s="33"/>
      <c r="QHY42" s="33"/>
      <c r="QHZ42" s="33"/>
      <c r="QIA42" s="33"/>
      <c r="QIB42" s="33"/>
      <c r="QIC42" s="33"/>
      <c r="QID42" s="33"/>
      <c r="QIE42" s="33"/>
      <c r="QIF42" s="33"/>
      <c r="QIG42" s="33"/>
      <c r="QIH42" s="33"/>
      <c r="QII42" s="33"/>
      <c r="QIJ42" s="33"/>
      <c r="QIK42" s="33"/>
      <c r="QIL42" s="33"/>
      <c r="QIM42" s="33"/>
      <c r="QIN42" s="33"/>
      <c r="QIO42" s="33"/>
      <c r="QIP42" s="33"/>
      <c r="QIQ42" s="33"/>
      <c r="QIR42" s="33"/>
      <c r="QIS42" s="33"/>
      <c r="QIT42" s="33"/>
      <c r="QIU42" s="33"/>
      <c r="QIV42" s="33"/>
      <c r="QIW42" s="33"/>
      <c r="QIX42" s="33"/>
      <c r="QIY42" s="33"/>
      <c r="QIZ42" s="33"/>
      <c r="QJA42" s="33"/>
      <c r="QJB42" s="33"/>
      <c r="QJC42" s="33"/>
      <c r="QJD42" s="33"/>
      <c r="QJE42" s="33"/>
      <c r="QJF42" s="33"/>
      <c r="QJG42" s="33"/>
      <c r="QJH42" s="33"/>
      <c r="QJI42" s="33"/>
      <c r="QJJ42" s="33"/>
      <c r="QJK42" s="33"/>
      <c r="QJL42" s="33"/>
      <c r="QJM42" s="33"/>
      <c r="QJN42" s="33"/>
      <c r="QJO42" s="33"/>
      <c r="QJP42" s="33"/>
      <c r="QJQ42" s="33"/>
      <c r="QJR42" s="33"/>
      <c r="QJS42" s="33"/>
      <c r="QJT42" s="33"/>
      <c r="QJU42" s="33"/>
      <c r="QJV42" s="33"/>
      <c r="QJW42" s="33"/>
      <c r="QJX42" s="33"/>
      <c r="QJY42" s="33"/>
      <c r="QJZ42" s="33"/>
      <c r="QKA42" s="33"/>
      <c r="QKB42" s="33"/>
      <c r="QKC42" s="33"/>
      <c r="QKD42" s="33"/>
      <c r="QKE42" s="33"/>
      <c r="QKF42" s="33"/>
      <c r="QKG42" s="33"/>
      <c r="QKH42" s="33"/>
      <c r="QKI42" s="33"/>
      <c r="QKJ42" s="33"/>
      <c r="QKK42" s="33"/>
      <c r="QKL42" s="33"/>
      <c r="QKM42" s="33"/>
      <c r="QKN42" s="33"/>
      <c r="QKO42" s="33"/>
      <c r="QKP42" s="33"/>
      <c r="QKQ42" s="33"/>
      <c r="QKR42" s="33"/>
      <c r="QKS42" s="33"/>
      <c r="QKT42" s="33"/>
      <c r="QKU42" s="33"/>
      <c r="QKV42" s="33"/>
      <c r="QKW42" s="33"/>
      <c r="QKX42" s="33"/>
      <c r="QKY42" s="33"/>
      <c r="QKZ42" s="33"/>
      <c r="QLA42" s="33"/>
      <c r="QLB42" s="33"/>
      <c r="QLC42" s="33"/>
      <c r="QLD42" s="33"/>
      <c r="QLE42" s="33"/>
      <c r="QLF42" s="33"/>
      <c r="QLG42" s="33"/>
      <c r="QLH42" s="33"/>
      <c r="QLI42" s="33"/>
      <c r="QLJ42" s="33"/>
      <c r="QLK42" s="33"/>
      <c r="QLL42" s="33"/>
      <c r="QLM42" s="33"/>
      <c r="QLN42" s="33"/>
      <c r="QLO42" s="33"/>
      <c r="QLP42" s="33"/>
      <c r="QLQ42" s="33"/>
      <c r="QLR42" s="33"/>
      <c r="QLS42" s="33"/>
      <c r="QLT42" s="33"/>
      <c r="QLU42" s="33"/>
      <c r="QLV42" s="33"/>
      <c r="QLW42" s="33"/>
      <c r="QLX42" s="33"/>
      <c r="QLY42" s="33"/>
      <c r="QLZ42" s="33"/>
      <c r="QMA42" s="33"/>
      <c r="QMB42" s="33"/>
      <c r="QMC42" s="33"/>
      <c r="QMD42" s="33"/>
      <c r="QME42" s="33"/>
      <c r="QMF42" s="33"/>
      <c r="QMG42" s="33"/>
      <c r="QMH42" s="33"/>
      <c r="QMI42" s="33"/>
      <c r="QMJ42" s="33"/>
      <c r="QMK42" s="33"/>
      <c r="QML42" s="33"/>
      <c r="QMM42" s="33"/>
      <c r="QMN42" s="33"/>
      <c r="QMO42" s="33"/>
      <c r="QMP42" s="33"/>
      <c r="QMQ42" s="33"/>
      <c r="QMR42" s="33"/>
      <c r="QMS42" s="33"/>
      <c r="QMT42" s="33"/>
      <c r="QMU42" s="33"/>
      <c r="QMV42" s="33"/>
      <c r="QMW42" s="33"/>
      <c r="QMX42" s="33"/>
      <c r="QMY42" s="33"/>
      <c r="QMZ42" s="33"/>
      <c r="QNA42" s="33"/>
      <c r="QNB42" s="33"/>
      <c r="QNC42" s="33"/>
      <c r="QND42" s="33"/>
      <c r="QNE42" s="33"/>
      <c r="QNF42" s="33"/>
      <c r="QNG42" s="33"/>
      <c r="QNH42" s="33"/>
      <c r="QNI42" s="33"/>
      <c r="QNJ42" s="33"/>
      <c r="QNK42" s="33"/>
      <c r="QNL42" s="33"/>
      <c r="QNM42" s="33"/>
      <c r="QNN42" s="33"/>
      <c r="QNO42" s="33"/>
      <c r="QNP42" s="33"/>
      <c r="QNQ42" s="33"/>
      <c r="QNR42" s="33"/>
      <c r="QNS42" s="33"/>
      <c r="QNT42" s="33"/>
      <c r="QNU42" s="33"/>
      <c r="QNV42" s="33"/>
      <c r="QNW42" s="33"/>
      <c r="QNX42" s="33"/>
      <c r="QNY42" s="33"/>
      <c r="QNZ42" s="33"/>
      <c r="QOA42" s="33"/>
      <c r="QOB42" s="33"/>
      <c r="QOC42" s="33"/>
      <c r="QOD42" s="33"/>
      <c r="QOE42" s="33"/>
      <c r="QOF42" s="33"/>
      <c r="QOG42" s="33"/>
      <c r="QOH42" s="33"/>
      <c r="QOI42" s="33"/>
      <c r="QOJ42" s="33"/>
      <c r="QOK42" s="33"/>
      <c r="QOL42" s="33"/>
      <c r="QOM42" s="33"/>
      <c r="QON42" s="33"/>
      <c r="QOO42" s="33"/>
      <c r="QOP42" s="33"/>
      <c r="QOQ42" s="33"/>
      <c r="QOR42" s="33"/>
      <c r="QOS42" s="33"/>
      <c r="QOT42" s="33"/>
      <c r="QOU42" s="33"/>
      <c r="QOV42" s="33"/>
      <c r="QOW42" s="33"/>
      <c r="QOX42" s="33"/>
      <c r="QOY42" s="33"/>
      <c r="QOZ42" s="33"/>
      <c r="QPA42" s="33"/>
      <c r="QPB42" s="33"/>
      <c r="QPC42" s="33"/>
      <c r="QPD42" s="33"/>
      <c r="QPE42" s="33"/>
      <c r="QPF42" s="33"/>
      <c r="QPG42" s="33"/>
      <c r="QPH42" s="33"/>
      <c r="QPI42" s="33"/>
      <c r="QPJ42" s="33"/>
      <c r="QPK42" s="33"/>
      <c r="QPL42" s="33"/>
      <c r="QPM42" s="33"/>
      <c r="QPN42" s="33"/>
      <c r="QPO42" s="33"/>
      <c r="QPP42" s="33"/>
      <c r="QPQ42" s="33"/>
      <c r="QPR42" s="33"/>
      <c r="QPS42" s="33"/>
      <c r="QPT42" s="33"/>
      <c r="QPU42" s="33"/>
      <c r="QPV42" s="33"/>
      <c r="QPW42" s="33"/>
      <c r="QPX42" s="33"/>
      <c r="QPY42" s="33"/>
      <c r="QPZ42" s="33"/>
      <c r="QQA42" s="33"/>
      <c r="QQB42" s="33"/>
      <c r="QQC42" s="33"/>
      <c r="QQD42" s="33"/>
      <c r="QQE42" s="33"/>
      <c r="QQF42" s="33"/>
      <c r="QQG42" s="33"/>
      <c r="QQH42" s="33"/>
      <c r="QQI42" s="33"/>
      <c r="QQJ42" s="33"/>
      <c r="QQK42" s="33"/>
      <c r="QQL42" s="33"/>
      <c r="QQM42" s="33"/>
      <c r="QQN42" s="33"/>
      <c r="QQO42" s="33"/>
      <c r="QQP42" s="33"/>
      <c r="QQQ42" s="33"/>
      <c r="QQR42" s="33"/>
      <c r="QQS42" s="33"/>
      <c r="QQT42" s="33"/>
      <c r="QQU42" s="33"/>
      <c r="QQV42" s="33"/>
      <c r="QQW42" s="33"/>
      <c r="QQX42" s="33"/>
      <c r="QQY42" s="33"/>
      <c r="QQZ42" s="33"/>
      <c r="QRA42" s="33"/>
      <c r="QRB42" s="33"/>
      <c r="QRC42" s="33"/>
      <c r="QRD42" s="33"/>
      <c r="QRE42" s="33"/>
      <c r="QRF42" s="33"/>
      <c r="QRG42" s="33"/>
      <c r="QRH42" s="33"/>
      <c r="QRI42" s="33"/>
      <c r="QRJ42" s="33"/>
      <c r="QRK42" s="33"/>
      <c r="QRL42" s="33"/>
      <c r="QRM42" s="33"/>
      <c r="QRN42" s="33"/>
      <c r="QRO42" s="33"/>
      <c r="QRP42" s="33"/>
      <c r="QRQ42" s="33"/>
      <c r="QRR42" s="33"/>
      <c r="QRS42" s="33"/>
      <c r="QRT42" s="33"/>
      <c r="QRU42" s="33"/>
      <c r="QRV42" s="33"/>
      <c r="QRW42" s="33"/>
      <c r="QRX42" s="33"/>
      <c r="QRY42" s="33"/>
      <c r="QRZ42" s="33"/>
      <c r="QSA42" s="33"/>
      <c r="QSB42" s="33"/>
      <c r="QSC42" s="33"/>
      <c r="QSD42" s="33"/>
      <c r="QSE42" s="33"/>
      <c r="QSF42" s="33"/>
      <c r="QSG42" s="33"/>
      <c r="QSH42" s="33"/>
      <c r="QSI42" s="33"/>
      <c r="QSJ42" s="33"/>
      <c r="QSK42" s="33"/>
      <c r="QSL42" s="33"/>
      <c r="QSM42" s="33"/>
      <c r="QSN42" s="33"/>
      <c r="QSO42" s="33"/>
      <c r="QSP42" s="33"/>
      <c r="QSQ42" s="33"/>
      <c r="QSR42" s="33"/>
      <c r="QSS42" s="33"/>
      <c r="QST42" s="33"/>
      <c r="QSU42" s="33"/>
      <c r="QSV42" s="33"/>
      <c r="QSW42" s="33"/>
      <c r="QSX42" s="33"/>
      <c r="QSY42" s="33"/>
      <c r="QSZ42" s="33"/>
      <c r="QTA42" s="33"/>
      <c r="QTB42" s="33"/>
      <c r="QTC42" s="33"/>
      <c r="QTD42" s="33"/>
      <c r="QTE42" s="33"/>
      <c r="QTF42" s="33"/>
      <c r="QTG42" s="33"/>
      <c r="QTH42" s="33"/>
      <c r="QTI42" s="33"/>
      <c r="QTJ42" s="33"/>
      <c r="QTK42" s="33"/>
      <c r="QTL42" s="33"/>
      <c r="QTM42" s="33"/>
      <c r="QTN42" s="33"/>
      <c r="QTO42" s="33"/>
      <c r="QTP42" s="33"/>
      <c r="QTQ42" s="33"/>
      <c r="QTR42" s="33"/>
      <c r="QTS42" s="33"/>
      <c r="QTT42" s="33"/>
      <c r="QTU42" s="33"/>
      <c r="QTV42" s="33"/>
      <c r="QTW42" s="33"/>
      <c r="QTX42" s="33"/>
      <c r="QTY42" s="33"/>
      <c r="QTZ42" s="33"/>
      <c r="QUA42" s="33"/>
      <c r="QUB42" s="33"/>
      <c r="QUC42" s="33"/>
      <c r="QUD42" s="33"/>
      <c r="QUE42" s="33"/>
      <c r="QUF42" s="33"/>
      <c r="QUG42" s="33"/>
      <c r="QUH42" s="33"/>
      <c r="QUI42" s="33"/>
      <c r="QUJ42" s="33"/>
      <c r="QUK42" s="33"/>
      <c r="QUL42" s="33"/>
      <c r="QUM42" s="33"/>
      <c r="QUN42" s="33"/>
      <c r="QUO42" s="33"/>
      <c r="QUP42" s="33"/>
      <c r="QUQ42" s="33"/>
      <c r="QUR42" s="33"/>
      <c r="QUS42" s="33"/>
      <c r="QUT42" s="33"/>
      <c r="QUU42" s="33"/>
      <c r="QUV42" s="33"/>
      <c r="QUW42" s="33"/>
      <c r="QUX42" s="33"/>
      <c r="QUY42" s="33"/>
      <c r="QUZ42" s="33"/>
      <c r="QVA42" s="33"/>
      <c r="QVB42" s="33"/>
      <c r="QVC42" s="33"/>
      <c r="QVD42" s="33"/>
      <c r="QVE42" s="33"/>
      <c r="QVF42" s="33"/>
      <c r="QVG42" s="33"/>
      <c r="QVH42" s="33"/>
      <c r="QVI42" s="33"/>
      <c r="QVJ42" s="33"/>
      <c r="QVK42" s="33"/>
      <c r="QVL42" s="33"/>
      <c r="QVM42" s="33"/>
      <c r="QVN42" s="33"/>
      <c r="QVO42" s="33"/>
      <c r="QVP42" s="33"/>
      <c r="QVQ42" s="33"/>
      <c r="QVR42" s="33"/>
      <c r="QVS42" s="33"/>
      <c r="QVT42" s="33"/>
      <c r="QVU42" s="33"/>
      <c r="QVV42" s="33"/>
      <c r="QVW42" s="33"/>
      <c r="QVX42" s="33"/>
      <c r="QVY42" s="33"/>
      <c r="QVZ42" s="33"/>
      <c r="QWA42" s="33"/>
      <c r="QWB42" s="33"/>
      <c r="QWC42" s="33"/>
      <c r="QWD42" s="33"/>
      <c r="QWE42" s="33"/>
      <c r="QWF42" s="33"/>
      <c r="QWG42" s="33"/>
      <c r="QWH42" s="33"/>
      <c r="QWI42" s="33"/>
      <c r="QWJ42" s="33"/>
      <c r="QWK42" s="33"/>
      <c r="QWL42" s="33"/>
      <c r="QWM42" s="33"/>
      <c r="QWN42" s="33"/>
      <c r="QWO42" s="33"/>
      <c r="QWP42" s="33"/>
      <c r="QWQ42" s="33"/>
      <c r="QWR42" s="33"/>
      <c r="QWS42" s="33"/>
      <c r="QWT42" s="33"/>
      <c r="QWU42" s="33"/>
      <c r="QWV42" s="33"/>
      <c r="QWW42" s="33"/>
      <c r="QWX42" s="33"/>
      <c r="QWY42" s="33"/>
      <c r="QWZ42" s="33"/>
      <c r="QXA42" s="33"/>
      <c r="QXB42" s="33"/>
      <c r="QXC42" s="33"/>
      <c r="QXD42" s="33"/>
      <c r="QXE42" s="33"/>
      <c r="QXF42" s="33"/>
      <c r="QXG42" s="33"/>
      <c r="QXH42" s="33"/>
      <c r="QXI42" s="33"/>
      <c r="QXJ42" s="33"/>
      <c r="QXK42" s="33"/>
      <c r="QXL42" s="33"/>
      <c r="QXM42" s="33"/>
      <c r="QXN42" s="33"/>
      <c r="QXO42" s="33"/>
      <c r="QXP42" s="33"/>
      <c r="QXQ42" s="33"/>
      <c r="QXR42" s="33"/>
      <c r="QXS42" s="33"/>
      <c r="QXT42" s="33"/>
      <c r="QXU42" s="33"/>
      <c r="QXV42" s="33"/>
      <c r="QXW42" s="33"/>
      <c r="QXX42" s="33"/>
      <c r="QXY42" s="33"/>
      <c r="QXZ42" s="33"/>
      <c r="QYA42" s="33"/>
      <c r="QYB42" s="33"/>
      <c r="QYC42" s="33"/>
      <c r="QYD42" s="33"/>
      <c r="QYE42" s="33"/>
      <c r="QYF42" s="33"/>
      <c r="QYG42" s="33"/>
      <c r="QYH42" s="33"/>
      <c r="QYI42" s="33"/>
      <c r="QYJ42" s="33"/>
      <c r="QYK42" s="33"/>
      <c r="QYL42" s="33"/>
      <c r="QYM42" s="33"/>
      <c r="QYN42" s="33"/>
      <c r="QYO42" s="33"/>
      <c r="QYP42" s="33"/>
      <c r="QYQ42" s="33"/>
      <c r="QYR42" s="33"/>
      <c r="QYS42" s="33"/>
      <c r="QYT42" s="33"/>
      <c r="QYU42" s="33"/>
      <c r="QYV42" s="33"/>
      <c r="QYW42" s="33"/>
      <c r="QYX42" s="33"/>
      <c r="QYY42" s="33"/>
      <c r="QYZ42" s="33"/>
      <c r="QZA42" s="33"/>
      <c r="QZB42" s="33"/>
      <c r="QZC42" s="33"/>
      <c r="QZD42" s="33"/>
      <c r="QZE42" s="33"/>
      <c r="QZF42" s="33"/>
      <c r="QZG42" s="33"/>
      <c r="QZH42" s="33"/>
      <c r="QZI42" s="33"/>
      <c r="QZJ42" s="33"/>
      <c r="QZK42" s="33"/>
      <c r="QZL42" s="33"/>
      <c r="QZM42" s="33"/>
      <c r="QZN42" s="33"/>
      <c r="QZO42" s="33"/>
      <c r="QZP42" s="33"/>
      <c r="QZQ42" s="33"/>
      <c r="QZR42" s="33"/>
      <c r="QZS42" s="33"/>
      <c r="QZT42" s="33"/>
      <c r="QZU42" s="33"/>
      <c r="QZV42" s="33"/>
      <c r="QZW42" s="33"/>
      <c r="QZX42" s="33"/>
      <c r="QZY42" s="33"/>
      <c r="QZZ42" s="33"/>
      <c r="RAA42" s="33"/>
      <c r="RAB42" s="33"/>
      <c r="RAC42" s="33"/>
      <c r="RAD42" s="33"/>
      <c r="RAE42" s="33"/>
      <c r="RAF42" s="33"/>
      <c r="RAG42" s="33"/>
      <c r="RAH42" s="33"/>
      <c r="RAI42" s="33"/>
      <c r="RAJ42" s="33"/>
      <c r="RAK42" s="33"/>
      <c r="RAL42" s="33"/>
      <c r="RAM42" s="33"/>
      <c r="RAN42" s="33"/>
      <c r="RAO42" s="33"/>
      <c r="RAP42" s="33"/>
      <c r="RAQ42" s="33"/>
      <c r="RAR42" s="33"/>
      <c r="RAS42" s="33"/>
      <c r="RAT42" s="33"/>
      <c r="RAU42" s="33"/>
      <c r="RAV42" s="33"/>
      <c r="RAW42" s="33"/>
      <c r="RAX42" s="33"/>
      <c r="RAY42" s="33"/>
      <c r="RAZ42" s="33"/>
      <c r="RBA42" s="33"/>
      <c r="RBB42" s="33"/>
      <c r="RBC42" s="33"/>
      <c r="RBD42" s="33"/>
      <c r="RBE42" s="33"/>
      <c r="RBF42" s="33"/>
      <c r="RBG42" s="33"/>
      <c r="RBH42" s="33"/>
      <c r="RBI42" s="33"/>
      <c r="RBJ42" s="33"/>
      <c r="RBK42" s="33"/>
      <c r="RBL42" s="33"/>
      <c r="RBM42" s="33"/>
      <c r="RBN42" s="33"/>
      <c r="RBO42" s="33"/>
      <c r="RBP42" s="33"/>
      <c r="RBQ42" s="33"/>
      <c r="RBR42" s="33"/>
      <c r="RBS42" s="33"/>
      <c r="RBT42" s="33"/>
      <c r="RBU42" s="33"/>
      <c r="RBV42" s="33"/>
      <c r="RBW42" s="33"/>
      <c r="RBX42" s="33"/>
      <c r="RBY42" s="33"/>
      <c r="RBZ42" s="33"/>
      <c r="RCA42" s="33"/>
      <c r="RCB42" s="33"/>
      <c r="RCC42" s="33"/>
      <c r="RCD42" s="33"/>
      <c r="RCE42" s="33"/>
      <c r="RCF42" s="33"/>
      <c r="RCG42" s="33"/>
      <c r="RCH42" s="33"/>
      <c r="RCI42" s="33"/>
      <c r="RCJ42" s="33"/>
      <c r="RCK42" s="33"/>
      <c r="RCL42" s="33"/>
      <c r="RCM42" s="33"/>
      <c r="RCN42" s="33"/>
      <c r="RCO42" s="33"/>
      <c r="RCP42" s="33"/>
      <c r="RCQ42" s="33"/>
      <c r="RCR42" s="33"/>
      <c r="RCS42" s="33"/>
      <c r="RCT42" s="33"/>
      <c r="RCU42" s="33"/>
      <c r="RCV42" s="33"/>
      <c r="RCW42" s="33"/>
      <c r="RCX42" s="33"/>
      <c r="RCY42" s="33"/>
      <c r="RCZ42" s="33"/>
      <c r="RDA42" s="33"/>
      <c r="RDB42" s="33"/>
      <c r="RDC42" s="33"/>
      <c r="RDD42" s="33"/>
      <c r="RDE42" s="33"/>
      <c r="RDF42" s="33"/>
      <c r="RDG42" s="33"/>
      <c r="RDH42" s="33"/>
      <c r="RDI42" s="33"/>
      <c r="RDJ42" s="33"/>
      <c r="RDK42" s="33"/>
      <c r="RDL42" s="33"/>
      <c r="RDM42" s="33"/>
      <c r="RDN42" s="33"/>
      <c r="RDO42" s="33"/>
      <c r="RDP42" s="33"/>
      <c r="RDQ42" s="33"/>
      <c r="RDR42" s="33"/>
      <c r="RDS42" s="33"/>
      <c r="RDT42" s="33"/>
      <c r="RDU42" s="33"/>
      <c r="RDV42" s="33"/>
      <c r="RDW42" s="33"/>
      <c r="RDX42" s="33"/>
      <c r="RDY42" s="33"/>
      <c r="RDZ42" s="33"/>
      <c r="REA42" s="33"/>
      <c r="REB42" s="33"/>
      <c r="REC42" s="33"/>
      <c r="RED42" s="33"/>
      <c r="REE42" s="33"/>
      <c r="REF42" s="33"/>
      <c r="REG42" s="33"/>
      <c r="REH42" s="33"/>
      <c r="REI42" s="33"/>
      <c r="REJ42" s="33"/>
      <c r="REK42" s="33"/>
      <c r="REL42" s="33"/>
      <c r="REM42" s="33"/>
      <c r="REN42" s="33"/>
      <c r="REO42" s="33"/>
      <c r="REP42" s="33"/>
      <c r="REQ42" s="33"/>
      <c r="RER42" s="33"/>
      <c r="RES42" s="33"/>
      <c r="RET42" s="33"/>
      <c r="REU42" s="33"/>
      <c r="REV42" s="33"/>
      <c r="REW42" s="33"/>
      <c r="REX42" s="33"/>
      <c r="REY42" s="33"/>
      <c r="REZ42" s="33"/>
      <c r="RFA42" s="33"/>
      <c r="RFB42" s="33"/>
      <c r="RFC42" s="33"/>
      <c r="RFD42" s="33"/>
      <c r="RFE42" s="33"/>
      <c r="RFF42" s="33"/>
      <c r="RFG42" s="33"/>
      <c r="RFH42" s="33"/>
      <c r="RFI42" s="33"/>
      <c r="RFJ42" s="33"/>
      <c r="RFK42" s="33"/>
      <c r="RFL42" s="33"/>
      <c r="RFM42" s="33"/>
      <c r="RFN42" s="33"/>
      <c r="RFO42" s="33"/>
      <c r="RFP42" s="33"/>
      <c r="RFQ42" s="33"/>
      <c r="RFR42" s="33"/>
      <c r="RFS42" s="33"/>
      <c r="RFT42" s="33"/>
      <c r="RFU42" s="33"/>
      <c r="RFV42" s="33"/>
      <c r="RFW42" s="33"/>
      <c r="RFX42" s="33"/>
      <c r="RFY42" s="33"/>
      <c r="RFZ42" s="33"/>
      <c r="RGA42" s="33"/>
      <c r="RGB42" s="33"/>
      <c r="RGC42" s="33"/>
      <c r="RGD42" s="33"/>
      <c r="RGE42" s="33"/>
      <c r="RGF42" s="33"/>
      <c r="RGG42" s="33"/>
      <c r="RGH42" s="33"/>
      <c r="RGI42" s="33"/>
      <c r="RGJ42" s="33"/>
      <c r="RGK42" s="33"/>
      <c r="RGL42" s="33"/>
      <c r="RGM42" s="33"/>
      <c r="RGN42" s="33"/>
      <c r="RGO42" s="33"/>
      <c r="RGP42" s="33"/>
      <c r="RGQ42" s="33"/>
      <c r="RGR42" s="33"/>
      <c r="RGS42" s="33"/>
      <c r="RGT42" s="33"/>
      <c r="RGU42" s="33"/>
      <c r="RGV42" s="33"/>
      <c r="RGW42" s="33"/>
      <c r="RGX42" s="33"/>
      <c r="RGY42" s="33"/>
      <c r="RGZ42" s="33"/>
      <c r="RHA42" s="33"/>
      <c r="RHB42" s="33"/>
      <c r="RHC42" s="33"/>
      <c r="RHD42" s="33"/>
      <c r="RHE42" s="33"/>
      <c r="RHF42" s="33"/>
      <c r="RHG42" s="33"/>
      <c r="RHH42" s="33"/>
      <c r="RHI42" s="33"/>
      <c r="RHJ42" s="33"/>
      <c r="RHK42" s="33"/>
      <c r="RHL42" s="33"/>
      <c r="RHM42" s="33"/>
      <c r="RHN42" s="33"/>
      <c r="RHO42" s="33"/>
      <c r="RHP42" s="33"/>
      <c r="RHQ42" s="33"/>
      <c r="RHR42" s="33"/>
      <c r="RHS42" s="33"/>
      <c r="RHT42" s="33"/>
      <c r="RHU42" s="33"/>
      <c r="RHV42" s="33"/>
      <c r="RHW42" s="33"/>
      <c r="RHX42" s="33"/>
      <c r="RHY42" s="33"/>
      <c r="RHZ42" s="33"/>
      <c r="RIA42" s="33"/>
      <c r="RIB42" s="33"/>
      <c r="RIC42" s="33"/>
      <c r="RID42" s="33"/>
      <c r="RIE42" s="33"/>
      <c r="RIF42" s="33"/>
      <c r="RIG42" s="33"/>
      <c r="RIH42" s="33"/>
      <c r="RII42" s="33"/>
      <c r="RIJ42" s="33"/>
      <c r="RIK42" s="33"/>
      <c r="RIL42" s="33"/>
      <c r="RIM42" s="33"/>
      <c r="RIN42" s="33"/>
      <c r="RIO42" s="33"/>
      <c r="RIP42" s="33"/>
      <c r="RIQ42" s="33"/>
      <c r="RIR42" s="33"/>
      <c r="RIS42" s="33"/>
      <c r="RIT42" s="33"/>
      <c r="RIU42" s="33"/>
      <c r="RIV42" s="33"/>
      <c r="RIW42" s="33"/>
      <c r="RIX42" s="33"/>
      <c r="RIY42" s="33"/>
      <c r="RIZ42" s="33"/>
      <c r="RJA42" s="33"/>
      <c r="RJB42" s="33"/>
      <c r="RJC42" s="33"/>
      <c r="RJD42" s="33"/>
      <c r="RJE42" s="33"/>
      <c r="RJF42" s="33"/>
      <c r="RJG42" s="33"/>
      <c r="RJH42" s="33"/>
      <c r="RJI42" s="33"/>
      <c r="RJJ42" s="33"/>
      <c r="RJK42" s="33"/>
      <c r="RJL42" s="33"/>
      <c r="RJM42" s="33"/>
      <c r="RJN42" s="33"/>
      <c r="RJO42" s="33"/>
      <c r="RJP42" s="33"/>
      <c r="RJQ42" s="33"/>
      <c r="RJR42" s="33"/>
      <c r="RJS42" s="33"/>
      <c r="RJT42" s="33"/>
      <c r="RJU42" s="33"/>
      <c r="RJV42" s="33"/>
      <c r="RJW42" s="33"/>
      <c r="RJX42" s="33"/>
      <c r="RJY42" s="33"/>
      <c r="RJZ42" s="33"/>
      <c r="RKA42" s="33"/>
      <c r="RKB42" s="33"/>
      <c r="RKC42" s="33"/>
      <c r="RKD42" s="33"/>
      <c r="RKE42" s="33"/>
      <c r="RKF42" s="33"/>
      <c r="RKG42" s="33"/>
      <c r="RKH42" s="33"/>
      <c r="RKI42" s="33"/>
      <c r="RKJ42" s="33"/>
      <c r="RKK42" s="33"/>
      <c r="RKL42" s="33"/>
      <c r="RKM42" s="33"/>
      <c r="RKN42" s="33"/>
      <c r="RKO42" s="33"/>
      <c r="RKP42" s="33"/>
      <c r="RKQ42" s="33"/>
      <c r="RKR42" s="33"/>
      <c r="RKS42" s="33"/>
      <c r="RKT42" s="33"/>
      <c r="RKU42" s="33"/>
      <c r="RKV42" s="33"/>
      <c r="RKW42" s="33"/>
      <c r="RKX42" s="33"/>
      <c r="RKY42" s="33"/>
      <c r="RKZ42" s="33"/>
      <c r="RLA42" s="33"/>
      <c r="RLB42" s="33"/>
      <c r="RLC42" s="33"/>
      <c r="RLD42" s="33"/>
      <c r="RLE42" s="33"/>
      <c r="RLF42" s="33"/>
      <c r="RLG42" s="33"/>
      <c r="RLH42" s="33"/>
      <c r="RLI42" s="33"/>
      <c r="RLJ42" s="33"/>
      <c r="RLK42" s="33"/>
      <c r="RLL42" s="33"/>
      <c r="RLM42" s="33"/>
      <c r="RLN42" s="33"/>
      <c r="RLO42" s="33"/>
      <c r="RLP42" s="33"/>
      <c r="RLQ42" s="33"/>
      <c r="RLR42" s="33"/>
      <c r="RLS42" s="33"/>
      <c r="RLT42" s="33"/>
      <c r="RLU42" s="33"/>
      <c r="RLV42" s="33"/>
      <c r="RLW42" s="33"/>
      <c r="RLX42" s="33"/>
      <c r="RLY42" s="33"/>
      <c r="RLZ42" s="33"/>
      <c r="RMA42" s="33"/>
      <c r="RMB42" s="33"/>
      <c r="RMC42" s="33"/>
      <c r="RMD42" s="33"/>
      <c r="RME42" s="33"/>
      <c r="RMF42" s="33"/>
      <c r="RMG42" s="33"/>
      <c r="RMH42" s="33"/>
      <c r="RMI42" s="33"/>
      <c r="RMJ42" s="33"/>
      <c r="RMK42" s="33"/>
      <c r="RML42" s="33"/>
      <c r="RMM42" s="33"/>
      <c r="RMN42" s="33"/>
      <c r="RMO42" s="33"/>
      <c r="RMP42" s="33"/>
      <c r="RMQ42" s="33"/>
      <c r="RMR42" s="33"/>
      <c r="RMS42" s="33"/>
      <c r="RMT42" s="33"/>
      <c r="RMU42" s="33"/>
      <c r="RMV42" s="33"/>
      <c r="RMW42" s="33"/>
      <c r="RMX42" s="33"/>
      <c r="RMY42" s="33"/>
      <c r="RMZ42" s="33"/>
      <c r="RNA42" s="33"/>
      <c r="RNB42" s="33"/>
      <c r="RNC42" s="33"/>
      <c r="RND42" s="33"/>
      <c r="RNE42" s="33"/>
      <c r="RNF42" s="33"/>
      <c r="RNG42" s="33"/>
      <c r="RNH42" s="33"/>
      <c r="RNI42" s="33"/>
      <c r="RNJ42" s="33"/>
      <c r="RNK42" s="33"/>
      <c r="RNL42" s="33"/>
      <c r="RNM42" s="33"/>
      <c r="RNN42" s="33"/>
      <c r="RNO42" s="33"/>
      <c r="RNP42" s="33"/>
      <c r="RNQ42" s="33"/>
      <c r="RNR42" s="33"/>
      <c r="RNS42" s="33"/>
      <c r="RNT42" s="33"/>
      <c r="RNU42" s="33"/>
      <c r="RNV42" s="33"/>
      <c r="RNW42" s="33"/>
      <c r="RNX42" s="33"/>
      <c r="RNY42" s="33"/>
      <c r="RNZ42" s="33"/>
      <c r="ROA42" s="33"/>
      <c r="ROB42" s="33"/>
      <c r="ROC42" s="33"/>
      <c r="ROD42" s="33"/>
      <c r="ROE42" s="33"/>
      <c r="ROF42" s="33"/>
      <c r="ROG42" s="33"/>
      <c r="ROH42" s="33"/>
      <c r="ROI42" s="33"/>
      <c r="ROJ42" s="33"/>
      <c r="ROK42" s="33"/>
      <c r="ROL42" s="33"/>
      <c r="ROM42" s="33"/>
      <c r="RON42" s="33"/>
      <c r="ROO42" s="33"/>
      <c r="ROP42" s="33"/>
      <c r="ROQ42" s="33"/>
      <c r="ROR42" s="33"/>
      <c r="ROS42" s="33"/>
      <c r="ROT42" s="33"/>
      <c r="ROU42" s="33"/>
      <c r="ROV42" s="33"/>
      <c r="ROW42" s="33"/>
      <c r="ROX42" s="33"/>
      <c r="ROY42" s="33"/>
      <c r="ROZ42" s="33"/>
      <c r="RPA42" s="33"/>
      <c r="RPB42" s="33"/>
      <c r="RPC42" s="33"/>
      <c r="RPD42" s="33"/>
      <c r="RPE42" s="33"/>
      <c r="RPF42" s="33"/>
      <c r="RPG42" s="33"/>
      <c r="RPH42" s="33"/>
      <c r="RPI42" s="33"/>
      <c r="RPJ42" s="33"/>
      <c r="RPK42" s="33"/>
      <c r="RPL42" s="33"/>
      <c r="RPM42" s="33"/>
      <c r="RPN42" s="33"/>
      <c r="RPO42" s="33"/>
      <c r="RPP42" s="33"/>
      <c r="RPQ42" s="33"/>
      <c r="RPR42" s="33"/>
      <c r="RPS42" s="33"/>
      <c r="RPT42" s="33"/>
      <c r="RPU42" s="33"/>
      <c r="RPV42" s="33"/>
      <c r="RPW42" s="33"/>
      <c r="RPX42" s="33"/>
      <c r="RPY42" s="33"/>
      <c r="RPZ42" s="33"/>
      <c r="RQA42" s="33"/>
      <c r="RQB42" s="33"/>
      <c r="RQC42" s="33"/>
      <c r="RQD42" s="33"/>
      <c r="RQE42" s="33"/>
      <c r="RQF42" s="33"/>
      <c r="RQG42" s="33"/>
      <c r="RQH42" s="33"/>
      <c r="RQI42" s="33"/>
      <c r="RQJ42" s="33"/>
      <c r="RQK42" s="33"/>
      <c r="RQL42" s="33"/>
      <c r="RQM42" s="33"/>
      <c r="RQN42" s="33"/>
      <c r="RQO42" s="33"/>
      <c r="RQP42" s="33"/>
      <c r="RQQ42" s="33"/>
      <c r="RQR42" s="33"/>
      <c r="RQS42" s="33"/>
      <c r="RQT42" s="33"/>
      <c r="RQU42" s="33"/>
      <c r="RQV42" s="33"/>
      <c r="RQW42" s="33"/>
      <c r="RQX42" s="33"/>
      <c r="RQY42" s="33"/>
      <c r="RQZ42" s="33"/>
      <c r="RRA42" s="33"/>
      <c r="RRB42" s="33"/>
      <c r="RRC42" s="33"/>
      <c r="RRD42" s="33"/>
      <c r="RRE42" s="33"/>
      <c r="RRF42" s="33"/>
      <c r="RRG42" s="33"/>
      <c r="RRH42" s="33"/>
      <c r="RRI42" s="33"/>
      <c r="RRJ42" s="33"/>
      <c r="RRK42" s="33"/>
      <c r="RRL42" s="33"/>
      <c r="RRM42" s="33"/>
      <c r="RRN42" s="33"/>
      <c r="RRO42" s="33"/>
      <c r="RRP42" s="33"/>
      <c r="RRQ42" s="33"/>
      <c r="RRR42" s="33"/>
      <c r="RRS42" s="33"/>
      <c r="RRT42" s="33"/>
      <c r="RRU42" s="33"/>
      <c r="RRV42" s="33"/>
      <c r="RRW42" s="33"/>
      <c r="RRX42" s="33"/>
      <c r="RRY42" s="33"/>
      <c r="RRZ42" s="33"/>
      <c r="RSA42" s="33"/>
      <c r="RSB42" s="33"/>
      <c r="RSC42" s="33"/>
      <c r="RSD42" s="33"/>
      <c r="RSE42" s="33"/>
      <c r="RSF42" s="33"/>
      <c r="RSG42" s="33"/>
      <c r="RSH42" s="33"/>
      <c r="RSI42" s="33"/>
      <c r="RSJ42" s="33"/>
      <c r="RSK42" s="33"/>
      <c r="RSL42" s="33"/>
      <c r="RSM42" s="33"/>
      <c r="RSN42" s="33"/>
      <c r="RSO42" s="33"/>
      <c r="RSP42" s="33"/>
      <c r="RSQ42" s="33"/>
      <c r="RSR42" s="33"/>
      <c r="RSS42" s="33"/>
      <c r="RST42" s="33"/>
      <c r="RSU42" s="33"/>
      <c r="RSV42" s="33"/>
      <c r="RSW42" s="33"/>
      <c r="RSX42" s="33"/>
      <c r="RSY42" s="33"/>
      <c r="RSZ42" s="33"/>
      <c r="RTA42" s="33"/>
      <c r="RTB42" s="33"/>
      <c r="RTC42" s="33"/>
      <c r="RTD42" s="33"/>
      <c r="RTE42" s="33"/>
      <c r="RTF42" s="33"/>
      <c r="RTG42" s="33"/>
      <c r="RTH42" s="33"/>
      <c r="RTI42" s="33"/>
      <c r="RTJ42" s="33"/>
      <c r="RTK42" s="33"/>
      <c r="RTL42" s="33"/>
      <c r="RTM42" s="33"/>
      <c r="RTN42" s="33"/>
      <c r="RTO42" s="33"/>
      <c r="RTP42" s="33"/>
      <c r="RTQ42" s="33"/>
      <c r="RTR42" s="33"/>
      <c r="RTS42" s="33"/>
      <c r="RTT42" s="33"/>
      <c r="RTU42" s="33"/>
      <c r="RTV42" s="33"/>
      <c r="RTW42" s="33"/>
      <c r="RTX42" s="33"/>
      <c r="RTY42" s="33"/>
      <c r="RTZ42" s="33"/>
      <c r="RUA42" s="33"/>
      <c r="RUB42" s="33"/>
      <c r="RUC42" s="33"/>
      <c r="RUD42" s="33"/>
      <c r="RUE42" s="33"/>
      <c r="RUF42" s="33"/>
      <c r="RUG42" s="33"/>
      <c r="RUH42" s="33"/>
      <c r="RUI42" s="33"/>
      <c r="RUJ42" s="33"/>
      <c r="RUK42" s="33"/>
      <c r="RUL42" s="33"/>
      <c r="RUM42" s="33"/>
      <c r="RUN42" s="33"/>
      <c r="RUO42" s="33"/>
      <c r="RUP42" s="33"/>
      <c r="RUQ42" s="33"/>
      <c r="RUR42" s="33"/>
      <c r="RUS42" s="33"/>
      <c r="RUT42" s="33"/>
      <c r="RUU42" s="33"/>
      <c r="RUV42" s="33"/>
      <c r="RUW42" s="33"/>
      <c r="RUX42" s="33"/>
      <c r="RUY42" s="33"/>
      <c r="RUZ42" s="33"/>
      <c r="RVA42" s="33"/>
      <c r="RVB42" s="33"/>
      <c r="RVC42" s="33"/>
      <c r="RVD42" s="33"/>
      <c r="RVE42" s="33"/>
      <c r="RVF42" s="33"/>
      <c r="RVG42" s="33"/>
      <c r="RVH42" s="33"/>
      <c r="RVI42" s="33"/>
      <c r="RVJ42" s="33"/>
      <c r="RVK42" s="33"/>
      <c r="RVL42" s="33"/>
      <c r="RVM42" s="33"/>
      <c r="RVN42" s="33"/>
      <c r="RVO42" s="33"/>
      <c r="RVP42" s="33"/>
      <c r="RVQ42" s="33"/>
      <c r="RVR42" s="33"/>
      <c r="RVS42" s="33"/>
      <c r="RVT42" s="33"/>
      <c r="RVU42" s="33"/>
      <c r="RVV42" s="33"/>
      <c r="RVW42" s="33"/>
      <c r="RVX42" s="33"/>
      <c r="RVY42" s="33"/>
      <c r="RVZ42" s="33"/>
      <c r="RWA42" s="33"/>
      <c r="RWB42" s="33"/>
      <c r="RWC42" s="33"/>
      <c r="RWD42" s="33"/>
      <c r="RWE42" s="33"/>
      <c r="RWF42" s="33"/>
      <c r="RWG42" s="33"/>
      <c r="RWH42" s="33"/>
      <c r="RWI42" s="33"/>
      <c r="RWJ42" s="33"/>
      <c r="RWK42" s="33"/>
      <c r="RWL42" s="33"/>
      <c r="RWM42" s="33"/>
      <c r="RWN42" s="33"/>
      <c r="RWO42" s="33"/>
      <c r="RWP42" s="33"/>
      <c r="RWQ42" s="33"/>
      <c r="RWR42" s="33"/>
      <c r="RWS42" s="33"/>
      <c r="RWT42" s="33"/>
      <c r="RWU42" s="33"/>
      <c r="RWV42" s="33"/>
      <c r="RWW42" s="33"/>
      <c r="RWX42" s="33"/>
      <c r="RWY42" s="33"/>
      <c r="RWZ42" s="33"/>
      <c r="RXA42" s="33"/>
      <c r="RXB42" s="33"/>
      <c r="RXC42" s="33"/>
      <c r="RXD42" s="33"/>
      <c r="RXE42" s="33"/>
      <c r="RXF42" s="33"/>
      <c r="RXG42" s="33"/>
      <c r="RXH42" s="33"/>
      <c r="RXI42" s="33"/>
      <c r="RXJ42" s="33"/>
      <c r="RXK42" s="33"/>
      <c r="RXL42" s="33"/>
      <c r="RXM42" s="33"/>
      <c r="RXN42" s="33"/>
      <c r="RXO42" s="33"/>
      <c r="RXP42" s="33"/>
      <c r="RXQ42" s="33"/>
      <c r="RXR42" s="33"/>
      <c r="RXS42" s="33"/>
      <c r="RXT42" s="33"/>
      <c r="RXU42" s="33"/>
      <c r="RXV42" s="33"/>
      <c r="RXW42" s="33"/>
      <c r="RXX42" s="33"/>
      <c r="RXY42" s="33"/>
      <c r="RXZ42" s="33"/>
      <c r="RYA42" s="33"/>
      <c r="RYB42" s="33"/>
      <c r="RYC42" s="33"/>
      <c r="RYD42" s="33"/>
      <c r="RYE42" s="33"/>
      <c r="RYF42" s="33"/>
      <c r="RYG42" s="33"/>
      <c r="RYH42" s="33"/>
      <c r="RYI42" s="33"/>
      <c r="RYJ42" s="33"/>
      <c r="RYK42" s="33"/>
      <c r="RYL42" s="33"/>
      <c r="RYM42" s="33"/>
      <c r="RYN42" s="33"/>
      <c r="RYO42" s="33"/>
      <c r="RYP42" s="33"/>
      <c r="RYQ42" s="33"/>
      <c r="RYR42" s="33"/>
      <c r="RYS42" s="33"/>
      <c r="RYT42" s="33"/>
      <c r="RYU42" s="33"/>
      <c r="RYV42" s="33"/>
      <c r="RYW42" s="33"/>
      <c r="RYX42" s="33"/>
      <c r="RYY42" s="33"/>
      <c r="RYZ42" s="33"/>
      <c r="RZA42" s="33"/>
      <c r="RZB42" s="33"/>
      <c r="RZC42" s="33"/>
      <c r="RZD42" s="33"/>
      <c r="RZE42" s="33"/>
      <c r="RZF42" s="33"/>
      <c r="RZG42" s="33"/>
      <c r="RZH42" s="33"/>
      <c r="RZI42" s="33"/>
      <c r="RZJ42" s="33"/>
      <c r="RZK42" s="33"/>
      <c r="RZL42" s="33"/>
      <c r="RZM42" s="33"/>
      <c r="RZN42" s="33"/>
      <c r="RZO42" s="33"/>
      <c r="RZP42" s="33"/>
      <c r="RZQ42" s="33"/>
      <c r="RZR42" s="33"/>
      <c r="RZS42" s="33"/>
      <c r="RZT42" s="33"/>
      <c r="RZU42" s="33"/>
      <c r="RZV42" s="33"/>
      <c r="RZW42" s="33"/>
      <c r="RZX42" s="33"/>
      <c r="RZY42" s="33"/>
      <c r="RZZ42" s="33"/>
      <c r="SAA42" s="33"/>
      <c r="SAB42" s="33"/>
      <c r="SAC42" s="33"/>
      <c r="SAD42" s="33"/>
      <c r="SAE42" s="33"/>
      <c r="SAF42" s="33"/>
      <c r="SAG42" s="33"/>
      <c r="SAH42" s="33"/>
      <c r="SAI42" s="33"/>
      <c r="SAJ42" s="33"/>
      <c r="SAK42" s="33"/>
      <c r="SAL42" s="33"/>
      <c r="SAM42" s="33"/>
      <c r="SAN42" s="33"/>
      <c r="SAO42" s="33"/>
      <c r="SAP42" s="33"/>
      <c r="SAQ42" s="33"/>
      <c r="SAR42" s="33"/>
      <c r="SAS42" s="33"/>
      <c r="SAT42" s="33"/>
      <c r="SAU42" s="33"/>
      <c r="SAV42" s="33"/>
      <c r="SAW42" s="33"/>
      <c r="SAX42" s="33"/>
      <c r="SAY42" s="33"/>
      <c r="SAZ42" s="33"/>
      <c r="SBA42" s="33"/>
      <c r="SBB42" s="33"/>
      <c r="SBC42" s="33"/>
      <c r="SBD42" s="33"/>
      <c r="SBE42" s="33"/>
      <c r="SBF42" s="33"/>
      <c r="SBG42" s="33"/>
      <c r="SBH42" s="33"/>
      <c r="SBI42" s="33"/>
      <c r="SBJ42" s="33"/>
      <c r="SBK42" s="33"/>
      <c r="SBL42" s="33"/>
      <c r="SBM42" s="33"/>
      <c r="SBN42" s="33"/>
      <c r="SBO42" s="33"/>
      <c r="SBP42" s="33"/>
      <c r="SBQ42" s="33"/>
      <c r="SBR42" s="33"/>
      <c r="SBS42" s="33"/>
      <c r="SBT42" s="33"/>
      <c r="SBU42" s="33"/>
      <c r="SBV42" s="33"/>
      <c r="SBW42" s="33"/>
      <c r="SBX42" s="33"/>
      <c r="SBY42" s="33"/>
      <c r="SBZ42" s="33"/>
      <c r="SCA42" s="33"/>
      <c r="SCB42" s="33"/>
      <c r="SCC42" s="33"/>
      <c r="SCD42" s="33"/>
      <c r="SCE42" s="33"/>
      <c r="SCF42" s="33"/>
      <c r="SCG42" s="33"/>
      <c r="SCH42" s="33"/>
      <c r="SCI42" s="33"/>
      <c r="SCJ42" s="33"/>
      <c r="SCK42" s="33"/>
      <c r="SCL42" s="33"/>
      <c r="SCM42" s="33"/>
      <c r="SCN42" s="33"/>
      <c r="SCO42" s="33"/>
      <c r="SCP42" s="33"/>
      <c r="SCQ42" s="33"/>
      <c r="SCR42" s="33"/>
      <c r="SCS42" s="33"/>
      <c r="SCT42" s="33"/>
      <c r="SCU42" s="33"/>
      <c r="SCV42" s="33"/>
      <c r="SCW42" s="33"/>
      <c r="SCX42" s="33"/>
      <c r="SCY42" s="33"/>
      <c r="SCZ42" s="33"/>
      <c r="SDA42" s="33"/>
      <c r="SDB42" s="33"/>
      <c r="SDC42" s="33"/>
      <c r="SDD42" s="33"/>
      <c r="SDE42" s="33"/>
      <c r="SDF42" s="33"/>
      <c r="SDG42" s="33"/>
      <c r="SDH42" s="33"/>
      <c r="SDI42" s="33"/>
      <c r="SDJ42" s="33"/>
      <c r="SDK42" s="33"/>
      <c r="SDL42" s="33"/>
      <c r="SDM42" s="33"/>
      <c r="SDN42" s="33"/>
      <c r="SDO42" s="33"/>
      <c r="SDP42" s="33"/>
      <c r="SDQ42" s="33"/>
      <c r="SDR42" s="33"/>
      <c r="SDS42" s="33"/>
      <c r="SDT42" s="33"/>
      <c r="SDU42" s="33"/>
      <c r="SDV42" s="33"/>
      <c r="SDW42" s="33"/>
      <c r="SDX42" s="33"/>
      <c r="SDY42" s="33"/>
      <c r="SDZ42" s="33"/>
      <c r="SEA42" s="33"/>
      <c r="SEB42" s="33"/>
      <c r="SEC42" s="33"/>
      <c r="SED42" s="33"/>
      <c r="SEE42" s="33"/>
      <c r="SEF42" s="33"/>
      <c r="SEG42" s="33"/>
      <c r="SEH42" s="33"/>
      <c r="SEI42" s="33"/>
      <c r="SEJ42" s="33"/>
      <c r="SEK42" s="33"/>
      <c r="SEL42" s="33"/>
      <c r="SEM42" s="33"/>
      <c r="SEN42" s="33"/>
      <c r="SEO42" s="33"/>
      <c r="SEP42" s="33"/>
      <c r="SEQ42" s="33"/>
      <c r="SER42" s="33"/>
      <c r="SES42" s="33"/>
      <c r="SET42" s="33"/>
      <c r="SEU42" s="33"/>
      <c r="SEV42" s="33"/>
      <c r="SEW42" s="33"/>
      <c r="SEX42" s="33"/>
      <c r="SEY42" s="33"/>
      <c r="SEZ42" s="33"/>
      <c r="SFA42" s="33"/>
      <c r="SFB42" s="33"/>
      <c r="SFC42" s="33"/>
      <c r="SFD42" s="33"/>
      <c r="SFE42" s="33"/>
      <c r="SFF42" s="33"/>
      <c r="SFG42" s="33"/>
      <c r="SFH42" s="33"/>
      <c r="SFI42" s="33"/>
      <c r="SFJ42" s="33"/>
      <c r="SFK42" s="33"/>
      <c r="SFL42" s="33"/>
      <c r="SFM42" s="33"/>
      <c r="SFN42" s="33"/>
      <c r="SFO42" s="33"/>
      <c r="SFP42" s="33"/>
      <c r="SFQ42" s="33"/>
      <c r="SFR42" s="33"/>
      <c r="SFS42" s="33"/>
      <c r="SFT42" s="33"/>
      <c r="SFU42" s="33"/>
      <c r="SFV42" s="33"/>
      <c r="SFW42" s="33"/>
      <c r="SFX42" s="33"/>
      <c r="SFY42" s="33"/>
      <c r="SFZ42" s="33"/>
      <c r="SGA42" s="33"/>
      <c r="SGB42" s="33"/>
      <c r="SGC42" s="33"/>
      <c r="SGD42" s="33"/>
      <c r="SGE42" s="33"/>
      <c r="SGF42" s="33"/>
      <c r="SGG42" s="33"/>
      <c r="SGH42" s="33"/>
      <c r="SGI42" s="33"/>
      <c r="SGJ42" s="33"/>
      <c r="SGK42" s="33"/>
      <c r="SGL42" s="33"/>
      <c r="SGM42" s="33"/>
      <c r="SGN42" s="33"/>
      <c r="SGO42" s="33"/>
      <c r="SGP42" s="33"/>
      <c r="SGQ42" s="33"/>
      <c r="SGR42" s="33"/>
      <c r="SGS42" s="33"/>
      <c r="SGT42" s="33"/>
      <c r="SGU42" s="33"/>
      <c r="SGV42" s="33"/>
      <c r="SGW42" s="33"/>
      <c r="SGX42" s="33"/>
      <c r="SGY42" s="33"/>
      <c r="SGZ42" s="33"/>
      <c r="SHA42" s="33"/>
      <c r="SHB42" s="33"/>
      <c r="SHC42" s="33"/>
      <c r="SHD42" s="33"/>
      <c r="SHE42" s="33"/>
      <c r="SHF42" s="33"/>
      <c r="SHG42" s="33"/>
      <c r="SHH42" s="33"/>
      <c r="SHI42" s="33"/>
      <c r="SHJ42" s="33"/>
      <c r="SHK42" s="33"/>
      <c r="SHL42" s="33"/>
      <c r="SHM42" s="33"/>
      <c r="SHN42" s="33"/>
      <c r="SHO42" s="33"/>
      <c r="SHP42" s="33"/>
      <c r="SHQ42" s="33"/>
      <c r="SHR42" s="33"/>
      <c r="SHS42" s="33"/>
      <c r="SHT42" s="33"/>
      <c r="SHU42" s="33"/>
      <c r="SHV42" s="33"/>
      <c r="SHW42" s="33"/>
      <c r="SHX42" s="33"/>
      <c r="SHY42" s="33"/>
      <c r="SHZ42" s="33"/>
      <c r="SIA42" s="33"/>
      <c r="SIB42" s="33"/>
      <c r="SIC42" s="33"/>
      <c r="SID42" s="33"/>
      <c r="SIE42" s="33"/>
      <c r="SIF42" s="33"/>
      <c r="SIG42" s="33"/>
      <c r="SIH42" s="33"/>
      <c r="SII42" s="33"/>
      <c r="SIJ42" s="33"/>
      <c r="SIK42" s="33"/>
      <c r="SIL42" s="33"/>
      <c r="SIM42" s="33"/>
      <c r="SIN42" s="33"/>
      <c r="SIO42" s="33"/>
      <c r="SIP42" s="33"/>
      <c r="SIQ42" s="33"/>
      <c r="SIR42" s="33"/>
      <c r="SIS42" s="33"/>
      <c r="SIT42" s="33"/>
      <c r="SIU42" s="33"/>
      <c r="SIV42" s="33"/>
      <c r="SIW42" s="33"/>
      <c r="SIX42" s="33"/>
      <c r="SIY42" s="33"/>
      <c r="SIZ42" s="33"/>
      <c r="SJA42" s="33"/>
      <c r="SJB42" s="33"/>
      <c r="SJC42" s="33"/>
      <c r="SJD42" s="33"/>
      <c r="SJE42" s="33"/>
      <c r="SJF42" s="33"/>
      <c r="SJG42" s="33"/>
      <c r="SJH42" s="33"/>
      <c r="SJI42" s="33"/>
      <c r="SJJ42" s="33"/>
      <c r="SJK42" s="33"/>
      <c r="SJL42" s="33"/>
      <c r="SJM42" s="33"/>
      <c r="SJN42" s="33"/>
      <c r="SJO42" s="33"/>
      <c r="SJP42" s="33"/>
      <c r="SJQ42" s="33"/>
      <c r="SJR42" s="33"/>
      <c r="SJS42" s="33"/>
      <c r="SJT42" s="33"/>
      <c r="SJU42" s="33"/>
      <c r="SJV42" s="33"/>
      <c r="SJW42" s="33"/>
      <c r="SJX42" s="33"/>
      <c r="SJY42" s="33"/>
      <c r="SJZ42" s="33"/>
      <c r="SKA42" s="33"/>
      <c r="SKB42" s="33"/>
      <c r="SKC42" s="33"/>
      <c r="SKD42" s="33"/>
      <c r="SKE42" s="33"/>
      <c r="SKF42" s="33"/>
      <c r="SKG42" s="33"/>
      <c r="SKH42" s="33"/>
      <c r="SKI42" s="33"/>
      <c r="SKJ42" s="33"/>
      <c r="SKK42" s="33"/>
      <c r="SKL42" s="33"/>
      <c r="SKM42" s="33"/>
      <c r="SKN42" s="33"/>
      <c r="SKO42" s="33"/>
      <c r="SKP42" s="33"/>
      <c r="SKQ42" s="33"/>
      <c r="SKR42" s="33"/>
      <c r="SKS42" s="33"/>
      <c r="SKT42" s="33"/>
      <c r="SKU42" s="33"/>
      <c r="SKV42" s="33"/>
      <c r="SKW42" s="33"/>
      <c r="SKX42" s="33"/>
      <c r="SKY42" s="33"/>
      <c r="SKZ42" s="33"/>
      <c r="SLA42" s="33"/>
      <c r="SLB42" s="33"/>
      <c r="SLC42" s="33"/>
      <c r="SLD42" s="33"/>
      <c r="SLE42" s="33"/>
      <c r="SLF42" s="33"/>
      <c r="SLG42" s="33"/>
      <c r="SLH42" s="33"/>
      <c r="SLI42" s="33"/>
      <c r="SLJ42" s="33"/>
      <c r="SLK42" s="33"/>
      <c r="SLL42" s="33"/>
      <c r="SLM42" s="33"/>
      <c r="SLN42" s="33"/>
      <c r="SLO42" s="33"/>
      <c r="SLP42" s="33"/>
      <c r="SLQ42" s="33"/>
      <c r="SLR42" s="33"/>
      <c r="SLS42" s="33"/>
      <c r="SLT42" s="33"/>
      <c r="SLU42" s="33"/>
      <c r="SLV42" s="33"/>
      <c r="SLW42" s="33"/>
      <c r="SLX42" s="33"/>
      <c r="SLY42" s="33"/>
      <c r="SLZ42" s="33"/>
      <c r="SMA42" s="33"/>
      <c r="SMB42" s="33"/>
      <c r="SMC42" s="33"/>
      <c r="SMD42" s="33"/>
      <c r="SME42" s="33"/>
      <c r="SMF42" s="33"/>
      <c r="SMG42" s="33"/>
      <c r="SMH42" s="33"/>
      <c r="SMI42" s="33"/>
      <c r="SMJ42" s="33"/>
      <c r="SMK42" s="33"/>
      <c r="SML42" s="33"/>
      <c r="SMM42" s="33"/>
      <c r="SMN42" s="33"/>
      <c r="SMO42" s="33"/>
      <c r="SMP42" s="33"/>
      <c r="SMQ42" s="33"/>
      <c r="SMR42" s="33"/>
      <c r="SMS42" s="33"/>
      <c r="SMT42" s="33"/>
      <c r="SMU42" s="33"/>
      <c r="SMV42" s="33"/>
      <c r="SMW42" s="33"/>
      <c r="SMX42" s="33"/>
      <c r="SMY42" s="33"/>
      <c r="SMZ42" s="33"/>
      <c r="SNA42" s="33"/>
      <c r="SNB42" s="33"/>
      <c r="SNC42" s="33"/>
      <c r="SND42" s="33"/>
      <c r="SNE42" s="33"/>
      <c r="SNF42" s="33"/>
      <c r="SNG42" s="33"/>
      <c r="SNH42" s="33"/>
      <c r="SNI42" s="33"/>
      <c r="SNJ42" s="33"/>
      <c r="SNK42" s="33"/>
      <c r="SNL42" s="33"/>
      <c r="SNM42" s="33"/>
      <c r="SNN42" s="33"/>
      <c r="SNO42" s="33"/>
      <c r="SNP42" s="33"/>
      <c r="SNQ42" s="33"/>
      <c r="SNR42" s="33"/>
      <c r="SNS42" s="33"/>
      <c r="SNT42" s="33"/>
      <c r="SNU42" s="33"/>
      <c r="SNV42" s="33"/>
      <c r="SNW42" s="33"/>
      <c r="SNX42" s="33"/>
      <c r="SNY42" s="33"/>
      <c r="SNZ42" s="33"/>
      <c r="SOA42" s="33"/>
      <c r="SOB42" s="33"/>
      <c r="SOC42" s="33"/>
      <c r="SOD42" s="33"/>
      <c r="SOE42" s="33"/>
      <c r="SOF42" s="33"/>
      <c r="SOG42" s="33"/>
      <c r="SOH42" s="33"/>
      <c r="SOI42" s="33"/>
      <c r="SOJ42" s="33"/>
      <c r="SOK42" s="33"/>
      <c r="SOL42" s="33"/>
      <c r="SOM42" s="33"/>
      <c r="SON42" s="33"/>
      <c r="SOO42" s="33"/>
      <c r="SOP42" s="33"/>
      <c r="SOQ42" s="33"/>
      <c r="SOR42" s="33"/>
      <c r="SOS42" s="33"/>
      <c r="SOT42" s="33"/>
      <c r="SOU42" s="33"/>
      <c r="SOV42" s="33"/>
      <c r="SOW42" s="33"/>
      <c r="SOX42" s="33"/>
      <c r="SOY42" s="33"/>
      <c r="SOZ42" s="33"/>
      <c r="SPA42" s="33"/>
      <c r="SPB42" s="33"/>
      <c r="SPC42" s="33"/>
      <c r="SPD42" s="33"/>
      <c r="SPE42" s="33"/>
      <c r="SPF42" s="33"/>
      <c r="SPG42" s="33"/>
      <c r="SPH42" s="33"/>
      <c r="SPI42" s="33"/>
      <c r="SPJ42" s="33"/>
      <c r="SPK42" s="33"/>
      <c r="SPL42" s="33"/>
      <c r="SPM42" s="33"/>
      <c r="SPN42" s="33"/>
      <c r="SPO42" s="33"/>
      <c r="SPP42" s="33"/>
      <c r="SPQ42" s="33"/>
      <c r="SPR42" s="33"/>
      <c r="SPS42" s="33"/>
      <c r="SPT42" s="33"/>
      <c r="SPU42" s="33"/>
      <c r="SPV42" s="33"/>
      <c r="SPW42" s="33"/>
      <c r="SPX42" s="33"/>
      <c r="SPY42" s="33"/>
      <c r="SPZ42" s="33"/>
      <c r="SQA42" s="33"/>
      <c r="SQB42" s="33"/>
      <c r="SQC42" s="33"/>
      <c r="SQD42" s="33"/>
      <c r="SQE42" s="33"/>
      <c r="SQF42" s="33"/>
      <c r="SQG42" s="33"/>
      <c r="SQH42" s="33"/>
      <c r="SQI42" s="33"/>
      <c r="SQJ42" s="33"/>
      <c r="SQK42" s="33"/>
      <c r="SQL42" s="33"/>
      <c r="SQM42" s="33"/>
      <c r="SQN42" s="33"/>
      <c r="SQO42" s="33"/>
      <c r="SQP42" s="33"/>
      <c r="SQQ42" s="33"/>
      <c r="SQR42" s="33"/>
      <c r="SQS42" s="33"/>
      <c r="SQT42" s="33"/>
      <c r="SQU42" s="33"/>
      <c r="SQV42" s="33"/>
      <c r="SQW42" s="33"/>
      <c r="SQX42" s="33"/>
      <c r="SQY42" s="33"/>
      <c r="SQZ42" s="33"/>
      <c r="SRA42" s="33"/>
      <c r="SRB42" s="33"/>
      <c r="SRC42" s="33"/>
      <c r="SRD42" s="33"/>
      <c r="SRE42" s="33"/>
      <c r="SRF42" s="33"/>
      <c r="SRG42" s="33"/>
      <c r="SRH42" s="33"/>
      <c r="SRI42" s="33"/>
      <c r="SRJ42" s="33"/>
      <c r="SRK42" s="33"/>
      <c r="SRL42" s="33"/>
      <c r="SRM42" s="33"/>
      <c r="SRN42" s="33"/>
      <c r="SRO42" s="33"/>
      <c r="SRP42" s="33"/>
      <c r="SRQ42" s="33"/>
      <c r="SRR42" s="33"/>
      <c r="SRS42" s="33"/>
      <c r="SRT42" s="33"/>
      <c r="SRU42" s="33"/>
      <c r="SRV42" s="33"/>
      <c r="SRW42" s="33"/>
      <c r="SRX42" s="33"/>
      <c r="SRY42" s="33"/>
      <c r="SRZ42" s="33"/>
      <c r="SSA42" s="33"/>
      <c r="SSB42" s="33"/>
      <c r="SSC42" s="33"/>
      <c r="SSD42" s="33"/>
      <c r="SSE42" s="33"/>
      <c r="SSF42" s="33"/>
      <c r="SSG42" s="33"/>
      <c r="SSH42" s="33"/>
      <c r="SSI42" s="33"/>
      <c r="SSJ42" s="33"/>
      <c r="SSK42" s="33"/>
      <c r="SSL42" s="33"/>
      <c r="SSM42" s="33"/>
      <c r="SSN42" s="33"/>
      <c r="SSO42" s="33"/>
      <c r="SSP42" s="33"/>
      <c r="SSQ42" s="33"/>
      <c r="SSR42" s="33"/>
      <c r="SSS42" s="33"/>
      <c r="SST42" s="33"/>
      <c r="SSU42" s="33"/>
      <c r="SSV42" s="33"/>
      <c r="SSW42" s="33"/>
      <c r="SSX42" s="33"/>
      <c r="SSY42" s="33"/>
      <c r="SSZ42" s="33"/>
      <c r="STA42" s="33"/>
      <c r="STB42" s="33"/>
      <c r="STC42" s="33"/>
      <c r="STD42" s="33"/>
      <c r="STE42" s="33"/>
      <c r="STF42" s="33"/>
      <c r="STG42" s="33"/>
      <c r="STH42" s="33"/>
      <c r="STI42" s="33"/>
      <c r="STJ42" s="33"/>
      <c r="STK42" s="33"/>
      <c r="STL42" s="33"/>
      <c r="STM42" s="33"/>
      <c r="STN42" s="33"/>
      <c r="STO42" s="33"/>
      <c r="STP42" s="33"/>
      <c r="STQ42" s="33"/>
      <c r="STR42" s="33"/>
      <c r="STS42" s="33"/>
      <c r="STT42" s="33"/>
      <c r="STU42" s="33"/>
      <c r="STV42" s="33"/>
      <c r="STW42" s="33"/>
      <c r="STX42" s="33"/>
      <c r="STY42" s="33"/>
      <c r="STZ42" s="33"/>
      <c r="SUA42" s="33"/>
      <c r="SUB42" s="33"/>
      <c r="SUC42" s="33"/>
      <c r="SUD42" s="33"/>
      <c r="SUE42" s="33"/>
      <c r="SUF42" s="33"/>
      <c r="SUG42" s="33"/>
      <c r="SUH42" s="33"/>
      <c r="SUI42" s="33"/>
      <c r="SUJ42" s="33"/>
      <c r="SUK42" s="33"/>
      <c r="SUL42" s="33"/>
      <c r="SUM42" s="33"/>
      <c r="SUN42" s="33"/>
      <c r="SUO42" s="33"/>
      <c r="SUP42" s="33"/>
      <c r="SUQ42" s="33"/>
      <c r="SUR42" s="33"/>
      <c r="SUS42" s="33"/>
      <c r="SUT42" s="33"/>
      <c r="SUU42" s="33"/>
      <c r="SUV42" s="33"/>
      <c r="SUW42" s="33"/>
      <c r="SUX42" s="33"/>
      <c r="SUY42" s="33"/>
      <c r="SUZ42" s="33"/>
      <c r="SVA42" s="33"/>
      <c r="SVB42" s="33"/>
      <c r="SVC42" s="33"/>
      <c r="SVD42" s="33"/>
      <c r="SVE42" s="33"/>
      <c r="SVF42" s="33"/>
      <c r="SVG42" s="33"/>
      <c r="SVH42" s="33"/>
      <c r="SVI42" s="33"/>
      <c r="SVJ42" s="33"/>
      <c r="SVK42" s="33"/>
      <c r="SVL42" s="33"/>
      <c r="SVM42" s="33"/>
      <c r="SVN42" s="33"/>
      <c r="SVO42" s="33"/>
      <c r="SVP42" s="33"/>
      <c r="SVQ42" s="33"/>
      <c r="SVR42" s="33"/>
      <c r="SVS42" s="33"/>
      <c r="SVT42" s="33"/>
      <c r="SVU42" s="33"/>
      <c r="SVV42" s="33"/>
      <c r="SVW42" s="33"/>
      <c r="SVX42" s="33"/>
      <c r="SVY42" s="33"/>
      <c r="SVZ42" s="33"/>
      <c r="SWA42" s="33"/>
      <c r="SWB42" s="33"/>
      <c r="SWC42" s="33"/>
      <c r="SWD42" s="33"/>
      <c r="SWE42" s="33"/>
      <c r="SWF42" s="33"/>
      <c r="SWG42" s="33"/>
      <c r="SWH42" s="33"/>
      <c r="SWI42" s="33"/>
      <c r="SWJ42" s="33"/>
      <c r="SWK42" s="33"/>
      <c r="SWL42" s="33"/>
      <c r="SWM42" s="33"/>
      <c r="SWN42" s="33"/>
      <c r="SWO42" s="33"/>
      <c r="SWP42" s="33"/>
      <c r="SWQ42" s="33"/>
      <c r="SWR42" s="33"/>
      <c r="SWS42" s="33"/>
      <c r="SWT42" s="33"/>
      <c r="SWU42" s="33"/>
      <c r="SWV42" s="33"/>
      <c r="SWW42" s="33"/>
      <c r="SWX42" s="33"/>
      <c r="SWY42" s="33"/>
      <c r="SWZ42" s="33"/>
      <c r="SXA42" s="33"/>
      <c r="SXB42" s="33"/>
      <c r="SXC42" s="33"/>
      <c r="SXD42" s="33"/>
      <c r="SXE42" s="33"/>
      <c r="SXF42" s="33"/>
      <c r="SXG42" s="33"/>
      <c r="SXH42" s="33"/>
      <c r="SXI42" s="33"/>
      <c r="SXJ42" s="33"/>
      <c r="SXK42" s="33"/>
      <c r="SXL42" s="33"/>
      <c r="SXM42" s="33"/>
      <c r="SXN42" s="33"/>
      <c r="SXO42" s="33"/>
      <c r="SXP42" s="33"/>
      <c r="SXQ42" s="33"/>
      <c r="SXR42" s="33"/>
      <c r="SXS42" s="33"/>
      <c r="SXT42" s="33"/>
      <c r="SXU42" s="33"/>
      <c r="SXV42" s="33"/>
      <c r="SXW42" s="33"/>
      <c r="SXX42" s="33"/>
      <c r="SXY42" s="33"/>
      <c r="SXZ42" s="33"/>
      <c r="SYA42" s="33"/>
      <c r="SYB42" s="33"/>
      <c r="SYC42" s="33"/>
      <c r="SYD42" s="33"/>
      <c r="SYE42" s="33"/>
      <c r="SYF42" s="33"/>
      <c r="SYG42" s="33"/>
      <c r="SYH42" s="33"/>
      <c r="SYI42" s="33"/>
      <c r="SYJ42" s="33"/>
      <c r="SYK42" s="33"/>
      <c r="SYL42" s="33"/>
      <c r="SYM42" s="33"/>
      <c r="SYN42" s="33"/>
      <c r="SYO42" s="33"/>
      <c r="SYP42" s="33"/>
      <c r="SYQ42" s="33"/>
      <c r="SYR42" s="33"/>
      <c r="SYS42" s="33"/>
      <c r="SYT42" s="33"/>
      <c r="SYU42" s="33"/>
      <c r="SYV42" s="33"/>
      <c r="SYW42" s="33"/>
      <c r="SYX42" s="33"/>
      <c r="SYY42" s="33"/>
      <c r="SYZ42" s="33"/>
      <c r="SZA42" s="33"/>
      <c r="SZB42" s="33"/>
      <c r="SZC42" s="33"/>
      <c r="SZD42" s="33"/>
      <c r="SZE42" s="33"/>
      <c r="SZF42" s="33"/>
      <c r="SZG42" s="33"/>
      <c r="SZH42" s="33"/>
      <c r="SZI42" s="33"/>
      <c r="SZJ42" s="33"/>
      <c r="SZK42" s="33"/>
      <c r="SZL42" s="33"/>
      <c r="SZM42" s="33"/>
      <c r="SZN42" s="33"/>
      <c r="SZO42" s="33"/>
      <c r="SZP42" s="33"/>
      <c r="SZQ42" s="33"/>
      <c r="SZR42" s="33"/>
      <c r="SZS42" s="33"/>
      <c r="SZT42" s="33"/>
      <c r="SZU42" s="33"/>
      <c r="SZV42" s="33"/>
      <c r="SZW42" s="33"/>
      <c r="SZX42" s="33"/>
      <c r="SZY42" s="33"/>
      <c r="SZZ42" s="33"/>
      <c r="TAA42" s="33"/>
      <c r="TAB42" s="33"/>
      <c r="TAC42" s="33"/>
      <c r="TAD42" s="33"/>
      <c r="TAE42" s="33"/>
      <c r="TAF42" s="33"/>
      <c r="TAG42" s="33"/>
      <c r="TAH42" s="33"/>
      <c r="TAI42" s="33"/>
      <c r="TAJ42" s="33"/>
      <c r="TAK42" s="33"/>
      <c r="TAL42" s="33"/>
      <c r="TAM42" s="33"/>
      <c r="TAN42" s="33"/>
      <c r="TAO42" s="33"/>
      <c r="TAP42" s="33"/>
      <c r="TAQ42" s="33"/>
      <c r="TAR42" s="33"/>
      <c r="TAS42" s="33"/>
      <c r="TAT42" s="33"/>
      <c r="TAU42" s="33"/>
      <c r="TAV42" s="33"/>
      <c r="TAW42" s="33"/>
      <c r="TAX42" s="33"/>
      <c r="TAY42" s="33"/>
      <c r="TAZ42" s="33"/>
      <c r="TBA42" s="33"/>
      <c r="TBB42" s="33"/>
      <c r="TBC42" s="33"/>
      <c r="TBD42" s="33"/>
      <c r="TBE42" s="33"/>
      <c r="TBF42" s="33"/>
      <c r="TBG42" s="33"/>
      <c r="TBH42" s="33"/>
      <c r="TBI42" s="33"/>
      <c r="TBJ42" s="33"/>
      <c r="TBK42" s="33"/>
      <c r="TBL42" s="33"/>
      <c r="TBM42" s="33"/>
      <c r="TBN42" s="33"/>
      <c r="TBO42" s="33"/>
      <c r="TBP42" s="33"/>
      <c r="TBQ42" s="33"/>
      <c r="TBR42" s="33"/>
      <c r="TBS42" s="33"/>
      <c r="TBT42" s="33"/>
      <c r="TBU42" s="33"/>
      <c r="TBV42" s="33"/>
      <c r="TBW42" s="33"/>
      <c r="TBX42" s="33"/>
      <c r="TBY42" s="33"/>
      <c r="TBZ42" s="33"/>
      <c r="TCA42" s="33"/>
      <c r="TCB42" s="33"/>
      <c r="TCC42" s="33"/>
      <c r="TCD42" s="33"/>
      <c r="TCE42" s="33"/>
      <c r="TCF42" s="33"/>
      <c r="TCG42" s="33"/>
      <c r="TCH42" s="33"/>
      <c r="TCI42" s="33"/>
      <c r="TCJ42" s="33"/>
      <c r="TCK42" s="33"/>
      <c r="TCL42" s="33"/>
      <c r="TCM42" s="33"/>
      <c r="TCN42" s="33"/>
      <c r="TCO42" s="33"/>
      <c r="TCP42" s="33"/>
      <c r="TCQ42" s="33"/>
      <c r="TCR42" s="33"/>
      <c r="TCS42" s="33"/>
      <c r="TCT42" s="33"/>
      <c r="TCU42" s="33"/>
      <c r="TCV42" s="33"/>
      <c r="TCW42" s="33"/>
      <c r="TCX42" s="33"/>
      <c r="TCY42" s="33"/>
      <c r="TCZ42" s="33"/>
      <c r="TDA42" s="33"/>
      <c r="TDB42" s="33"/>
      <c r="TDC42" s="33"/>
      <c r="TDD42" s="33"/>
      <c r="TDE42" s="33"/>
      <c r="TDF42" s="33"/>
      <c r="TDG42" s="33"/>
      <c r="TDH42" s="33"/>
      <c r="TDI42" s="33"/>
      <c r="TDJ42" s="33"/>
      <c r="TDK42" s="33"/>
      <c r="TDL42" s="33"/>
      <c r="TDM42" s="33"/>
      <c r="TDN42" s="33"/>
      <c r="TDO42" s="33"/>
      <c r="TDP42" s="33"/>
      <c r="TDQ42" s="33"/>
      <c r="TDR42" s="33"/>
      <c r="TDS42" s="33"/>
      <c r="TDT42" s="33"/>
      <c r="TDU42" s="33"/>
      <c r="TDV42" s="33"/>
      <c r="TDW42" s="33"/>
      <c r="TDX42" s="33"/>
      <c r="TDY42" s="33"/>
      <c r="TDZ42" s="33"/>
      <c r="TEA42" s="33"/>
      <c r="TEB42" s="33"/>
      <c r="TEC42" s="33"/>
      <c r="TED42" s="33"/>
      <c r="TEE42" s="33"/>
      <c r="TEF42" s="33"/>
      <c r="TEG42" s="33"/>
      <c r="TEH42" s="33"/>
      <c r="TEI42" s="33"/>
      <c r="TEJ42" s="33"/>
      <c r="TEK42" s="33"/>
      <c r="TEL42" s="33"/>
      <c r="TEM42" s="33"/>
      <c r="TEN42" s="33"/>
      <c r="TEO42" s="33"/>
      <c r="TEP42" s="33"/>
      <c r="TEQ42" s="33"/>
      <c r="TER42" s="33"/>
      <c r="TES42" s="33"/>
      <c r="TET42" s="33"/>
      <c r="TEU42" s="33"/>
      <c r="TEV42" s="33"/>
      <c r="TEW42" s="33"/>
      <c r="TEX42" s="33"/>
      <c r="TEY42" s="33"/>
      <c r="TEZ42" s="33"/>
      <c r="TFA42" s="33"/>
      <c r="TFB42" s="33"/>
      <c r="TFC42" s="33"/>
      <c r="TFD42" s="33"/>
      <c r="TFE42" s="33"/>
      <c r="TFF42" s="33"/>
      <c r="TFG42" s="33"/>
      <c r="TFH42" s="33"/>
      <c r="TFI42" s="33"/>
      <c r="TFJ42" s="33"/>
      <c r="TFK42" s="33"/>
      <c r="TFL42" s="33"/>
      <c r="TFM42" s="33"/>
      <c r="TFN42" s="33"/>
      <c r="TFO42" s="33"/>
      <c r="TFP42" s="33"/>
      <c r="TFQ42" s="33"/>
      <c r="TFR42" s="33"/>
      <c r="TFS42" s="33"/>
      <c r="TFT42" s="33"/>
      <c r="TFU42" s="33"/>
      <c r="TFV42" s="33"/>
      <c r="TFW42" s="33"/>
      <c r="TFX42" s="33"/>
      <c r="TFY42" s="33"/>
      <c r="TFZ42" s="33"/>
      <c r="TGA42" s="33"/>
      <c r="TGB42" s="33"/>
      <c r="TGC42" s="33"/>
      <c r="TGD42" s="33"/>
      <c r="TGE42" s="33"/>
      <c r="TGF42" s="33"/>
      <c r="TGG42" s="33"/>
      <c r="TGH42" s="33"/>
      <c r="TGI42" s="33"/>
      <c r="TGJ42" s="33"/>
      <c r="TGK42" s="33"/>
      <c r="TGL42" s="33"/>
      <c r="TGM42" s="33"/>
      <c r="TGN42" s="33"/>
      <c r="TGO42" s="33"/>
      <c r="TGP42" s="33"/>
      <c r="TGQ42" s="33"/>
      <c r="TGR42" s="33"/>
      <c r="TGS42" s="33"/>
      <c r="TGT42" s="33"/>
      <c r="TGU42" s="33"/>
      <c r="TGV42" s="33"/>
      <c r="TGW42" s="33"/>
      <c r="TGX42" s="33"/>
      <c r="TGY42" s="33"/>
      <c r="TGZ42" s="33"/>
      <c r="THA42" s="33"/>
      <c r="THB42" s="33"/>
      <c r="THC42" s="33"/>
      <c r="THD42" s="33"/>
      <c r="THE42" s="33"/>
      <c r="THF42" s="33"/>
      <c r="THG42" s="33"/>
      <c r="THH42" s="33"/>
      <c r="THI42" s="33"/>
      <c r="THJ42" s="33"/>
      <c r="THK42" s="33"/>
      <c r="THL42" s="33"/>
      <c r="THM42" s="33"/>
      <c r="THN42" s="33"/>
      <c r="THO42" s="33"/>
      <c r="THP42" s="33"/>
      <c r="THQ42" s="33"/>
      <c r="THR42" s="33"/>
      <c r="THS42" s="33"/>
      <c r="THT42" s="33"/>
      <c r="THU42" s="33"/>
      <c r="THV42" s="33"/>
      <c r="THW42" s="33"/>
      <c r="THX42" s="33"/>
      <c r="THY42" s="33"/>
      <c r="THZ42" s="33"/>
      <c r="TIA42" s="33"/>
      <c r="TIB42" s="33"/>
      <c r="TIC42" s="33"/>
      <c r="TID42" s="33"/>
      <c r="TIE42" s="33"/>
      <c r="TIF42" s="33"/>
      <c r="TIG42" s="33"/>
      <c r="TIH42" s="33"/>
      <c r="TII42" s="33"/>
      <c r="TIJ42" s="33"/>
      <c r="TIK42" s="33"/>
      <c r="TIL42" s="33"/>
      <c r="TIM42" s="33"/>
      <c r="TIN42" s="33"/>
      <c r="TIO42" s="33"/>
      <c r="TIP42" s="33"/>
      <c r="TIQ42" s="33"/>
      <c r="TIR42" s="33"/>
      <c r="TIS42" s="33"/>
      <c r="TIT42" s="33"/>
      <c r="TIU42" s="33"/>
      <c r="TIV42" s="33"/>
      <c r="TIW42" s="33"/>
      <c r="TIX42" s="33"/>
      <c r="TIY42" s="33"/>
      <c r="TIZ42" s="33"/>
      <c r="TJA42" s="33"/>
      <c r="TJB42" s="33"/>
      <c r="TJC42" s="33"/>
      <c r="TJD42" s="33"/>
      <c r="TJE42" s="33"/>
      <c r="TJF42" s="33"/>
      <c r="TJG42" s="33"/>
      <c r="TJH42" s="33"/>
      <c r="TJI42" s="33"/>
      <c r="TJJ42" s="33"/>
      <c r="TJK42" s="33"/>
      <c r="TJL42" s="33"/>
      <c r="TJM42" s="33"/>
      <c r="TJN42" s="33"/>
      <c r="TJO42" s="33"/>
      <c r="TJP42" s="33"/>
      <c r="TJQ42" s="33"/>
      <c r="TJR42" s="33"/>
      <c r="TJS42" s="33"/>
      <c r="TJT42" s="33"/>
      <c r="TJU42" s="33"/>
      <c r="TJV42" s="33"/>
      <c r="TJW42" s="33"/>
      <c r="TJX42" s="33"/>
      <c r="TJY42" s="33"/>
      <c r="TJZ42" s="33"/>
      <c r="TKA42" s="33"/>
      <c r="TKB42" s="33"/>
      <c r="TKC42" s="33"/>
      <c r="TKD42" s="33"/>
      <c r="TKE42" s="33"/>
      <c r="TKF42" s="33"/>
      <c r="TKG42" s="33"/>
      <c r="TKH42" s="33"/>
      <c r="TKI42" s="33"/>
      <c r="TKJ42" s="33"/>
      <c r="TKK42" s="33"/>
      <c r="TKL42" s="33"/>
      <c r="TKM42" s="33"/>
      <c r="TKN42" s="33"/>
      <c r="TKO42" s="33"/>
      <c r="TKP42" s="33"/>
      <c r="TKQ42" s="33"/>
      <c r="TKR42" s="33"/>
      <c r="TKS42" s="33"/>
      <c r="TKT42" s="33"/>
      <c r="TKU42" s="33"/>
      <c r="TKV42" s="33"/>
      <c r="TKW42" s="33"/>
      <c r="TKX42" s="33"/>
      <c r="TKY42" s="33"/>
      <c r="TKZ42" s="33"/>
      <c r="TLA42" s="33"/>
      <c r="TLB42" s="33"/>
      <c r="TLC42" s="33"/>
      <c r="TLD42" s="33"/>
      <c r="TLE42" s="33"/>
      <c r="TLF42" s="33"/>
      <c r="TLG42" s="33"/>
      <c r="TLH42" s="33"/>
      <c r="TLI42" s="33"/>
      <c r="TLJ42" s="33"/>
      <c r="TLK42" s="33"/>
      <c r="TLL42" s="33"/>
      <c r="TLM42" s="33"/>
      <c r="TLN42" s="33"/>
      <c r="TLO42" s="33"/>
      <c r="TLP42" s="33"/>
      <c r="TLQ42" s="33"/>
      <c r="TLR42" s="33"/>
      <c r="TLS42" s="33"/>
      <c r="TLT42" s="33"/>
      <c r="TLU42" s="33"/>
      <c r="TLV42" s="33"/>
      <c r="TLW42" s="33"/>
      <c r="TLX42" s="33"/>
      <c r="TLY42" s="33"/>
      <c r="TLZ42" s="33"/>
      <c r="TMA42" s="33"/>
      <c r="TMB42" s="33"/>
      <c r="TMC42" s="33"/>
      <c r="TMD42" s="33"/>
      <c r="TME42" s="33"/>
      <c r="TMF42" s="33"/>
      <c r="TMG42" s="33"/>
      <c r="TMH42" s="33"/>
      <c r="TMI42" s="33"/>
      <c r="TMJ42" s="33"/>
      <c r="TMK42" s="33"/>
      <c r="TML42" s="33"/>
      <c r="TMM42" s="33"/>
      <c r="TMN42" s="33"/>
      <c r="TMO42" s="33"/>
      <c r="TMP42" s="33"/>
      <c r="TMQ42" s="33"/>
      <c r="TMR42" s="33"/>
      <c r="TMS42" s="33"/>
      <c r="TMT42" s="33"/>
      <c r="TMU42" s="33"/>
      <c r="TMV42" s="33"/>
      <c r="TMW42" s="33"/>
      <c r="TMX42" s="33"/>
      <c r="TMY42" s="33"/>
      <c r="TMZ42" s="33"/>
      <c r="TNA42" s="33"/>
      <c r="TNB42" s="33"/>
      <c r="TNC42" s="33"/>
      <c r="TND42" s="33"/>
      <c r="TNE42" s="33"/>
      <c r="TNF42" s="33"/>
      <c r="TNG42" s="33"/>
      <c r="TNH42" s="33"/>
      <c r="TNI42" s="33"/>
      <c r="TNJ42" s="33"/>
      <c r="TNK42" s="33"/>
      <c r="TNL42" s="33"/>
      <c r="TNM42" s="33"/>
      <c r="TNN42" s="33"/>
      <c r="TNO42" s="33"/>
      <c r="TNP42" s="33"/>
      <c r="TNQ42" s="33"/>
      <c r="TNR42" s="33"/>
      <c r="TNS42" s="33"/>
      <c r="TNT42" s="33"/>
      <c r="TNU42" s="33"/>
      <c r="TNV42" s="33"/>
      <c r="TNW42" s="33"/>
      <c r="TNX42" s="33"/>
      <c r="TNY42" s="33"/>
      <c r="TNZ42" s="33"/>
      <c r="TOA42" s="33"/>
      <c r="TOB42" s="33"/>
      <c r="TOC42" s="33"/>
      <c r="TOD42" s="33"/>
      <c r="TOE42" s="33"/>
      <c r="TOF42" s="33"/>
      <c r="TOG42" s="33"/>
      <c r="TOH42" s="33"/>
      <c r="TOI42" s="33"/>
      <c r="TOJ42" s="33"/>
      <c r="TOK42" s="33"/>
      <c r="TOL42" s="33"/>
      <c r="TOM42" s="33"/>
      <c r="TON42" s="33"/>
      <c r="TOO42" s="33"/>
      <c r="TOP42" s="33"/>
      <c r="TOQ42" s="33"/>
      <c r="TOR42" s="33"/>
      <c r="TOS42" s="33"/>
      <c r="TOT42" s="33"/>
      <c r="TOU42" s="33"/>
      <c r="TOV42" s="33"/>
      <c r="TOW42" s="33"/>
      <c r="TOX42" s="33"/>
      <c r="TOY42" s="33"/>
      <c r="TOZ42" s="33"/>
      <c r="TPA42" s="33"/>
      <c r="TPB42" s="33"/>
      <c r="TPC42" s="33"/>
      <c r="TPD42" s="33"/>
      <c r="TPE42" s="33"/>
      <c r="TPF42" s="33"/>
      <c r="TPG42" s="33"/>
      <c r="TPH42" s="33"/>
      <c r="TPI42" s="33"/>
      <c r="TPJ42" s="33"/>
      <c r="TPK42" s="33"/>
      <c r="TPL42" s="33"/>
      <c r="TPM42" s="33"/>
      <c r="TPN42" s="33"/>
      <c r="TPO42" s="33"/>
      <c r="TPP42" s="33"/>
      <c r="TPQ42" s="33"/>
      <c r="TPR42" s="33"/>
      <c r="TPS42" s="33"/>
      <c r="TPT42" s="33"/>
      <c r="TPU42" s="33"/>
      <c r="TPV42" s="33"/>
      <c r="TPW42" s="33"/>
      <c r="TPX42" s="33"/>
      <c r="TPY42" s="33"/>
      <c r="TPZ42" s="33"/>
      <c r="TQA42" s="33"/>
      <c r="TQB42" s="33"/>
      <c r="TQC42" s="33"/>
      <c r="TQD42" s="33"/>
      <c r="TQE42" s="33"/>
      <c r="TQF42" s="33"/>
      <c r="TQG42" s="33"/>
      <c r="TQH42" s="33"/>
      <c r="TQI42" s="33"/>
      <c r="TQJ42" s="33"/>
      <c r="TQK42" s="33"/>
      <c r="TQL42" s="33"/>
      <c r="TQM42" s="33"/>
      <c r="TQN42" s="33"/>
      <c r="TQO42" s="33"/>
      <c r="TQP42" s="33"/>
      <c r="TQQ42" s="33"/>
      <c r="TQR42" s="33"/>
      <c r="TQS42" s="33"/>
      <c r="TQT42" s="33"/>
      <c r="TQU42" s="33"/>
      <c r="TQV42" s="33"/>
      <c r="TQW42" s="33"/>
      <c r="TQX42" s="33"/>
      <c r="TQY42" s="33"/>
      <c r="TQZ42" s="33"/>
      <c r="TRA42" s="33"/>
      <c r="TRB42" s="33"/>
      <c r="TRC42" s="33"/>
      <c r="TRD42" s="33"/>
      <c r="TRE42" s="33"/>
      <c r="TRF42" s="33"/>
      <c r="TRG42" s="33"/>
      <c r="TRH42" s="33"/>
      <c r="TRI42" s="33"/>
      <c r="TRJ42" s="33"/>
      <c r="TRK42" s="33"/>
      <c r="TRL42" s="33"/>
      <c r="TRM42" s="33"/>
      <c r="TRN42" s="33"/>
      <c r="TRO42" s="33"/>
      <c r="TRP42" s="33"/>
      <c r="TRQ42" s="33"/>
      <c r="TRR42" s="33"/>
      <c r="TRS42" s="33"/>
      <c r="TRT42" s="33"/>
      <c r="TRU42" s="33"/>
      <c r="TRV42" s="33"/>
      <c r="TRW42" s="33"/>
      <c r="TRX42" s="33"/>
      <c r="TRY42" s="33"/>
      <c r="TRZ42" s="33"/>
      <c r="TSA42" s="33"/>
      <c r="TSB42" s="33"/>
      <c r="TSC42" s="33"/>
      <c r="TSD42" s="33"/>
      <c r="TSE42" s="33"/>
      <c r="TSF42" s="33"/>
      <c r="TSG42" s="33"/>
      <c r="TSH42" s="33"/>
      <c r="TSI42" s="33"/>
      <c r="TSJ42" s="33"/>
      <c r="TSK42" s="33"/>
      <c r="TSL42" s="33"/>
      <c r="TSM42" s="33"/>
      <c r="TSN42" s="33"/>
      <c r="TSO42" s="33"/>
      <c r="TSP42" s="33"/>
      <c r="TSQ42" s="33"/>
      <c r="TSR42" s="33"/>
      <c r="TSS42" s="33"/>
      <c r="TST42" s="33"/>
      <c r="TSU42" s="33"/>
      <c r="TSV42" s="33"/>
      <c r="TSW42" s="33"/>
      <c r="TSX42" s="33"/>
      <c r="TSY42" s="33"/>
      <c r="TSZ42" s="33"/>
      <c r="TTA42" s="33"/>
      <c r="TTB42" s="33"/>
      <c r="TTC42" s="33"/>
      <c r="TTD42" s="33"/>
      <c r="TTE42" s="33"/>
      <c r="TTF42" s="33"/>
      <c r="TTG42" s="33"/>
      <c r="TTH42" s="33"/>
      <c r="TTI42" s="33"/>
      <c r="TTJ42" s="33"/>
      <c r="TTK42" s="33"/>
      <c r="TTL42" s="33"/>
      <c r="TTM42" s="33"/>
      <c r="TTN42" s="33"/>
      <c r="TTO42" s="33"/>
      <c r="TTP42" s="33"/>
      <c r="TTQ42" s="33"/>
      <c r="TTR42" s="33"/>
      <c r="TTS42" s="33"/>
      <c r="TTT42" s="33"/>
      <c r="TTU42" s="33"/>
      <c r="TTV42" s="33"/>
      <c r="TTW42" s="33"/>
      <c r="TTX42" s="33"/>
      <c r="TTY42" s="33"/>
      <c r="TTZ42" s="33"/>
      <c r="TUA42" s="33"/>
      <c r="TUB42" s="33"/>
      <c r="TUC42" s="33"/>
      <c r="TUD42" s="33"/>
      <c r="TUE42" s="33"/>
      <c r="TUF42" s="33"/>
      <c r="TUG42" s="33"/>
      <c r="TUH42" s="33"/>
      <c r="TUI42" s="33"/>
      <c r="TUJ42" s="33"/>
      <c r="TUK42" s="33"/>
      <c r="TUL42" s="33"/>
      <c r="TUM42" s="33"/>
      <c r="TUN42" s="33"/>
      <c r="TUO42" s="33"/>
      <c r="TUP42" s="33"/>
      <c r="TUQ42" s="33"/>
      <c r="TUR42" s="33"/>
      <c r="TUS42" s="33"/>
      <c r="TUT42" s="33"/>
      <c r="TUU42" s="33"/>
      <c r="TUV42" s="33"/>
      <c r="TUW42" s="33"/>
      <c r="TUX42" s="33"/>
      <c r="TUY42" s="33"/>
      <c r="TUZ42" s="33"/>
      <c r="TVA42" s="33"/>
      <c r="TVB42" s="33"/>
      <c r="TVC42" s="33"/>
      <c r="TVD42" s="33"/>
      <c r="TVE42" s="33"/>
      <c r="TVF42" s="33"/>
      <c r="TVG42" s="33"/>
      <c r="TVH42" s="33"/>
      <c r="TVI42" s="33"/>
      <c r="TVJ42" s="33"/>
      <c r="TVK42" s="33"/>
      <c r="TVL42" s="33"/>
      <c r="TVM42" s="33"/>
      <c r="TVN42" s="33"/>
      <c r="TVO42" s="33"/>
      <c r="TVP42" s="33"/>
      <c r="TVQ42" s="33"/>
      <c r="TVR42" s="33"/>
      <c r="TVS42" s="33"/>
      <c r="TVT42" s="33"/>
      <c r="TVU42" s="33"/>
      <c r="TVV42" s="33"/>
      <c r="TVW42" s="33"/>
      <c r="TVX42" s="33"/>
      <c r="TVY42" s="33"/>
      <c r="TVZ42" s="33"/>
      <c r="TWA42" s="33"/>
      <c r="TWB42" s="33"/>
      <c r="TWC42" s="33"/>
      <c r="TWD42" s="33"/>
      <c r="TWE42" s="33"/>
      <c r="TWF42" s="33"/>
      <c r="TWG42" s="33"/>
      <c r="TWH42" s="33"/>
      <c r="TWI42" s="33"/>
      <c r="TWJ42" s="33"/>
      <c r="TWK42" s="33"/>
      <c r="TWL42" s="33"/>
      <c r="TWM42" s="33"/>
      <c r="TWN42" s="33"/>
      <c r="TWO42" s="33"/>
      <c r="TWP42" s="33"/>
      <c r="TWQ42" s="33"/>
      <c r="TWR42" s="33"/>
      <c r="TWS42" s="33"/>
      <c r="TWT42" s="33"/>
      <c r="TWU42" s="33"/>
      <c r="TWV42" s="33"/>
      <c r="TWW42" s="33"/>
      <c r="TWX42" s="33"/>
      <c r="TWY42" s="33"/>
      <c r="TWZ42" s="33"/>
      <c r="TXA42" s="33"/>
      <c r="TXB42" s="33"/>
      <c r="TXC42" s="33"/>
      <c r="TXD42" s="33"/>
      <c r="TXE42" s="33"/>
      <c r="TXF42" s="33"/>
      <c r="TXG42" s="33"/>
      <c r="TXH42" s="33"/>
      <c r="TXI42" s="33"/>
      <c r="TXJ42" s="33"/>
      <c r="TXK42" s="33"/>
      <c r="TXL42" s="33"/>
      <c r="TXM42" s="33"/>
      <c r="TXN42" s="33"/>
      <c r="TXO42" s="33"/>
      <c r="TXP42" s="33"/>
      <c r="TXQ42" s="33"/>
      <c r="TXR42" s="33"/>
      <c r="TXS42" s="33"/>
      <c r="TXT42" s="33"/>
      <c r="TXU42" s="33"/>
      <c r="TXV42" s="33"/>
      <c r="TXW42" s="33"/>
      <c r="TXX42" s="33"/>
      <c r="TXY42" s="33"/>
      <c r="TXZ42" s="33"/>
      <c r="TYA42" s="33"/>
      <c r="TYB42" s="33"/>
      <c r="TYC42" s="33"/>
      <c r="TYD42" s="33"/>
      <c r="TYE42" s="33"/>
      <c r="TYF42" s="33"/>
      <c r="TYG42" s="33"/>
      <c r="TYH42" s="33"/>
      <c r="TYI42" s="33"/>
      <c r="TYJ42" s="33"/>
      <c r="TYK42" s="33"/>
      <c r="TYL42" s="33"/>
      <c r="TYM42" s="33"/>
      <c r="TYN42" s="33"/>
      <c r="TYO42" s="33"/>
      <c r="TYP42" s="33"/>
      <c r="TYQ42" s="33"/>
      <c r="TYR42" s="33"/>
      <c r="TYS42" s="33"/>
      <c r="TYT42" s="33"/>
      <c r="TYU42" s="33"/>
      <c r="TYV42" s="33"/>
      <c r="TYW42" s="33"/>
      <c r="TYX42" s="33"/>
      <c r="TYY42" s="33"/>
      <c r="TYZ42" s="33"/>
      <c r="TZA42" s="33"/>
      <c r="TZB42" s="33"/>
      <c r="TZC42" s="33"/>
      <c r="TZD42" s="33"/>
      <c r="TZE42" s="33"/>
      <c r="TZF42" s="33"/>
      <c r="TZG42" s="33"/>
      <c r="TZH42" s="33"/>
      <c r="TZI42" s="33"/>
      <c r="TZJ42" s="33"/>
      <c r="TZK42" s="33"/>
      <c r="TZL42" s="33"/>
      <c r="TZM42" s="33"/>
      <c r="TZN42" s="33"/>
      <c r="TZO42" s="33"/>
      <c r="TZP42" s="33"/>
      <c r="TZQ42" s="33"/>
      <c r="TZR42" s="33"/>
      <c r="TZS42" s="33"/>
      <c r="TZT42" s="33"/>
      <c r="TZU42" s="33"/>
      <c r="TZV42" s="33"/>
      <c r="TZW42" s="33"/>
      <c r="TZX42" s="33"/>
      <c r="TZY42" s="33"/>
      <c r="TZZ42" s="33"/>
      <c r="UAA42" s="33"/>
      <c r="UAB42" s="33"/>
      <c r="UAC42" s="33"/>
      <c r="UAD42" s="33"/>
      <c r="UAE42" s="33"/>
      <c r="UAF42" s="33"/>
      <c r="UAG42" s="33"/>
      <c r="UAH42" s="33"/>
      <c r="UAI42" s="33"/>
      <c r="UAJ42" s="33"/>
      <c r="UAK42" s="33"/>
      <c r="UAL42" s="33"/>
      <c r="UAM42" s="33"/>
      <c r="UAN42" s="33"/>
      <c r="UAO42" s="33"/>
      <c r="UAP42" s="33"/>
      <c r="UAQ42" s="33"/>
      <c r="UAR42" s="33"/>
      <c r="UAS42" s="33"/>
      <c r="UAT42" s="33"/>
      <c r="UAU42" s="33"/>
      <c r="UAV42" s="33"/>
      <c r="UAW42" s="33"/>
      <c r="UAX42" s="33"/>
      <c r="UAY42" s="33"/>
      <c r="UAZ42" s="33"/>
      <c r="UBA42" s="33"/>
      <c r="UBB42" s="33"/>
      <c r="UBC42" s="33"/>
      <c r="UBD42" s="33"/>
      <c r="UBE42" s="33"/>
      <c r="UBF42" s="33"/>
      <c r="UBG42" s="33"/>
      <c r="UBH42" s="33"/>
      <c r="UBI42" s="33"/>
      <c r="UBJ42" s="33"/>
      <c r="UBK42" s="33"/>
      <c r="UBL42" s="33"/>
      <c r="UBM42" s="33"/>
      <c r="UBN42" s="33"/>
      <c r="UBO42" s="33"/>
      <c r="UBP42" s="33"/>
      <c r="UBQ42" s="33"/>
      <c r="UBR42" s="33"/>
      <c r="UBS42" s="33"/>
      <c r="UBT42" s="33"/>
      <c r="UBU42" s="33"/>
      <c r="UBV42" s="33"/>
      <c r="UBW42" s="33"/>
      <c r="UBX42" s="33"/>
      <c r="UBY42" s="33"/>
      <c r="UBZ42" s="33"/>
      <c r="UCA42" s="33"/>
      <c r="UCB42" s="33"/>
      <c r="UCC42" s="33"/>
      <c r="UCD42" s="33"/>
      <c r="UCE42" s="33"/>
      <c r="UCF42" s="33"/>
      <c r="UCG42" s="33"/>
      <c r="UCH42" s="33"/>
      <c r="UCI42" s="33"/>
      <c r="UCJ42" s="33"/>
      <c r="UCK42" s="33"/>
      <c r="UCL42" s="33"/>
      <c r="UCM42" s="33"/>
      <c r="UCN42" s="33"/>
      <c r="UCO42" s="33"/>
      <c r="UCP42" s="33"/>
      <c r="UCQ42" s="33"/>
      <c r="UCR42" s="33"/>
      <c r="UCS42" s="33"/>
      <c r="UCT42" s="33"/>
      <c r="UCU42" s="33"/>
      <c r="UCV42" s="33"/>
      <c r="UCW42" s="33"/>
      <c r="UCX42" s="33"/>
      <c r="UCY42" s="33"/>
      <c r="UCZ42" s="33"/>
      <c r="UDA42" s="33"/>
      <c r="UDB42" s="33"/>
      <c r="UDC42" s="33"/>
      <c r="UDD42" s="33"/>
      <c r="UDE42" s="33"/>
      <c r="UDF42" s="33"/>
      <c r="UDG42" s="33"/>
      <c r="UDH42" s="33"/>
      <c r="UDI42" s="33"/>
      <c r="UDJ42" s="33"/>
      <c r="UDK42" s="33"/>
      <c r="UDL42" s="33"/>
      <c r="UDM42" s="33"/>
      <c r="UDN42" s="33"/>
      <c r="UDO42" s="33"/>
      <c r="UDP42" s="33"/>
      <c r="UDQ42" s="33"/>
      <c r="UDR42" s="33"/>
      <c r="UDS42" s="33"/>
      <c r="UDT42" s="33"/>
      <c r="UDU42" s="33"/>
      <c r="UDV42" s="33"/>
      <c r="UDW42" s="33"/>
      <c r="UDX42" s="33"/>
      <c r="UDY42" s="33"/>
      <c r="UDZ42" s="33"/>
      <c r="UEA42" s="33"/>
      <c r="UEB42" s="33"/>
      <c r="UEC42" s="33"/>
      <c r="UED42" s="33"/>
      <c r="UEE42" s="33"/>
      <c r="UEF42" s="33"/>
      <c r="UEG42" s="33"/>
      <c r="UEH42" s="33"/>
      <c r="UEI42" s="33"/>
      <c r="UEJ42" s="33"/>
      <c r="UEK42" s="33"/>
      <c r="UEL42" s="33"/>
      <c r="UEM42" s="33"/>
      <c r="UEN42" s="33"/>
      <c r="UEO42" s="33"/>
      <c r="UEP42" s="33"/>
      <c r="UEQ42" s="33"/>
      <c r="UER42" s="33"/>
      <c r="UES42" s="33"/>
      <c r="UET42" s="33"/>
      <c r="UEU42" s="33"/>
      <c r="UEV42" s="33"/>
      <c r="UEW42" s="33"/>
      <c r="UEX42" s="33"/>
      <c r="UEY42" s="33"/>
      <c r="UEZ42" s="33"/>
      <c r="UFA42" s="33"/>
      <c r="UFB42" s="33"/>
      <c r="UFC42" s="33"/>
      <c r="UFD42" s="33"/>
      <c r="UFE42" s="33"/>
      <c r="UFF42" s="33"/>
      <c r="UFG42" s="33"/>
      <c r="UFH42" s="33"/>
      <c r="UFI42" s="33"/>
      <c r="UFJ42" s="33"/>
      <c r="UFK42" s="33"/>
      <c r="UFL42" s="33"/>
      <c r="UFM42" s="33"/>
      <c r="UFN42" s="33"/>
      <c r="UFO42" s="33"/>
      <c r="UFP42" s="33"/>
      <c r="UFQ42" s="33"/>
      <c r="UFR42" s="33"/>
      <c r="UFS42" s="33"/>
      <c r="UFT42" s="33"/>
      <c r="UFU42" s="33"/>
      <c r="UFV42" s="33"/>
      <c r="UFW42" s="33"/>
      <c r="UFX42" s="33"/>
      <c r="UFY42" s="33"/>
      <c r="UFZ42" s="33"/>
      <c r="UGA42" s="33"/>
      <c r="UGB42" s="33"/>
      <c r="UGC42" s="33"/>
      <c r="UGD42" s="33"/>
      <c r="UGE42" s="33"/>
      <c r="UGF42" s="33"/>
      <c r="UGG42" s="33"/>
      <c r="UGH42" s="33"/>
      <c r="UGI42" s="33"/>
      <c r="UGJ42" s="33"/>
      <c r="UGK42" s="33"/>
      <c r="UGL42" s="33"/>
      <c r="UGM42" s="33"/>
      <c r="UGN42" s="33"/>
      <c r="UGO42" s="33"/>
      <c r="UGP42" s="33"/>
      <c r="UGQ42" s="33"/>
      <c r="UGR42" s="33"/>
      <c r="UGS42" s="33"/>
      <c r="UGT42" s="33"/>
      <c r="UGU42" s="33"/>
      <c r="UGV42" s="33"/>
      <c r="UGW42" s="33"/>
      <c r="UGX42" s="33"/>
      <c r="UGY42" s="33"/>
      <c r="UGZ42" s="33"/>
      <c r="UHA42" s="33"/>
      <c r="UHB42" s="33"/>
      <c r="UHC42" s="33"/>
      <c r="UHD42" s="33"/>
      <c r="UHE42" s="33"/>
      <c r="UHF42" s="33"/>
      <c r="UHG42" s="33"/>
      <c r="UHH42" s="33"/>
      <c r="UHI42" s="33"/>
      <c r="UHJ42" s="33"/>
      <c r="UHK42" s="33"/>
      <c r="UHL42" s="33"/>
      <c r="UHM42" s="33"/>
      <c r="UHN42" s="33"/>
      <c r="UHO42" s="33"/>
      <c r="UHP42" s="33"/>
      <c r="UHQ42" s="33"/>
      <c r="UHR42" s="33"/>
      <c r="UHS42" s="33"/>
      <c r="UHT42" s="33"/>
      <c r="UHU42" s="33"/>
      <c r="UHV42" s="33"/>
      <c r="UHW42" s="33"/>
      <c r="UHX42" s="33"/>
      <c r="UHY42" s="33"/>
      <c r="UHZ42" s="33"/>
      <c r="UIA42" s="33"/>
      <c r="UIB42" s="33"/>
      <c r="UIC42" s="33"/>
      <c r="UID42" s="33"/>
      <c r="UIE42" s="33"/>
      <c r="UIF42" s="33"/>
      <c r="UIG42" s="33"/>
      <c r="UIH42" s="33"/>
      <c r="UII42" s="33"/>
      <c r="UIJ42" s="33"/>
      <c r="UIK42" s="33"/>
      <c r="UIL42" s="33"/>
      <c r="UIM42" s="33"/>
      <c r="UIN42" s="33"/>
      <c r="UIO42" s="33"/>
      <c r="UIP42" s="33"/>
      <c r="UIQ42" s="33"/>
      <c r="UIR42" s="33"/>
      <c r="UIS42" s="33"/>
      <c r="UIT42" s="33"/>
      <c r="UIU42" s="33"/>
      <c r="UIV42" s="33"/>
      <c r="UIW42" s="33"/>
      <c r="UIX42" s="33"/>
      <c r="UIY42" s="33"/>
      <c r="UIZ42" s="33"/>
      <c r="UJA42" s="33"/>
      <c r="UJB42" s="33"/>
      <c r="UJC42" s="33"/>
      <c r="UJD42" s="33"/>
      <c r="UJE42" s="33"/>
      <c r="UJF42" s="33"/>
      <c r="UJG42" s="33"/>
      <c r="UJH42" s="33"/>
      <c r="UJI42" s="33"/>
      <c r="UJJ42" s="33"/>
      <c r="UJK42" s="33"/>
      <c r="UJL42" s="33"/>
      <c r="UJM42" s="33"/>
      <c r="UJN42" s="33"/>
      <c r="UJO42" s="33"/>
      <c r="UJP42" s="33"/>
      <c r="UJQ42" s="33"/>
      <c r="UJR42" s="33"/>
      <c r="UJS42" s="33"/>
      <c r="UJT42" s="33"/>
      <c r="UJU42" s="33"/>
      <c r="UJV42" s="33"/>
      <c r="UJW42" s="33"/>
      <c r="UJX42" s="33"/>
      <c r="UJY42" s="33"/>
      <c r="UJZ42" s="33"/>
      <c r="UKA42" s="33"/>
      <c r="UKB42" s="33"/>
      <c r="UKC42" s="33"/>
      <c r="UKD42" s="33"/>
      <c r="UKE42" s="33"/>
      <c r="UKF42" s="33"/>
      <c r="UKG42" s="33"/>
      <c r="UKH42" s="33"/>
      <c r="UKI42" s="33"/>
      <c r="UKJ42" s="33"/>
      <c r="UKK42" s="33"/>
      <c r="UKL42" s="33"/>
      <c r="UKM42" s="33"/>
      <c r="UKN42" s="33"/>
      <c r="UKO42" s="33"/>
      <c r="UKP42" s="33"/>
      <c r="UKQ42" s="33"/>
      <c r="UKR42" s="33"/>
      <c r="UKS42" s="33"/>
      <c r="UKT42" s="33"/>
      <c r="UKU42" s="33"/>
      <c r="UKV42" s="33"/>
      <c r="UKW42" s="33"/>
      <c r="UKX42" s="33"/>
      <c r="UKY42" s="33"/>
      <c r="UKZ42" s="33"/>
      <c r="ULA42" s="33"/>
      <c r="ULB42" s="33"/>
      <c r="ULC42" s="33"/>
      <c r="ULD42" s="33"/>
      <c r="ULE42" s="33"/>
      <c r="ULF42" s="33"/>
      <c r="ULG42" s="33"/>
      <c r="ULH42" s="33"/>
      <c r="ULI42" s="33"/>
      <c r="ULJ42" s="33"/>
      <c r="ULK42" s="33"/>
      <c r="ULL42" s="33"/>
      <c r="ULM42" s="33"/>
      <c r="ULN42" s="33"/>
      <c r="ULO42" s="33"/>
      <c r="ULP42" s="33"/>
      <c r="ULQ42" s="33"/>
      <c r="ULR42" s="33"/>
      <c r="ULS42" s="33"/>
      <c r="ULT42" s="33"/>
      <c r="ULU42" s="33"/>
      <c r="ULV42" s="33"/>
      <c r="ULW42" s="33"/>
      <c r="ULX42" s="33"/>
      <c r="ULY42" s="33"/>
      <c r="ULZ42" s="33"/>
      <c r="UMA42" s="33"/>
      <c r="UMB42" s="33"/>
      <c r="UMC42" s="33"/>
      <c r="UMD42" s="33"/>
      <c r="UME42" s="33"/>
      <c r="UMF42" s="33"/>
      <c r="UMG42" s="33"/>
      <c r="UMH42" s="33"/>
      <c r="UMI42" s="33"/>
      <c r="UMJ42" s="33"/>
      <c r="UMK42" s="33"/>
      <c r="UML42" s="33"/>
      <c r="UMM42" s="33"/>
      <c r="UMN42" s="33"/>
      <c r="UMO42" s="33"/>
      <c r="UMP42" s="33"/>
      <c r="UMQ42" s="33"/>
      <c r="UMR42" s="33"/>
      <c r="UMS42" s="33"/>
      <c r="UMT42" s="33"/>
      <c r="UMU42" s="33"/>
      <c r="UMV42" s="33"/>
      <c r="UMW42" s="33"/>
      <c r="UMX42" s="33"/>
      <c r="UMY42" s="33"/>
      <c r="UMZ42" s="33"/>
      <c r="UNA42" s="33"/>
      <c r="UNB42" s="33"/>
      <c r="UNC42" s="33"/>
      <c r="UND42" s="33"/>
      <c r="UNE42" s="33"/>
      <c r="UNF42" s="33"/>
      <c r="UNG42" s="33"/>
      <c r="UNH42" s="33"/>
      <c r="UNI42" s="33"/>
      <c r="UNJ42" s="33"/>
      <c r="UNK42" s="33"/>
      <c r="UNL42" s="33"/>
      <c r="UNM42" s="33"/>
      <c r="UNN42" s="33"/>
      <c r="UNO42" s="33"/>
      <c r="UNP42" s="33"/>
      <c r="UNQ42" s="33"/>
      <c r="UNR42" s="33"/>
      <c r="UNS42" s="33"/>
      <c r="UNT42" s="33"/>
      <c r="UNU42" s="33"/>
      <c r="UNV42" s="33"/>
      <c r="UNW42" s="33"/>
      <c r="UNX42" s="33"/>
      <c r="UNY42" s="33"/>
      <c r="UNZ42" s="33"/>
      <c r="UOA42" s="33"/>
      <c r="UOB42" s="33"/>
      <c r="UOC42" s="33"/>
      <c r="UOD42" s="33"/>
      <c r="UOE42" s="33"/>
      <c r="UOF42" s="33"/>
      <c r="UOG42" s="33"/>
      <c r="UOH42" s="33"/>
      <c r="UOI42" s="33"/>
      <c r="UOJ42" s="33"/>
      <c r="UOK42" s="33"/>
      <c r="UOL42" s="33"/>
      <c r="UOM42" s="33"/>
      <c r="UON42" s="33"/>
      <c r="UOO42" s="33"/>
      <c r="UOP42" s="33"/>
      <c r="UOQ42" s="33"/>
      <c r="UOR42" s="33"/>
      <c r="UOS42" s="33"/>
      <c r="UOT42" s="33"/>
      <c r="UOU42" s="33"/>
      <c r="UOV42" s="33"/>
      <c r="UOW42" s="33"/>
      <c r="UOX42" s="33"/>
      <c r="UOY42" s="33"/>
      <c r="UOZ42" s="33"/>
      <c r="UPA42" s="33"/>
      <c r="UPB42" s="33"/>
      <c r="UPC42" s="33"/>
      <c r="UPD42" s="33"/>
      <c r="UPE42" s="33"/>
      <c r="UPF42" s="33"/>
      <c r="UPG42" s="33"/>
      <c r="UPH42" s="33"/>
      <c r="UPI42" s="33"/>
      <c r="UPJ42" s="33"/>
      <c r="UPK42" s="33"/>
      <c r="UPL42" s="33"/>
      <c r="UPM42" s="33"/>
      <c r="UPN42" s="33"/>
      <c r="UPO42" s="33"/>
      <c r="UPP42" s="33"/>
      <c r="UPQ42" s="33"/>
      <c r="UPR42" s="33"/>
      <c r="UPS42" s="33"/>
      <c r="UPT42" s="33"/>
      <c r="UPU42" s="33"/>
      <c r="UPV42" s="33"/>
      <c r="UPW42" s="33"/>
      <c r="UPX42" s="33"/>
      <c r="UPY42" s="33"/>
      <c r="UPZ42" s="33"/>
      <c r="UQA42" s="33"/>
      <c r="UQB42" s="33"/>
      <c r="UQC42" s="33"/>
      <c r="UQD42" s="33"/>
      <c r="UQE42" s="33"/>
      <c r="UQF42" s="33"/>
      <c r="UQG42" s="33"/>
      <c r="UQH42" s="33"/>
      <c r="UQI42" s="33"/>
      <c r="UQJ42" s="33"/>
      <c r="UQK42" s="33"/>
      <c r="UQL42" s="33"/>
      <c r="UQM42" s="33"/>
      <c r="UQN42" s="33"/>
      <c r="UQO42" s="33"/>
      <c r="UQP42" s="33"/>
      <c r="UQQ42" s="33"/>
      <c r="UQR42" s="33"/>
      <c r="UQS42" s="33"/>
      <c r="UQT42" s="33"/>
      <c r="UQU42" s="33"/>
      <c r="UQV42" s="33"/>
      <c r="UQW42" s="33"/>
      <c r="UQX42" s="33"/>
      <c r="UQY42" s="33"/>
      <c r="UQZ42" s="33"/>
      <c r="URA42" s="33"/>
      <c r="URB42" s="33"/>
      <c r="URC42" s="33"/>
      <c r="URD42" s="33"/>
      <c r="URE42" s="33"/>
      <c r="URF42" s="33"/>
      <c r="URG42" s="33"/>
      <c r="URH42" s="33"/>
      <c r="URI42" s="33"/>
      <c r="URJ42" s="33"/>
      <c r="URK42" s="33"/>
      <c r="URL42" s="33"/>
      <c r="URM42" s="33"/>
      <c r="URN42" s="33"/>
      <c r="URO42" s="33"/>
      <c r="URP42" s="33"/>
      <c r="URQ42" s="33"/>
      <c r="URR42" s="33"/>
      <c r="URS42" s="33"/>
      <c r="URT42" s="33"/>
      <c r="URU42" s="33"/>
      <c r="URV42" s="33"/>
      <c r="URW42" s="33"/>
      <c r="URX42" s="33"/>
      <c r="URY42" s="33"/>
      <c r="URZ42" s="33"/>
      <c r="USA42" s="33"/>
      <c r="USB42" s="33"/>
      <c r="USC42" s="33"/>
      <c r="USD42" s="33"/>
      <c r="USE42" s="33"/>
      <c r="USF42" s="33"/>
      <c r="USG42" s="33"/>
      <c r="USH42" s="33"/>
      <c r="USI42" s="33"/>
      <c r="USJ42" s="33"/>
      <c r="USK42" s="33"/>
      <c r="USL42" s="33"/>
      <c r="USM42" s="33"/>
      <c r="USN42" s="33"/>
      <c r="USO42" s="33"/>
      <c r="USP42" s="33"/>
      <c r="USQ42" s="33"/>
      <c r="USR42" s="33"/>
      <c r="USS42" s="33"/>
      <c r="UST42" s="33"/>
      <c r="USU42" s="33"/>
      <c r="USV42" s="33"/>
      <c r="USW42" s="33"/>
      <c r="USX42" s="33"/>
      <c r="USY42" s="33"/>
      <c r="USZ42" s="33"/>
      <c r="UTA42" s="33"/>
      <c r="UTB42" s="33"/>
      <c r="UTC42" s="33"/>
      <c r="UTD42" s="33"/>
      <c r="UTE42" s="33"/>
      <c r="UTF42" s="33"/>
      <c r="UTG42" s="33"/>
      <c r="UTH42" s="33"/>
      <c r="UTI42" s="33"/>
      <c r="UTJ42" s="33"/>
      <c r="UTK42" s="33"/>
      <c r="UTL42" s="33"/>
      <c r="UTM42" s="33"/>
      <c r="UTN42" s="33"/>
      <c r="UTO42" s="33"/>
      <c r="UTP42" s="33"/>
      <c r="UTQ42" s="33"/>
      <c r="UTR42" s="33"/>
      <c r="UTS42" s="33"/>
      <c r="UTT42" s="33"/>
      <c r="UTU42" s="33"/>
      <c r="UTV42" s="33"/>
      <c r="UTW42" s="33"/>
      <c r="UTX42" s="33"/>
      <c r="UTY42" s="33"/>
      <c r="UTZ42" s="33"/>
      <c r="UUA42" s="33"/>
      <c r="UUB42" s="33"/>
      <c r="UUC42" s="33"/>
      <c r="UUD42" s="33"/>
      <c r="UUE42" s="33"/>
      <c r="UUF42" s="33"/>
      <c r="UUG42" s="33"/>
      <c r="UUH42" s="33"/>
      <c r="UUI42" s="33"/>
      <c r="UUJ42" s="33"/>
      <c r="UUK42" s="33"/>
      <c r="UUL42" s="33"/>
      <c r="UUM42" s="33"/>
      <c r="UUN42" s="33"/>
      <c r="UUO42" s="33"/>
      <c r="UUP42" s="33"/>
      <c r="UUQ42" s="33"/>
      <c r="UUR42" s="33"/>
      <c r="UUS42" s="33"/>
      <c r="UUT42" s="33"/>
      <c r="UUU42" s="33"/>
      <c r="UUV42" s="33"/>
      <c r="UUW42" s="33"/>
      <c r="UUX42" s="33"/>
      <c r="UUY42" s="33"/>
      <c r="UUZ42" s="33"/>
      <c r="UVA42" s="33"/>
      <c r="UVB42" s="33"/>
      <c r="UVC42" s="33"/>
      <c r="UVD42" s="33"/>
      <c r="UVE42" s="33"/>
      <c r="UVF42" s="33"/>
      <c r="UVG42" s="33"/>
      <c r="UVH42" s="33"/>
      <c r="UVI42" s="33"/>
      <c r="UVJ42" s="33"/>
      <c r="UVK42" s="33"/>
      <c r="UVL42" s="33"/>
      <c r="UVM42" s="33"/>
      <c r="UVN42" s="33"/>
      <c r="UVO42" s="33"/>
      <c r="UVP42" s="33"/>
      <c r="UVQ42" s="33"/>
      <c r="UVR42" s="33"/>
      <c r="UVS42" s="33"/>
      <c r="UVT42" s="33"/>
      <c r="UVU42" s="33"/>
      <c r="UVV42" s="33"/>
      <c r="UVW42" s="33"/>
      <c r="UVX42" s="33"/>
      <c r="UVY42" s="33"/>
      <c r="UVZ42" s="33"/>
      <c r="UWA42" s="33"/>
      <c r="UWB42" s="33"/>
      <c r="UWC42" s="33"/>
      <c r="UWD42" s="33"/>
      <c r="UWE42" s="33"/>
      <c r="UWF42" s="33"/>
      <c r="UWG42" s="33"/>
      <c r="UWH42" s="33"/>
      <c r="UWI42" s="33"/>
      <c r="UWJ42" s="33"/>
      <c r="UWK42" s="33"/>
      <c r="UWL42" s="33"/>
      <c r="UWM42" s="33"/>
      <c r="UWN42" s="33"/>
      <c r="UWO42" s="33"/>
      <c r="UWP42" s="33"/>
      <c r="UWQ42" s="33"/>
      <c r="UWR42" s="33"/>
      <c r="UWS42" s="33"/>
      <c r="UWT42" s="33"/>
      <c r="UWU42" s="33"/>
      <c r="UWV42" s="33"/>
      <c r="UWW42" s="33"/>
      <c r="UWX42" s="33"/>
      <c r="UWY42" s="33"/>
      <c r="UWZ42" s="33"/>
      <c r="UXA42" s="33"/>
      <c r="UXB42" s="33"/>
      <c r="UXC42" s="33"/>
      <c r="UXD42" s="33"/>
      <c r="UXE42" s="33"/>
      <c r="UXF42" s="33"/>
      <c r="UXG42" s="33"/>
      <c r="UXH42" s="33"/>
      <c r="UXI42" s="33"/>
      <c r="UXJ42" s="33"/>
      <c r="UXK42" s="33"/>
      <c r="UXL42" s="33"/>
      <c r="UXM42" s="33"/>
      <c r="UXN42" s="33"/>
      <c r="UXO42" s="33"/>
      <c r="UXP42" s="33"/>
      <c r="UXQ42" s="33"/>
      <c r="UXR42" s="33"/>
      <c r="UXS42" s="33"/>
      <c r="UXT42" s="33"/>
      <c r="UXU42" s="33"/>
      <c r="UXV42" s="33"/>
      <c r="UXW42" s="33"/>
      <c r="UXX42" s="33"/>
      <c r="UXY42" s="33"/>
      <c r="UXZ42" s="33"/>
      <c r="UYA42" s="33"/>
      <c r="UYB42" s="33"/>
      <c r="UYC42" s="33"/>
      <c r="UYD42" s="33"/>
      <c r="UYE42" s="33"/>
      <c r="UYF42" s="33"/>
      <c r="UYG42" s="33"/>
      <c r="UYH42" s="33"/>
      <c r="UYI42" s="33"/>
      <c r="UYJ42" s="33"/>
      <c r="UYK42" s="33"/>
      <c r="UYL42" s="33"/>
      <c r="UYM42" s="33"/>
      <c r="UYN42" s="33"/>
      <c r="UYO42" s="33"/>
      <c r="UYP42" s="33"/>
      <c r="UYQ42" s="33"/>
      <c r="UYR42" s="33"/>
      <c r="UYS42" s="33"/>
      <c r="UYT42" s="33"/>
      <c r="UYU42" s="33"/>
      <c r="UYV42" s="33"/>
      <c r="UYW42" s="33"/>
      <c r="UYX42" s="33"/>
      <c r="UYY42" s="33"/>
      <c r="UYZ42" s="33"/>
      <c r="UZA42" s="33"/>
      <c r="UZB42" s="33"/>
      <c r="UZC42" s="33"/>
      <c r="UZD42" s="33"/>
      <c r="UZE42" s="33"/>
      <c r="UZF42" s="33"/>
      <c r="UZG42" s="33"/>
      <c r="UZH42" s="33"/>
      <c r="UZI42" s="33"/>
      <c r="UZJ42" s="33"/>
      <c r="UZK42" s="33"/>
      <c r="UZL42" s="33"/>
      <c r="UZM42" s="33"/>
      <c r="UZN42" s="33"/>
      <c r="UZO42" s="33"/>
      <c r="UZP42" s="33"/>
      <c r="UZQ42" s="33"/>
      <c r="UZR42" s="33"/>
      <c r="UZS42" s="33"/>
      <c r="UZT42" s="33"/>
      <c r="UZU42" s="33"/>
      <c r="UZV42" s="33"/>
      <c r="UZW42" s="33"/>
      <c r="UZX42" s="33"/>
      <c r="UZY42" s="33"/>
      <c r="UZZ42" s="33"/>
      <c r="VAA42" s="33"/>
      <c r="VAB42" s="33"/>
      <c r="VAC42" s="33"/>
      <c r="VAD42" s="33"/>
      <c r="VAE42" s="33"/>
      <c r="VAF42" s="33"/>
      <c r="VAG42" s="33"/>
      <c r="VAH42" s="33"/>
      <c r="VAI42" s="33"/>
      <c r="VAJ42" s="33"/>
      <c r="VAK42" s="33"/>
      <c r="VAL42" s="33"/>
      <c r="VAM42" s="33"/>
      <c r="VAN42" s="33"/>
      <c r="VAO42" s="33"/>
      <c r="VAP42" s="33"/>
      <c r="VAQ42" s="33"/>
      <c r="VAR42" s="33"/>
      <c r="VAS42" s="33"/>
      <c r="VAT42" s="33"/>
      <c r="VAU42" s="33"/>
      <c r="VAV42" s="33"/>
      <c r="VAW42" s="33"/>
      <c r="VAX42" s="33"/>
      <c r="VAY42" s="33"/>
      <c r="VAZ42" s="33"/>
      <c r="VBA42" s="33"/>
      <c r="VBB42" s="33"/>
      <c r="VBC42" s="33"/>
      <c r="VBD42" s="33"/>
      <c r="VBE42" s="33"/>
      <c r="VBF42" s="33"/>
      <c r="VBG42" s="33"/>
      <c r="VBH42" s="33"/>
      <c r="VBI42" s="33"/>
      <c r="VBJ42" s="33"/>
      <c r="VBK42" s="33"/>
      <c r="VBL42" s="33"/>
      <c r="VBM42" s="33"/>
      <c r="VBN42" s="33"/>
      <c r="VBO42" s="33"/>
      <c r="VBP42" s="33"/>
      <c r="VBQ42" s="33"/>
      <c r="VBR42" s="33"/>
      <c r="VBS42" s="33"/>
      <c r="VBT42" s="33"/>
      <c r="VBU42" s="33"/>
      <c r="VBV42" s="33"/>
      <c r="VBW42" s="33"/>
      <c r="VBX42" s="33"/>
      <c r="VBY42" s="33"/>
      <c r="VBZ42" s="33"/>
      <c r="VCA42" s="33"/>
      <c r="VCB42" s="33"/>
      <c r="VCC42" s="33"/>
      <c r="VCD42" s="33"/>
      <c r="VCE42" s="33"/>
      <c r="VCF42" s="33"/>
      <c r="VCG42" s="33"/>
      <c r="VCH42" s="33"/>
      <c r="VCI42" s="33"/>
      <c r="VCJ42" s="33"/>
      <c r="VCK42" s="33"/>
      <c r="VCL42" s="33"/>
      <c r="VCM42" s="33"/>
      <c r="VCN42" s="33"/>
      <c r="VCO42" s="33"/>
      <c r="VCP42" s="33"/>
      <c r="VCQ42" s="33"/>
      <c r="VCR42" s="33"/>
      <c r="VCS42" s="33"/>
      <c r="VCT42" s="33"/>
      <c r="VCU42" s="33"/>
      <c r="VCV42" s="33"/>
      <c r="VCW42" s="33"/>
      <c r="VCX42" s="33"/>
      <c r="VCY42" s="33"/>
      <c r="VCZ42" s="33"/>
      <c r="VDA42" s="33"/>
      <c r="VDB42" s="33"/>
      <c r="VDC42" s="33"/>
      <c r="VDD42" s="33"/>
      <c r="VDE42" s="33"/>
      <c r="VDF42" s="33"/>
      <c r="VDG42" s="33"/>
      <c r="VDH42" s="33"/>
      <c r="VDI42" s="33"/>
      <c r="VDJ42" s="33"/>
      <c r="VDK42" s="33"/>
      <c r="VDL42" s="33"/>
      <c r="VDM42" s="33"/>
      <c r="VDN42" s="33"/>
      <c r="VDO42" s="33"/>
      <c r="VDP42" s="33"/>
      <c r="VDQ42" s="33"/>
      <c r="VDR42" s="33"/>
      <c r="VDS42" s="33"/>
      <c r="VDT42" s="33"/>
      <c r="VDU42" s="33"/>
      <c r="VDV42" s="33"/>
      <c r="VDW42" s="33"/>
      <c r="VDX42" s="33"/>
      <c r="VDY42" s="33"/>
      <c r="VDZ42" s="33"/>
      <c r="VEA42" s="33"/>
      <c r="VEB42" s="33"/>
      <c r="VEC42" s="33"/>
      <c r="VED42" s="33"/>
      <c r="VEE42" s="33"/>
      <c r="VEF42" s="33"/>
      <c r="VEG42" s="33"/>
      <c r="VEH42" s="33"/>
      <c r="VEI42" s="33"/>
      <c r="VEJ42" s="33"/>
      <c r="VEK42" s="33"/>
      <c r="VEL42" s="33"/>
      <c r="VEM42" s="33"/>
      <c r="VEN42" s="33"/>
      <c r="VEO42" s="33"/>
      <c r="VEP42" s="33"/>
      <c r="VEQ42" s="33"/>
      <c r="VER42" s="33"/>
      <c r="VES42" s="33"/>
      <c r="VET42" s="33"/>
      <c r="VEU42" s="33"/>
      <c r="VEV42" s="33"/>
      <c r="VEW42" s="33"/>
      <c r="VEX42" s="33"/>
      <c r="VEY42" s="33"/>
      <c r="VEZ42" s="33"/>
      <c r="VFA42" s="33"/>
      <c r="VFB42" s="33"/>
      <c r="VFC42" s="33"/>
      <c r="VFD42" s="33"/>
      <c r="VFE42" s="33"/>
      <c r="VFF42" s="33"/>
      <c r="VFG42" s="33"/>
      <c r="VFH42" s="33"/>
      <c r="VFI42" s="33"/>
      <c r="VFJ42" s="33"/>
      <c r="VFK42" s="33"/>
      <c r="VFL42" s="33"/>
      <c r="VFM42" s="33"/>
      <c r="VFN42" s="33"/>
      <c r="VFO42" s="33"/>
      <c r="VFP42" s="33"/>
      <c r="VFQ42" s="33"/>
      <c r="VFR42" s="33"/>
      <c r="VFS42" s="33"/>
      <c r="VFT42" s="33"/>
      <c r="VFU42" s="33"/>
      <c r="VFV42" s="33"/>
      <c r="VFW42" s="33"/>
      <c r="VFX42" s="33"/>
      <c r="VFY42" s="33"/>
      <c r="VFZ42" s="33"/>
      <c r="VGA42" s="33"/>
      <c r="VGB42" s="33"/>
      <c r="VGC42" s="33"/>
      <c r="VGD42" s="33"/>
      <c r="VGE42" s="33"/>
      <c r="VGF42" s="33"/>
      <c r="VGG42" s="33"/>
      <c r="VGH42" s="33"/>
      <c r="VGI42" s="33"/>
      <c r="VGJ42" s="33"/>
      <c r="VGK42" s="33"/>
      <c r="VGL42" s="33"/>
      <c r="VGM42" s="33"/>
      <c r="VGN42" s="33"/>
      <c r="VGO42" s="33"/>
      <c r="VGP42" s="33"/>
      <c r="VGQ42" s="33"/>
      <c r="VGR42" s="33"/>
      <c r="VGS42" s="33"/>
      <c r="VGT42" s="33"/>
      <c r="VGU42" s="33"/>
      <c r="VGV42" s="33"/>
      <c r="VGW42" s="33"/>
      <c r="VGX42" s="33"/>
      <c r="VGY42" s="33"/>
      <c r="VGZ42" s="33"/>
      <c r="VHA42" s="33"/>
      <c r="VHB42" s="33"/>
      <c r="VHC42" s="33"/>
      <c r="VHD42" s="33"/>
      <c r="VHE42" s="33"/>
      <c r="VHF42" s="33"/>
      <c r="VHG42" s="33"/>
      <c r="VHH42" s="33"/>
      <c r="VHI42" s="33"/>
      <c r="VHJ42" s="33"/>
      <c r="VHK42" s="33"/>
      <c r="VHL42" s="33"/>
      <c r="VHM42" s="33"/>
      <c r="VHN42" s="33"/>
      <c r="VHO42" s="33"/>
      <c r="VHP42" s="33"/>
      <c r="VHQ42" s="33"/>
      <c r="VHR42" s="33"/>
      <c r="VHS42" s="33"/>
      <c r="VHT42" s="33"/>
      <c r="VHU42" s="33"/>
      <c r="VHV42" s="33"/>
      <c r="VHW42" s="33"/>
      <c r="VHX42" s="33"/>
      <c r="VHY42" s="33"/>
      <c r="VHZ42" s="33"/>
      <c r="VIA42" s="33"/>
      <c r="VIB42" s="33"/>
      <c r="VIC42" s="33"/>
      <c r="VID42" s="33"/>
      <c r="VIE42" s="33"/>
      <c r="VIF42" s="33"/>
      <c r="VIG42" s="33"/>
      <c r="VIH42" s="33"/>
      <c r="VII42" s="33"/>
      <c r="VIJ42" s="33"/>
      <c r="VIK42" s="33"/>
      <c r="VIL42" s="33"/>
      <c r="VIM42" s="33"/>
      <c r="VIN42" s="33"/>
      <c r="VIO42" s="33"/>
      <c r="VIP42" s="33"/>
      <c r="VIQ42" s="33"/>
      <c r="VIR42" s="33"/>
      <c r="VIS42" s="33"/>
      <c r="VIT42" s="33"/>
      <c r="VIU42" s="33"/>
      <c r="VIV42" s="33"/>
      <c r="VIW42" s="33"/>
      <c r="VIX42" s="33"/>
      <c r="VIY42" s="33"/>
      <c r="VIZ42" s="33"/>
      <c r="VJA42" s="33"/>
      <c r="VJB42" s="33"/>
      <c r="VJC42" s="33"/>
      <c r="VJD42" s="33"/>
      <c r="VJE42" s="33"/>
      <c r="VJF42" s="33"/>
      <c r="VJG42" s="33"/>
      <c r="VJH42" s="33"/>
      <c r="VJI42" s="33"/>
      <c r="VJJ42" s="33"/>
      <c r="VJK42" s="33"/>
      <c r="VJL42" s="33"/>
      <c r="VJM42" s="33"/>
      <c r="VJN42" s="33"/>
      <c r="VJO42" s="33"/>
      <c r="VJP42" s="33"/>
      <c r="VJQ42" s="33"/>
      <c r="VJR42" s="33"/>
      <c r="VJS42" s="33"/>
      <c r="VJT42" s="33"/>
      <c r="VJU42" s="33"/>
      <c r="VJV42" s="33"/>
      <c r="VJW42" s="33"/>
      <c r="VJX42" s="33"/>
      <c r="VJY42" s="33"/>
      <c r="VJZ42" s="33"/>
      <c r="VKA42" s="33"/>
      <c r="VKB42" s="33"/>
      <c r="VKC42" s="33"/>
      <c r="VKD42" s="33"/>
      <c r="VKE42" s="33"/>
      <c r="VKF42" s="33"/>
      <c r="VKG42" s="33"/>
      <c r="VKH42" s="33"/>
      <c r="VKI42" s="33"/>
      <c r="VKJ42" s="33"/>
      <c r="VKK42" s="33"/>
      <c r="VKL42" s="33"/>
      <c r="VKM42" s="33"/>
      <c r="VKN42" s="33"/>
      <c r="VKO42" s="33"/>
      <c r="VKP42" s="33"/>
      <c r="VKQ42" s="33"/>
      <c r="VKR42" s="33"/>
      <c r="VKS42" s="33"/>
      <c r="VKT42" s="33"/>
      <c r="VKU42" s="33"/>
      <c r="VKV42" s="33"/>
      <c r="VKW42" s="33"/>
      <c r="VKX42" s="33"/>
      <c r="VKY42" s="33"/>
      <c r="VKZ42" s="33"/>
      <c r="VLA42" s="33"/>
      <c r="VLB42" s="33"/>
      <c r="VLC42" s="33"/>
      <c r="VLD42" s="33"/>
      <c r="VLE42" s="33"/>
      <c r="VLF42" s="33"/>
      <c r="VLG42" s="33"/>
      <c r="VLH42" s="33"/>
      <c r="VLI42" s="33"/>
      <c r="VLJ42" s="33"/>
      <c r="VLK42" s="33"/>
      <c r="VLL42" s="33"/>
      <c r="VLM42" s="33"/>
      <c r="VLN42" s="33"/>
      <c r="VLO42" s="33"/>
      <c r="VLP42" s="33"/>
      <c r="VLQ42" s="33"/>
      <c r="VLR42" s="33"/>
      <c r="VLS42" s="33"/>
      <c r="VLT42" s="33"/>
      <c r="VLU42" s="33"/>
      <c r="VLV42" s="33"/>
      <c r="VLW42" s="33"/>
      <c r="VLX42" s="33"/>
      <c r="VLY42" s="33"/>
      <c r="VLZ42" s="33"/>
      <c r="VMA42" s="33"/>
      <c r="VMB42" s="33"/>
      <c r="VMC42" s="33"/>
      <c r="VMD42" s="33"/>
      <c r="VME42" s="33"/>
      <c r="VMF42" s="33"/>
      <c r="VMG42" s="33"/>
      <c r="VMH42" s="33"/>
      <c r="VMI42" s="33"/>
      <c r="VMJ42" s="33"/>
      <c r="VMK42" s="33"/>
      <c r="VML42" s="33"/>
      <c r="VMM42" s="33"/>
      <c r="VMN42" s="33"/>
      <c r="VMO42" s="33"/>
      <c r="VMP42" s="33"/>
      <c r="VMQ42" s="33"/>
      <c r="VMR42" s="33"/>
      <c r="VMS42" s="33"/>
      <c r="VMT42" s="33"/>
      <c r="VMU42" s="33"/>
      <c r="VMV42" s="33"/>
      <c r="VMW42" s="33"/>
      <c r="VMX42" s="33"/>
      <c r="VMY42" s="33"/>
      <c r="VMZ42" s="33"/>
      <c r="VNA42" s="33"/>
      <c r="VNB42" s="33"/>
      <c r="VNC42" s="33"/>
      <c r="VND42" s="33"/>
      <c r="VNE42" s="33"/>
      <c r="VNF42" s="33"/>
      <c r="VNG42" s="33"/>
      <c r="VNH42" s="33"/>
      <c r="VNI42" s="33"/>
      <c r="VNJ42" s="33"/>
      <c r="VNK42" s="33"/>
      <c r="VNL42" s="33"/>
      <c r="VNM42" s="33"/>
      <c r="VNN42" s="33"/>
      <c r="VNO42" s="33"/>
      <c r="VNP42" s="33"/>
      <c r="VNQ42" s="33"/>
      <c r="VNR42" s="33"/>
      <c r="VNS42" s="33"/>
      <c r="VNT42" s="33"/>
      <c r="VNU42" s="33"/>
      <c r="VNV42" s="33"/>
      <c r="VNW42" s="33"/>
      <c r="VNX42" s="33"/>
      <c r="VNY42" s="33"/>
      <c r="VNZ42" s="33"/>
      <c r="VOA42" s="33"/>
      <c r="VOB42" s="33"/>
      <c r="VOC42" s="33"/>
      <c r="VOD42" s="33"/>
      <c r="VOE42" s="33"/>
      <c r="VOF42" s="33"/>
      <c r="VOG42" s="33"/>
      <c r="VOH42" s="33"/>
      <c r="VOI42" s="33"/>
      <c r="VOJ42" s="33"/>
      <c r="VOK42" s="33"/>
      <c r="VOL42" s="33"/>
      <c r="VOM42" s="33"/>
      <c r="VON42" s="33"/>
      <c r="VOO42" s="33"/>
      <c r="VOP42" s="33"/>
      <c r="VOQ42" s="33"/>
      <c r="VOR42" s="33"/>
      <c r="VOS42" s="33"/>
      <c r="VOT42" s="33"/>
      <c r="VOU42" s="33"/>
      <c r="VOV42" s="33"/>
      <c r="VOW42" s="33"/>
      <c r="VOX42" s="33"/>
      <c r="VOY42" s="33"/>
      <c r="VOZ42" s="33"/>
      <c r="VPA42" s="33"/>
      <c r="VPB42" s="33"/>
      <c r="VPC42" s="33"/>
      <c r="VPD42" s="33"/>
      <c r="VPE42" s="33"/>
      <c r="VPF42" s="33"/>
      <c r="VPG42" s="33"/>
      <c r="VPH42" s="33"/>
      <c r="VPI42" s="33"/>
      <c r="VPJ42" s="33"/>
      <c r="VPK42" s="33"/>
      <c r="VPL42" s="33"/>
      <c r="VPM42" s="33"/>
      <c r="VPN42" s="33"/>
      <c r="VPO42" s="33"/>
      <c r="VPP42" s="33"/>
      <c r="VPQ42" s="33"/>
      <c r="VPR42" s="33"/>
      <c r="VPS42" s="33"/>
      <c r="VPT42" s="33"/>
      <c r="VPU42" s="33"/>
      <c r="VPV42" s="33"/>
      <c r="VPW42" s="33"/>
      <c r="VPX42" s="33"/>
      <c r="VPY42" s="33"/>
      <c r="VPZ42" s="33"/>
      <c r="VQA42" s="33"/>
      <c r="VQB42" s="33"/>
      <c r="VQC42" s="33"/>
      <c r="VQD42" s="33"/>
      <c r="VQE42" s="33"/>
      <c r="VQF42" s="33"/>
      <c r="VQG42" s="33"/>
      <c r="VQH42" s="33"/>
      <c r="VQI42" s="33"/>
      <c r="VQJ42" s="33"/>
      <c r="VQK42" s="33"/>
      <c r="VQL42" s="33"/>
      <c r="VQM42" s="33"/>
      <c r="VQN42" s="33"/>
      <c r="VQO42" s="33"/>
      <c r="VQP42" s="33"/>
      <c r="VQQ42" s="33"/>
      <c r="VQR42" s="33"/>
      <c r="VQS42" s="33"/>
      <c r="VQT42" s="33"/>
      <c r="VQU42" s="33"/>
      <c r="VQV42" s="33"/>
      <c r="VQW42" s="33"/>
      <c r="VQX42" s="33"/>
      <c r="VQY42" s="33"/>
      <c r="VQZ42" s="33"/>
      <c r="VRA42" s="33"/>
      <c r="VRB42" s="33"/>
      <c r="VRC42" s="33"/>
      <c r="VRD42" s="33"/>
      <c r="VRE42" s="33"/>
      <c r="VRF42" s="33"/>
      <c r="VRG42" s="33"/>
      <c r="VRH42" s="33"/>
      <c r="VRI42" s="33"/>
      <c r="VRJ42" s="33"/>
      <c r="VRK42" s="33"/>
      <c r="VRL42" s="33"/>
      <c r="VRM42" s="33"/>
      <c r="VRN42" s="33"/>
      <c r="VRO42" s="33"/>
      <c r="VRP42" s="33"/>
      <c r="VRQ42" s="33"/>
      <c r="VRR42" s="33"/>
      <c r="VRS42" s="33"/>
      <c r="VRT42" s="33"/>
      <c r="VRU42" s="33"/>
      <c r="VRV42" s="33"/>
      <c r="VRW42" s="33"/>
      <c r="VRX42" s="33"/>
      <c r="VRY42" s="33"/>
      <c r="VRZ42" s="33"/>
      <c r="VSA42" s="33"/>
      <c r="VSB42" s="33"/>
      <c r="VSC42" s="33"/>
      <c r="VSD42" s="33"/>
      <c r="VSE42" s="33"/>
      <c r="VSF42" s="33"/>
      <c r="VSG42" s="33"/>
      <c r="VSH42" s="33"/>
      <c r="VSI42" s="33"/>
      <c r="VSJ42" s="33"/>
      <c r="VSK42" s="33"/>
      <c r="VSL42" s="33"/>
      <c r="VSM42" s="33"/>
      <c r="VSN42" s="33"/>
      <c r="VSO42" s="33"/>
      <c r="VSP42" s="33"/>
      <c r="VSQ42" s="33"/>
      <c r="VSR42" s="33"/>
      <c r="VSS42" s="33"/>
      <c r="VST42" s="33"/>
      <c r="VSU42" s="33"/>
      <c r="VSV42" s="33"/>
      <c r="VSW42" s="33"/>
      <c r="VSX42" s="33"/>
      <c r="VSY42" s="33"/>
      <c r="VSZ42" s="33"/>
      <c r="VTA42" s="33"/>
      <c r="VTB42" s="33"/>
      <c r="VTC42" s="33"/>
      <c r="VTD42" s="33"/>
      <c r="VTE42" s="33"/>
      <c r="VTF42" s="33"/>
      <c r="VTG42" s="33"/>
      <c r="VTH42" s="33"/>
      <c r="VTI42" s="33"/>
      <c r="VTJ42" s="33"/>
      <c r="VTK42" s="33"/>
      <c r="VTL42" s="33"/>
      <c r="VTM42" s="33"/>
      <c r="VTN42" s="33"/>
      <c r="VTO42" s="33"/>
      <c r="VTP42" s="33"/>
      <c r="VTQ42" s="33"/>
      <c r="VTR42" s="33"/>
      <c r="VTS42" s="33"/>
      <c r="VTT42" s="33"/>
      <c r="VTU42" s="33"/>
      <c r="VTV42" s="33"/>
      <c r="VTW42" s="33"/>
      <c r="VTX42" s="33"/>
      <c r="VTY42" s="33"/>
      <c r="VTZ42" s="33"/>
      <c r="VUA42" s="33"/>
      <c r="VUB42" s="33"/>
      <c r="VUC42" s="33"/>
      <c r="VUD42" s="33"/>
      <c r="VUE42" s="33"/>
      <c r="VUF42" s="33"/>
      <c r="VUG42" s="33"/>
      <c r="VUH42" s="33"/>
      <c r="VUI42" s="33"/>
      <c r="VUJ42" s="33"/>
      <c r="VUK42" s="33"/>
      <c r="VUL42" s="33"/>
      <c r="VUM42" s="33"/>
      <c r="VUN42" s="33"/>
      <c r="VUO42" s="33"/>
      <c r="VUP42" s="33"/>
      <c r="VUQ42" s="33"/>
      <c r="VUR42" s="33"/>
      <c r="VUS42" s="33"/>
      <c r="VUT42" s="33"/>
      <c r="VUU42" s="33"/>
      <c r="VUV42" s="33"/>
      <c r="VUW42" s="33"/>
      <c r="VUX42" s="33"/>
      <c r="VUY42" s="33"/>
      <c r="VUZ42" s="33"/>
      <c r="VVA42" s="33"/>
      <c r="VVB42" s="33"/>
      <c r="VVC42" s="33"/>
      <c r="VVD42" s="33"/>
      <c r="VVE42" s="33"/>
      <c r="VVF42" s="33"/>
      <c r="VVG42" s="33"/>
      <c r="VVH42" s="33"/>
      <c r="VVI42" s="33"/>
      <c r="VVJ42" s="33"/>
      <c r="VVK42" s="33"/>
      <c r="VVL42" s="33"/>
      <c r="VVM42" s="33"/>
      <c r="VVN42" s="33"/>
      <c r="VVO42" s="33"/>
      <c r="VVP42" s="33"/>
      <c r="VVQ42" s="33"/>
      <c r="VVR42" s="33"/>
      <c r="VVS42" s="33"/>
      <c r="VVT42" s="33"/>
      <c r="VVU42" s="33"/>
      <c r="VVV42" s="33"/>
      <c r="VVW42" s="33"/>
      <c r="VVX42" s="33"/>
      <c r="VVY42" s="33"/>
      <c r="VVZ42" s="33"/>
      <c r="VWA42" s="33"/>
      <c r="VWB42" s="33"/>
      <c r="VWC42" s="33"/>
      <c r="VWD42" s="33"/>
      <c r="VWE42" s="33"/>
      <c r="VWF42" s="33"/>
      <c r="VWG42" s="33"/>
      <c r="VWH42" s="33"/>
      <c r="VWI42" s="33"/>
      <c r="VWJ42" s="33"/>
      <c r="VWK42" s="33"/>
      <c r="VWL42" s="33"/>
      <c r="VWM42" s="33"/>
      <c r="VWN42" s="33"/>
      <c r="VWO42" s="33"/>
      <c r="VWP42" s="33"/>
      <c r="VWQ42" s="33"/>
      <c r="VWR42" s="33"/>
      <c r="VWS42" s="33"/>
      <c r="VWT42" s="33"/>
      <c r="VWU42" s="33"/>
      <c r="VWV42" s="33"/>
      <c r="VWW42" s="33"/>
      <c r="VWX42" s="33"/>
      <c r="VWY42" s="33"/>
      <c r="VWZ42" s="33"/>
      <c r="VXA42" s="33"/>
      <c r="VXB42" s="33"/>
      <c r="VXC42" s="33"/>
      <c r="VXD42" s="33"/>
      <c r="VXE42" s="33"/>
      <c r="VXF42" s="33"/>
      <c r="VXG42" s="33"/>
      <c r="VXH42" s="33"/>
      <c r="VXI42" s="33"/>
      <c r="VXJ42" s="33"/>
      <c r="VXK42" s="33"/>
      <c r="VXL42" s="33"/>
      <c r="VXM42" s="33"/>
      <c r="VXN42" s="33"/>
      <c r="VXO42" s="33"/>
      <c r="VXP42" s="33"/>
      <c r="VXQ42" s="33"/>
      <c r="VXR42" s="33"/>
      <c r="VXS42" s="33"/>
      <c r="VXT42" s="33"/>
      <c r="VXU42" s="33"/>
      <c r="VXV42" s="33"/>
      <c r="VXW42" s="33"/>
      <c r="VXX42" s="33"/>
      <c r="VXY42" s="33"/>
      <c r="VXZ42" s="33"/>
      <c r="VYA42" s="33"/>
      <c r="VYB42" s="33"/>
      <c r="VYC42" s="33"/>
      <c r="VYD42" s="33"/>
      <c r="VYE42" s="33"/>
      <c r="VYF42" s="33"/>
      <c r="VYG42" s="33"/>
      <c r="VYH42" s="33"/>
      <c r="VYI42" s="33"/>
      <c r="VYJ42" s="33"/>
      <c r="VYK42" s="33"/>
      <c r="VYL42" s="33"/>
      <c r="VYM42" s="33"/>
      <c r="VYN42" s="33"/>
      <c r="VYO42" s="33"/>
      <c r="VYP42" s="33"/>
      <c r="VYQ42" s="33"/>
      <c r="VYR42" s="33"/>
      <c r="VYS42" s="33"/>
      <c r="VYT42" s="33"/>
      <c r="VYU42" s="33"/>
      <c r="VYV42" s="33"/>
      <c r="VYW42" s="33"/>
      <c r="VYX42" s="33"/>
      <c r="VYY42" s="33"/>
      <c r="VYZ42" s="33"/>
      <c r="VZA42" s="33"/>
      <c r="VZB42" s="33"/>
      <c r="VZC42" s="33"/>
      <c r="VZD42" s="33"/>
      <c r="VZE42" s="33"/>
      <c r="VZF42" s="33"/>
      <c r="VZG42" s="33"/>
      <c r="VZH42" s="33"/>
      <c r="VZI42" s="33"/>
      <c r="VZJ42" s="33"/>
      <c r="VZK42" s="33"/>
      <c r="VZL42" s="33"/>
      <c r="VZM42" s="33"/>
      <c r="VZN42" s="33"/>
      <c r="VZO42" s="33"/>
      <c r="VZP42" s="33"/>
      <c r="VZQ42" s="33"/>
      <c r="VZR42" s="33"/>
      <c r="VZS42" s="33"/>
      <c r="VZT42" s="33"/>
      <c r="VZU42" s="33"/>
      <c r="VZV42" s="33"/>
      <c r="VZW42" s="33"/>
      <c r="VZX42" s="33"/>
      <c r="VZY42" s="33"/>
      <c r="VZZ42" s="33"/>
      <c r="WAA42" s="33"/>
      <c r="WAB42" s="33"/>
      <c r="WAC42" s="33"/>
      <c r="WAD42" s="33"/>
      <c r="WAE42" s="33"/>
      <c r="WAF42" s="33"/>
      <c r="WAG42" s="33"/>
      <c r="WAH42" s="33"/>
      <c r="WAI42" s="33"/>
      <c r="WAJ42" s="33"/>
      <c r="WAK42" s="33"/>
      <c r="WAL42" s="33"/>
      <c r="WAM42" s="33"/>
      <c r="WAN42" s="33"/>
      <c r="WAO42" s="33"/>
      <c r="WAP42" s="33"/>
      <c r="WAQ42" s="33"/>
      <c r="WAR42" s="33"/>
      <c r="WAS42" s="33"/>
      <c r="WAT42" s="33"/>
      <c r="WAU42" s="33"/>
      <c r="WAV42" s="33"/>
      <c r="WAW42" s="33"/>
      <c r="WAX42" s="33"/>
      <c r="WAY42" s="33"/>
      <c r="WAZ42" s="33"/>
      <c r="WBA42" s="33"/>
      <c r="WBB42" s="33"/>
      <c r="WBC42" s="33"/>
      <c r="WBD42" s="33"/>
      <c r="WBE42" s="33"/>
      <c r="WBF42" s="33"/>
      <c r="WBG42" s="33"/>
      <c r="WBH42" s="33"/>
      <c r="WBI42" s="33"/>
      <c r="WBJ42" s="33"/>
      <c r="WBK42" s="33"/>
      <c r="WBL42" s="33"/>
      <c r="WBM42" s="33"/>
      <c r="WBN42" s="33"/>
      <c r="WBO42" s="33"/>
      <c r="WBP42" s="33"/>
      <c r="WBQ42" s="33"/>
      <c r="WBR42" s="33"/>
      <c r="WBS42" s="33"/>
      <c r="WBT42" s="33"/>
      <c r="WBU42" s="33"/>
      <c r="WBV42" s="33"/>
      <c r="WBW42" s="33"/>
      <c r="WBX42" s="33"/>
      <c r="WBY42" s="33"/>
      <c r="WBZ42" s="33"/>
      <c r="WCA42" s="33"/>
      <c r="WCB42" s="33"/>
      <c r="WCC42" s="33"/>
      <c r="WCD42" s="33"/>
      <c r="WCE42" s="33"/>
      <c r="WCF42" s="33"/>
      <c r="WCG42" s="33"/>
      <c r="WCH42" s="33"/>
      <c r="WCI42" s="33"/>
      <c r="WCJ42" s="33"/>
      <c r="WCK42" s="33"/>
      <c r="WCL42" s="33"/>
      <c r="WCM42" s="33"/>
      <c r="WCN42" s="33"/>
      <c r="WCO42" s="33"/>
      <c r="WCP42" s="33"/>
      <c r="WCQ42" s="33"/>
      <c r="WCR42" s="33"/>
      <c r="WCS42" s="33"/>
      <c r="WCT42" s="33"/>
      <c r="WCU42" s="33"/>
      <c r="WCV42" s="33"/>
      <c r="WCW42" s="33"/>
      <c r="WCX42" s="33"/>
      <c r="WCY42" s="33"/>
      <c r="WCZ42" s="33"/>
      <c r="WDA42" s="33"/>
      <c r="WDB42" s="33"/>
      <c r="WDC42" s="33"/>
      <c r="WDD42" s="33"/>
      <c r="WDE42" s="33"/>
      <c r="WDF42" s="33"/>
      <c r="WDG42" s="33"/>
      <c r="WDH42" s="33"/>
      <c r="WDI42" s="33"/>
      <c r="WDJ42" s="33"/>
      <c r="WDK42" s="33"/>
      <c r="WDL42" s="33"/>
      <c r="WDM42" s="33"/>
      <c r="WDN42" s="33"/>
      <c r="WDO42" s="33"/>
      <c r="WDP42" s="33"/>
      <c r="WDQ42" s="33"/>
      <c r="WDR42" s="33"/>
      <c r="WDS42" s="33"/>
      <c r="WDT42" s="33"/>
      <c r="WDU42" s="33"/>
      <c r="WDV42" s="33"/>
      <c r="WDW42" s="33"/>
      <c r="WDX42" s="33"/>
      <c r="WDY42" s="33"/>
      <c r="WDZ42" s="33"/>
      <c r="WEA42" s="33"/>
      <c r="WEB42" s="33"/>
      <c r="WEC42" s="33"/>
      <c r="WED42" s="33"/>
      <c r="WEE42" s="33"/>
      <c r="WEF42" s="33"/>
      <c r="WEG42" s="33"/>
      <c r="WEH42" s="33"/>
      <c r="WEI42" s="33"/>
      <c r="WEJ42" s="33"/>
      <c r="WEK42" s="33"/>
      <c r="WEL42" s="33"/>
      <c r="WEM42" s="33"/>
      <c r="WEN42" s="33"/>
      <c r="WEO42" s="33"/>
      <c r="WEP42" s="33"/>
      <c r="WEQ42" s="33"/>
      <c r="WER42" s="33"/>
      <c r="WES42" s="33"/>
      <c r="WET42" s="33"/>
      <c r="WEU42" s="33"/>
      <c r="WEV42" s="33"/>
      <c r="WEW42" s="33"/>
      <c r="WEX42" s="33"/>
      <c r="WEY42" s="33"/>
      <c r="WEZ42" s="33"/>
      <c r="WFA42" s="33"/>
      <c r="WFB42" s="33"/>
      <c r="WFC42" s="33"/>
      <c r="WFD42" s="33"/>
      <c r="WFE42" s="33"/>
      <c r="WFF42" s="33"/>
      <c r="WFG42" s="33"/>
      <c r="WFH42" s="33"/>
      <c r="WFI42" s="33"/>
      <c r="WFJ42" s="33"/>
      <c r="WFK42" s="33"/>
      <c r="WFL42" s="33"/>
      <c r="WFM42" s="33"/>
      <c r="WFN42" s="33"/>
      <c r="WFO42" s="33"/>
      <c r="WFP42" s="33"/>
      <c r="WFQ42" s="33"/>
      <c r="WFR42" s="33"/>
      <c r="WFS42" s="33"/>
      <c r="WFT42" s="33"/>
      <c r="WFU42" s="33"/>
      <c r="WFV42" s="33"/>
      <c r="WFW42" s="33"/>
      <c r="WFX42" s="33"/>
      <c r="WFY42" s="33"/>
      <c r="WFZ42" s="33"/>
      <c r="WGA42" s="33"/>
      <c r="WGB42" s="33"/>
      <c r="WGC42" s="33"/>
      <c r="WGD42" s="33"/>
      <c r="WGE42" s="33"/>
      <c r="WGF42" s="33"/>
      <c r="WGG42" s="33"/>
      <c r="WGH42" s="33"/>
      <c r="WGI42" s="33"/>
      <c r="WGJ42" s="33"/>
      <c r="WGK42" s="33"/>
      <c r="WGL42" s="33"/>
      <c r="WGM42" s="33"/>
      <c r="WGN42" s="33"/>
      <c r="WGO42" s="33"/>
      <c r="WGP42" s="33"/>
      <c r="WGQ42" s="33"/>
      <c r="WGR42" s="33"/>
      <c r="WGS42" s="33"/>
      <c r="WGT42" s="33"/>
      <c r="WGU42" s="33"/>
      <c r="WGV42" s="33"/>
      <c r="WGW42" s="33"/>
      <c r="WGX42" s="33"/>
      <c r="WGY42" s="33"/>
      <c r="WGZ42" s="33"/>
      <c r="WHA42" s="33"/>
      <c r="WHB42" s="33"/>
      <c r="WHC42" s="33"/>
      <c r="WHD42" s="33"/>
      <c r="WHE42" s="33"/>
      <c r="WHF42" s="33"/>
      <c r="WHG42" s="33"/>
      <c r="WHH42" s="33"/>
      <c r="WHI42" s="33"/>
      <c r="WHJ42" s="33"/>
      <c r="WHK42" s="33"/>
      <c r="WHL42" s="33"/>
      <c r="WHM42" s="33"/>
      <c r="WHN42" s="33"/>
      <c r="WHO42" s="33"/>
      <c r="WHP42" s="33"/>
      <c r="WHQ42" s="33"/>
      <c r="WHR42" s="33"/>
      <c r="WHS42" s="33"/>
      <c r="WHT42" s="33"/>
      <c r="WHU42" s="33"/>
      <c r="WHV42" s="33"/>
      <c r="WHW42" s="33"/>
      <c r="WHX42" s="33"/>
      <c r="WHY42" s="33"/>
      <c r="WHZ42" s="33"/>
      <c r="WIA42" s="33"/>
      <c r="WIB42" s="33"/>
      <c r="WIC42" s="33"/>
      <c r="WID42" s="33"/>
      <c r="WIE42" s="33"/>
      <c r="WIF42" s="33"/>
      <c r="WIG42" s="33"/>
      <c r="WIH42" s="33"/>
      <c r="WII42" s="33"/>
      <c r="WIJ42" s="33"/>
      <c r="WIK42" s="33"/>
      <c r="WIL42" s="33"/>
      <c r="WIM42" s="33"/>
      <c r="WIN42" s="33"/>
      <c r="WIO42" s="33"/>
      <c r="WIP42" s="33"/>
      <c r="WIQ42" s="33"/>
      <c r="WIR42" s="33"/>
      <c r="WIS42" s="33"/>
      <c r="WIT42" s="33"/>
      <c r="WIU42" s="33"/>
      <c r="WIV42" s="33"/>
      <c r="WIW42" s="33"/>
      <c r="WIX42" s="33"/>
      <c r="WIY42" s="33"/>
      <c r="WIZ42" s="33"/>
      <c r="WJA42" s="33"/>
      <c r="WJB42" s="33"/>
      <c r="WJC42" s="33"/>
      <c r="WJD42" s="33"/>
      <c r="WJE42" s="33"/>
      <c r="WJF42" s="33"/>
      <c r="WJG42" s="33"/>
      <c r="WJH42" s="33"/>
      <c r="WJI42" s="33"/>
      <c r="WJJ42" s="33"/>
      <c r="WJK42" s="33"/>
      <c r="WJL42" s="33"/>
      <c r="WJM42" s="33"/>
      <c r="WJN42" s="33"/>
      <c r="WJO42" s="33"/>
      <c r="WJP42" s="33"/>
      <c r="WJQ42" s="33"/>
      <c r="WJR42" s="33"/>
      <c r="WJS42" s="33"/>
      <c r="WJT42" s="33"/>
      <c r="WJU42" s="33"/>
      <c r="WJV42" s="33"/>
      <c r="WJW42" s="33"/>
      <c r="WJX42" s="33"/>
      <c r="WJY42" s="33"/>
      <c r="WJZ42" s="33"/>
      <c r="WKA42" s="33"/>
      <c r="WKB42" s="33"/>
      <c r="WKC42" s="33"/>
      <c r="WKD42" s="33"/>
      <c r="WKE42" s="33"/>
      <c r="WKF42" s="33"/>
      <c r="WKG42" s="33"/>
      <c r="WKH42" s="33"/>
      <c r="WKI42" s="33"/>
      <c r="WKJ42" s="33"/>
      <c r="WKK42" s="33"/>
      <c r="WKL42" s="33"/>
      <c r="WKM42" s="33"/>
      <c r="WKN42" s="33"/>
      <c r="WKO42" s="33"/>
      <c r="WKP42" s="33"/>
      <c r="WKQ42" s="33"/>
      <c r="WKR42" s="33"/>
      <c r="WKS42" s="33"/>
      <c r="WKT42" s="33"/>
      <c r="WKU42" s="33"/>
      <c r="WKV42" s="33"/>
      <c r="WKW42" s="33"/>
      <c r="WKX42" s="33"/>
      <c r="WKY42" s="33"/>
      <c r="WKZ42" s="33"/>
      <c r="WLA42" s="33"/>
      <c r="WLB42" s="33"/>
      <c r="WLC42" s="33"/>
      <c r="WLD42" s="33"/>
      <c r="WLE42" s="33"/>
      <c r="WLF42" s="33"/>
      <c r="WLG42" s="33"/>
      <c r="WLH42" s="33"/>
      <c r="WLI42" s="33"/>
      <c r="WLJ42" s="33"/>
      <c r="WLK42" s="33"/>
      <c r="WLL42" s="33"/>
      <c r="WLM42" s="33"/>
      <c r="WLN42" s="33"/>
      <c r="WLO42" s="33"/>
      <c r="WLP42" s="33"/>
      <c r="WLQ42" s="33"/>
      <c r="WLR42" s="33"/>
      <c r="WLS42" s="33"/>
      <c r="WLT42" s="33"/>
      <c r="WLU42" s="33"/>
      <c r="WLV42" s="33"/>
      <c r="WLW42" s="33"/>
      <c r="WLX42" s="33"/>
      <c r="WLY42" s="33"/>
      <c r="WLZ42" s="33"/>
      <c r="WMA42" s="33"/>
      <c r="WMB42" s="33"/>
      <c r="WMC42" s="33"/>
      <c r="WMD42" s="33"/>
      <c r="WME42" s="33"/>
      <c r="WMF42" s="33"/>
      <c r="WMG42" s="33"/>
      <c r="WMH42" s="33"/>
      <c r="WMI42" s="33"/>
      <c r="WMJ42" s="33"/>
      <c r="WMK42" s="33"/>
      <c r="WML42" s="33"/>
      <c r="WMM42" s="33"/>
      <c r="WMN42" s="33"/>
      <c r="WMO42" s="33"/>
      <c r="WMP42" s="33"/>
      <c r="WMQ42" s="33"/>
      <c r="WMR42" s="33"/>
      <c r="WMS42" s="33"/>
      <c r="WMT42" s="33"/>
      <c r="WMU42" s="33"/>
      <c r="WMV42" s="33"/>
      <c r="WMW42" s="33"/>
      <c r="WMX42" s="33"/>
      <c r="WMY42" s="33"/>
      <c r="WMZ42" s="33"/>
      <c r="WNA42" s="33"/>
      <c r="WNB42" s="33"/>
      <c r="WNC42" s="33"/>
      <c r="WND42" s="33"/>
      <c r="WNE42" s="33"/>
      <c r="WNF42" s="33"/>
      <c r="WNG42" s="33"/>
      <c r="WNH42" s="33"/>
      <c r="WNI42" s="33"/>
      <c r="WNJ42" s="33"/>
      <c r="WNK42" s="33"/>
      <c r="WNL42" s="33"/>
      <c r="WNM42" s="33"/>
      <c r="WNN42" s="33"/>
      <c r="WNO42" s="33"/>
      <c r="WNP42" s="33"/>
      <c r="WNQ42" s="33"/>
      <c r="WNR42" s="33"/>
      <c r="WNS42" s="33"/>
      <c r="WNT42" s="33"/>
      <c r="WNU42" s="33"/>
      <c r="WNV42" s="33"/>
      <c r="WNW42" s="33"/>
      <c r="WNX42" s="33"/>
      <c r="WNY42" s="33"/>
      <c r="WNZ42" s="33"/>
      <c r="WOA42" s="33"/>
      <c r="WOB42" s="33"/>
      <c r="WOC42" s="33"/>
      <c r="WOD42" s="33"/>
      <c r="WOE42" s="33"/>
      <c r="WOF42" s="33"/>
      <c r="WOG42" s="33"/>
      <c r="WOH42" s="33"/>
      <c r="WOI42" s="33"/>
      <c r="WOJ42" s="33"/>
      <c r="WOK42" s="33"/>
      <c r="WOL42" s="33"/>
      <c r="WOM42" s="33"/>
      <c r="WON42" s="33"/>
      <c r="WOO42" s="33"/>
      <c r="WOP42" s="33"/>
      <c r="WOQ42" s="33"/>
      <c r="WOR42" s="33"/>
      <c r="WOS42" s="33"/>
      <c r="WOT42" s="33"/>
      <c r="WOU42" s="33"/>
      <c r="WOV42" s="33"/>
      <c r="WOW42" s="33"/>
      <c r="WOX42" s="33"/>
      <c r="WOY42" s="33"/>
      <c r="WOZ42" s="33"/>
      <c r="WPA42" s="33"/>
      <c r="WPB42" s="33"/>
      <c r="WPC42" s="33"/>
      <c r="WPD42" s="33"/>
      <c r="WPE42" s="33"/>
      <c r="WPF42" s="33"/>
      <c r="WPG42" s="33"/>
      <c r="WPH42" s="33"/>
      <c r="WPI42" s="33"/>
      <c r="WPJ42" s="33"/>
      <c r="WPK42" s="33"/>
      <c r="WPL42" s="33"/>
      <c r="WPM42" s="33"/>
      <c r="WPN42" s="33"/>
      <c r="WPO42" s="33"/>
      <c r="WPP42" s="33"/>
      <c r="WPQ42" s="33"/>
      <c r="WPR42" s="33"/>
      <c r="WPS42" s="33"/>
      <c r="WPT42" s="33"/>
      <c r="WPU42" s="33"/>
      <c r="WPV42" s="33"/>
      <c r="WPW42" s="33"/>
      <c r="WPX42" s="33"/>
      <c r="WPY42" s="33"/>
      <c r="WPZ42" s="33"/>
      <c r="WQA42" s="33"/>
      <c r="WQB42" s="33"/>
      <c r="WQC42" s="33"/>
      <c r="WQD42" s="33"/>
      <c r="WQE42" s="33"/>
      <c r="WQF42" s="33"/>
      <c r="WQG42" s="33"/>
      <c r="WQH42" s="33"/>
      <c r="WQI42" s="33"/>
      <c r="WQJ42" s="33"/>
      <c r="WQK42" s="33"/>
      <c r="WQL42" s="33"/>
      <c r="WQM42" s="33"/>
      <c r="WQN42" s="33"/>
      <c r="WQO42" s="33"/>
      <c r="WQP42" s="33"/>
      <c r="WQQ42" s="33"/>
      <c r="WQR42" s="33"/>
      <c r="WQS42" s="33"/>
      <c r="WQT42" s="33"/>
      <c r="WQU42" s="33"/>
      <c r="WQV42" s="33"/>
      <c r="WQW42" s="33"/>
      <c r="WQX42" s="33"/>
      <c r="WQY42" s="33"/>
      <c r="WQZ42" s="33"/>
      <c r="WRA42" s="33"/>
      <c r="WRB42" s="33"/>
      <c r="WRC42" s="33"/>
      <c r="WRD42" s="33"/>
      <c r="WRE42" s="33"/>
      <c r="WRF42" s="33"/>
      <c r="WRG42" s="33"/>
      <c r="WRH42" s="33"/>
      <c r="WRI42" s="33"/>
      <c r="WRJ42" s="33"/>
      <c r="WRK42" s="33"/>
      <c r="WRL42" s="33"/>
      <c r="WRM42" s="33"/>
      <c r="WRN42" s="33"/>
      <c r="WRO42" s="33"/>
      <c r="WRP42" s="33"/>
      <c r="WRQ42" s="33"/>
      <c r="WRR42" s="33"/>
      <c r="WRS42" s="33"/>
      <c r="WRT42" s="33"/>
      <c r="WRU42" s="33"/>
      <c r="WRV42" s="33"/>
      <c r="WRW42" s="33"/>
      <c r="WRX42" s="33"/>
      <c r="WRY42" s="33"/>
      <c r="WRZ42" s="33"/>
      <c r="WSA42" s="33"/>
      <c r="WSB42" s="33"/>
      <c r="WSC42" s="33"/>
      <c r="WSD42" s="33"/>
      <c r="WSE42" s="33"/>
      <c r="WSF42" s="33"/>
      <c r="WSG42" s="33"/>
      <c r="WSH42" s="33"/>
      <c r="WSI42" s="33"/>
      <c r="WSJ42" s="33"/>
      <c r="WSK42" s="33"/>
      <c r="WSL42" s="33"/>
      <c r="WSM42" s="33"/>
      <c r="WSN42" s="33"/>
      <c r="WSO42" s="33"/>
      <c r="WSP42" s="33"/>
      <c r="WSQ42" s="33"/>
      <c r="WSR42" s="33"/>
      <c r="WSS42" s="33"/>
      <c r="WST42" s="33"/>
      <c r="WSU42" s="33"/>
      <c r="WSV42" s="33"/>
      <c r="WSW42" s="33"/>
      <c r="WSX42" s="33"/>
      <c r="WSY42" s="33"/>
      <c r="WSZ42" s="33"/>
      <c r="WTA42" s="33"/>
      <c r="WTB42" s="33"/>
      <c r="WTC42" s="33"/>
      <c r="WTD42" s="33"/>
      <c r="WTE42" s="33"/>
      <c r="WTF42" s="33"/>
      <c r="WTG42" s="33"/>
      <c r="WTH42" s="33"/>
      <c r="WTI42" s="33"/>
      <c r="WTJ42" s="33"/>
      <c r="WTK42" s="33"/>
      <c r="WTL42" s="33"/>
      <c r="WTM42" s="33"/>
      <c r="WTN42" s="33"/>
      <c r="WTO42" s="33"/>
      <c r="WTP42" s="33"/>
      <c r="WTQ42" s="33"/>
      <c r="WTR42" s="33"/>
      <c r="WTS42" s="33"/>
      <c r="WTT42" s="33"/>
      <c r="WTU42" s="33"/>
      <c r="WTV42" s="33"/>
      <c r="WTW42" s="33"/>
      <c r="WTX42" s="33"/>
      <c r="WTY42" s="33"/>
      <c r="WTZ42" s="33"/>
      <c r="WUA42" s="33"/>
      <c r="WUB42" s="33"/>
      <c r="WUC42" s="33"/>
      <c r="WUD42" s="33"/>
      <c r="WUE42" s="33"/>
      <c r="WUF42" s="33"/>
      <c r="WUG42" s="33"/>
      <c r="WUH42" s="33"/>
      <c r="WUI42" s="33"/>
      <c r="WUJ42" s="33"/>
      <c r="WUK42" s="33"/>
      <c r="WUL42" s="33"/>
      <c r="WUM42" s="33"/>
      <c r="WUN42" s="33"/>
      <c r="WUO42" s="33"/>
      <c r="WUP42" s="33"/>
      <c r="WUQ42" s="33"/>
      <c r="WUR42" s="33"/>
      <c r="WUS42" s="33"/>
      <c r="WUT42" s="33"/>
      <c r="WUU42" s="33"/>
      <c r="WUV42" s="33"/>
      <c r="WUW42" s="33"/>
      <c r="WUX42" s="33"/>
      <c r="WUY42" s="33"/>
      <c r="WUZ42" s="33"/>
      <c r="WVA42" s="33"/>
      <c r="WVB42" s="33"/>
      <c r="WVC42" s="33"/>
      <c r="WVD42" s="33"/>
      <c r="WVE42" s="33"/>
      <c r="WVF42" s="33"/>
      <c r="WVG42" s="33"/>
      <c r="WVH42" s="33"/>
      <c r="WVI42" s="33"/>
      <c r="WVJ42" s="33"/>
      <c r="WVK42" s="33"/>
      <c r="WVL42" s="33"/>
      <c r="WVM42" s="33"/>
      <c r="WVN42" s="33"/>
      <c r="WVO42" s="33"/>
      <c r="WVP42" s="33"/>
      <c r="WVQ42" s="33"/>
      <c r="WVR42" s="33"/>
      <c r="WVS42" s="33"/>
      <c r="WVT42" s="33"/>
      <c r="WVU42" s="33"/>
      <c r="WVV42" s="33"/>
      <c r="WVW42" s="33"/>
      <c r="WVX42" s="33"/>
      <c r="WVY42" s="33"/>
      <c r="WVZ42" s="33"/>
      <c r="WWA42" s="33"/>
      <c r="WWB42" s="33"/>
      <c r="WWC42" s="33"/>
      <c r="WWD42" s="33"/>
      <c r="WWE42" s="33"/>
      <c r="WWF42" s="33"/>
      <c r="WWG42" s="33"/>
      <c r="WWH42" s="33"/>
      <c r="WWI42" s="33"/>
      <c r="WWJ42" s="33"/>
      <c r="WWK42" s="33"/>
      <c r="WWL42" s="33"/>
      <c r="WWM42" s="33"/>
      <c r="WWN42" s="33"/>
      <c r="WWO42" s="33"/>
      <c r="WWP42" s="33"/>
      <c r="WWQ42" s="33"/>
      <c r="WWR42" s="33"/>
      <c r="WWS42" s="33"/>
      <c r="WWT42" s="33"/>
      <c r="WWU42" s="33"/>
      <c r="WWV42" s="33"/>
      <c r="WWW42" s="33"/>
      <c r="WWX42" s="33"/>
      <c r="WWY42" s="33"/>
      <c r="WWZ42" s="33"/>
      <c r="WXA42" s="33"/>
      <c r="WXB42" s="33"/>
      <c r="WXC42" s="33"/>
      <c r="WXD42" s="33"/>
      <c r="WXE42" s="33"/>
      <c r="WXF42" s="33"/>
      <c r="WXG42" s="33"/>
      <c r="WXH42" s="33"/>
      <c r="WXI42" s="33"/>
      <c r="WXJ42" s="33"/>
      <c r="WXK42" s="33"/>
      <c r="WXL42" s="33"/>
      <c r="WXM42" s="33"/>
      <c r="WXN42" s="33"/>
      <c r="WXO42" s="33"/>
      <c r="WXP42" s="33"/>
      <c r="WXQ42" s="33"/>
      <c r="WXR42" s="33"/>
      <c r="WXS42" s="33"/>
      <c r="WXT42" s="33"/>
      <c r="WXU42" s="33"/>
      <c r="WXV42" s="33"/>
      <c r="WXW42" s="33"/>
      <c r="WXX42" s="33"/>
      <c r="WXY42" s="33"/>
      <c r="WXZ42" s="33"/>
      <c r="WYA42" s="33"/>
      <c r="WYB42" s="33"/>
      <c r="WYC42" s="33"/>
      <c r="WYD42" s="33"/>
      <c r="WYE42" s="33"/>
      <c r="WYF42" s="33"/>
      <c r="WYG42" s="33"/>
      <c r="WYH42" s="33"/>
      <c r="WYI42" s="33"/>
      <c r="WYJ42" s="33"/>
      <c r="WYK42" s="33"/>
      <c r="WYL42" s="33"/>
      <c r="WYM42" s="33"/>
      <c r="WYN42" s="33"/>
      <c r="WYO42" s="33"/>
      <c r="WYP42" s="33"/>
      <c r="WYQ42" s="33"/>
      <c r="WYR42" s="33"/>
      <c r="WYS42" s="33"/>
      <c r="WYT42" s="33"/>
      <c r="WYU42" s="33"/>
      <c r="WYV42" s="33"/>
      <c r="WYW42" s="33"/>
      <c r="WYX42" s="33"/>
      <c r="WYY42" s="33"/>
      <c r="WYZ42" s="33"/>
      <c r="WZA42" s="33"/>
      <c r="WZB42" s="33"/>
      <c r="WZC42" s="33"/>
      <c r="WZD42" s="33"/>
      <c r="WZE42" s="33"/>
      <c r="WZF42" s="33"/>
      <c r="WZG42" s="33"/>
      <c r="WZH42" s="33"/>
      <c r="WZI42" s="33"/>
      <c r="WZJ42" s="33"/>
      <c r="WZK42" s="33"/>
      <c r="WZL42" s="33"/>
      <c r="WZM42" s="33"/>
      <c r="WZN42" s="33"/>
      <c r="WZO42" s="33"/>
      <c r="WZP42" s="33"/>
      <c r="WZQ42" s="33"/>
      <c r="WZR42" s="33"/>
      <c r="WZS42" s="33"/>
      <c r="WZT42" s="33"/>
      <c r="WZU42" s="33"/>
      <c r="WZV42" s="33"/>
      <c r="WZW42" s="33"/>
      <c r="WZX42" s="33"/>
      <c r="WZY42" s="33"/>
      <c r="WZZ42" s="33"/>
      <c r="XAA42" s="33"/>
      <c r="XAB42" s="33"/>
      <c r="XAC42" s="33"/>
      <c r="XAD42" s="33"/>
      <c r="XAE42" s="33"/>
      <c r="XAF42" s="33"/>
      <c r="XAG42" s="33"/>
      <c r="XAH42" s="33"/>
      <c r="XAI42" s="33"/>
      <c r="XAJ42" s="33"/>
      <c r="XAK42" s="33"/>
      <c r="XAL42" s="33"/>
      <c r="XAM42" s="33"/>
      <c r="XAN42" s="33"/>
      <c r="XAO42" s="33"/>
      <c r="XAP42" s="33"/>
      <c r="XAQ42" s="33"/>
      <c r="XAR42" s="33"/>
      <c r="XAS42" s="33"/>
      <c r="XAT42" s="33"/>
      <c r="XAU42" s="33"/>
      <c r="XAV42" s="33"/>
      <c r="XAW42" s="33"/>
      <c r="XAX42" s="33"/>
      <c r="XAY42" s="33"/>
      <c r="XAZ42" s="33"/>
      <c r="XBA42" s="33"/>
      <c r="XBB42" s="33"/>
      <c r="XBC42" s="33"/>
      <c r="XBD42" s="33"/>
      <c r="XBE42" s="33"/>
      <c r="XBF42" s="33"/>
      <c r="XBG42" s="33"/>
      <c r="XBH42" s="33"/>
      <c r="XBI42" s="33"/>
      <c r="XBJ42" s="33"/>
      <c r="XBK42" s="33"/>
      <c r="XBL42" s="33"/>
      <c r="XBM42" s="33"/>
      <c r="XBN42" s="33"/>
      <c r="XBO42" s="33"/>
      <c r="XBP42" s="33"/>
      <c r="XBQ42" s="33"/>
      <c r="XBR42" s="33"/>
      <c r="XBS42" s="33"/>
      <c r="XBT42" s="33"/>
      <c r="XBU42" s="33"/>
      <c r="XBV42" s="33"/>
      <c r="XBW42" s="33"/>
      <c r="XBX42" s="33"/>
      <c r="XBY42" s="33"/>
      <c r="XBZ42" s="33"/>
      <c r="XCA42" s="33"/>
      <c r="XCB42" s="33"/>
      <c r="XCC42" s="33"/>
      <c r="XCD42" s="33"/>
      <c r="XCE42" s="33"/>
      <c r="XCF42" s="33"/>
      <c r="XCG42" s="33"/>
      <c r="XCH42" s="33"/>
      <c r="XCI42" s="33"/>
      <c r="XCJ42" s="33"/>
      <c r="XCK42" s="33"/>
      <c r="XCL42" s="33"/>
      <c r="XCM42" s="33"/>
      <c r="XCN42" s="33"/>
      <c r="XCO42" s="33"/>
      <c r="XCP42" s="33"/>
      <c r="XCQ42" s="33"/>
      <c r="XCR42" s="33"/>
      <c r="XCS42" s="33"/>
      <c r="XCT42" s="33"/>
      <c r="XCU42" s="33"/>
      <c r="XCV42" s="33"/>
      <c r="XCW42" s="33"/>
      <c r="XCX42" s="33"/>
      <c r="XCY42" s="33"/>
      <c r="XCZ42" s="33"/>
      <c r="XDA42" s="33"/>
      <c r="XDB42" s="33"/>
      <c r="XDC42" s="33"/>
      <c r="XDD42" s="33"/>
      <c r="XDE42" s="33"/>
      <c r="XDF42" s="33"/>
      <c r="XDG42" s="33"/>
      <c r="XDH42" s="33"/>
      <c r="XDI42" s="33"/>
      <c r="XDJ42" s="33"/>
      <c r="XDK42" s="33"/>
      <c r="XDL42" s="33"/>
      <c r="XDM42" s="33"/>
      <c r="XDN42" s="33"/>
      <c r="XDO42" s="33"/>
      <c r="XDP42" s="33"/>
      <c r="XDQ42" s="33"/>
      <c r="XDR42" s="33"/>
      <c r="XDS42" s="33"/>
      <c r="XDT42" s="33"/>
      <c r="XDU42" s="33"/>
      <c r="XDV42" s="33"/>
      <c r="XDW42" s="33"/>
      <c r="XDX42" s="33"/>
      <c r="XDY42" s="33"/>
      <c r="XDZ42" s="33"/>
      <c r="XEA42" s="33"/>
      <c r="XEB42" s="33"/>
      <c r="XEC42" s="33"/>
      <c r="XED42" s="33"/>
      <c r="XEE42" s="33"/>
      <c r="XEF42" s="33"/>
      <c r="XEG42" s="33"/>
      <c r="XEH42" s="33"/>
      <c r="XEI42" s="33"/>
      <c r="XEJ42" s="33"/>
      <c r="XEK42" s="33"/>
      <c r="XEL42" s="33"/>
      <c r="XEM42" s="33"/>
      <c r="XEN42" s="33"/>
      <c r="XEO42" s="33"/>
      <c r="XEP42" s="33"/>
      <c r="XEQ42" s="33"/>
      <c r="XER42" s="33"/>
      <c r="XES42" s="33"/>
      <c r="XET42" s="33"/>
      <c r="XEU42" s="33"/>
      <c r="XEV42" s="33"/>
      <c r="XEW42" s="33"/>
      <c r="XEX42" s="33"/>
      <c r="XEY42" s="33"/>
      <c r="XEZ42" s="33"/>
      <c r="XFA42" s="33"/>
      <c r="XFB42" s="33"/>
      <c r="XFC42" s="33"/>
    </row>
    <row r="43" spans="1:16383" s="1" customFormat="1" ht="26.25" customHeight="1">
      <c r="A43" s="176"/>
      <c r="B43" s="177"/>
      <c r="C43" s="177"/>
      <c r="D43" s="177"/>
      <c r="E43" s="177"/>
      <c r="F43" s="177"/>
      <c r="G43" s="177"/>
      <c r="H43" s="177"/>
      <c r="I43" s="177"/>
      <c r="J43" s="177"/>
      <c r="K43" s="177"/>
      <c r="L43" s="177"/>
      <c r="M43" s="177"/>
      <c r="N43" s="177"/>
      <c r="O43" s="177"/>
      <c r="P43" s="177"/>
      <c r="Q43" s="177"/>
      <c r="R43" s="177"/>
      <c r="S43" s="177"/>
      <c r="T43" s="178"/>
      <c r="U43" s="12"/>
      <c r="V43" s="12"/>
      <c r="W43" s="12"/>
      <c r="X43" s="12"/>
      <c r="Y43" s="12"/>
      <c r="Z43" s="12"/>
      <c r="AA43" s="12"/>
      <c r="AB43" s="12"/>
      <c r="AC43" s="12"/>
      <c r="AD43" s="12"/>
      <c r="AE43" s="12"/>
      <c r="AF43" s="12"/>
      <c r="AG43" s="12"/>
      <c r="AH43" s="12"/>
      <c r="AI43" s="12"/>
      <c r="AJ43" s="12"/>
      <c r="AK43" s="12"/>
      <c r="AL43" s="12"/>
      <c r="AM43" s="12"/>
      <c r="AN43" s="12"/>
      <c r="AO43" s="12"/>
      <c r="AP43" s="12"/>
      <c r="AQ43" s="12"/>
      <c r="AR43" s="12"/>
      <c r="AS43" s="12"/>
      <c r="AT43" s="12"/>
      <c r="AU43" s="12"/>
      <c r="AV43" s="12"/>
      <c r="AW43" s="12"/>
      <c r="AX43" s="12"/>
      <c r="AY43" s="12"/>
      <c r="AZ43" s="12"/>
      <c r="BA43" s="12"/>
      <c r="BB43" s="12"/>
      <c r="BC43" s="12"/>
      <c r="BD43" s="12"/>
      <c r="BE43" s="12"/>
      <c r="BF43" s="12"/>
      <c r="BG43" s="12"/>
      <c r="BH43" s="12"/>
      <c r="BI43" s="12"/>
      <c r="BJ43" s="12"/>
      <c r="BK43" s="12"/>
      <c r="BL43" s="12"/>
      <c r="BM43" s="12"/>
      <c r="BN43" s="12"/>
      <c r="BO43" s="12"/>
      <c r="BP43" s="12"/>
      <c r="BQ43" s="12"/>
      <c r="BR43" s="12"/>
      <c r="BS43" s="12"/>
      <c r="BT43" s="12"/>
      <c r="BU43" s="33"/>
      <c r="BV43" s="33"/>
      <c r="BW43" s="33"/>
      <c r="BX43" s="33"/>
      <c r="BY43" s="33"/>
      <c r="BZ43" s="33"/>
      <c r="CA43" s="33"/>
      <c r="CB43" s="33"/>
      <c r="CC43" s="33"/>
      <c r="CD43" s="33"/>
      <c r="CE43" s="33"/>
      <c r="CF43" s="33"/>
      <c r="CG43" s="33"/>
      <c r="CH43" s="33"/>
      <c r="CI43" s="33"/>
      <c r="CJ43" s="33"/>
      <c r="CK43" s="33"/>
      <c r="CL43" s="33"/>
      <c r="CM43" s="33"/>
      <c r="CN43" s="33"/>
      <c r="CO43" s="33"/>
      <c r="CP43" s="33"/>
      <c r="CQ43" s="33"/>
      <c r="CR43" s="33"/>
      <c r="CS43" s="33"/>
      <c r="CT43" s="33"/>
      <c r="CU43" s="33"/>
      <c r="CV43" s="33"/>
      <c r="CW43" s="33"/>
      <c r="CX43" s="33"/>
      <c r="CY43" s="33"/>
      <c r="CZ43" s="33"/>
      <c r="DA43" s="33"/>
      <c r="DB43" s="33"/>
      <c r="DC43" s="33"/>
      <c r="DD43" s="33"/>
      <c r="DE43" s="33"/>
      <c r="DF43" s="33"/>
      <c r="DG43" s="33"/>
      <c r="DH43" s="33"/>
      <c r="DI43" s="33"/>
      <c r="DJ43" s="33"/>
      <c r="DK43" s="33"/>
      <c r="DL43" s="33"/>
      <c r="DM43" s="33"/>
      <c r="DN43" s="33"/>
      <c r="DO43" s="33"/>
      <c r="DP43" s="33"/>
      <c r="DQ43" s="33"/>
      <c r="DR43" s="33"/>
      <c r="DS43" s="33"/>
      <c r="DT43" s="33"/>
      <c r="DU43" s="33"/>
      <c r="DV43" s="33"/>
      <c r="DW43" s="33"/>
      <c r="DX43" s="33"/>
      <c r="DY43" s="33"/>
      <c r="DZ43" s="33"/>
      <c r="EA43" s="33"/>
      <c r="EB43" s="33"/>
      <c r="EC43" s="33"/>
      <c r="ED43" s="33"/>
      <c r="EE43" s="33"/>
      <c r="EF43" s="33"/>
      <c r="EG43" s="33"/>
      <c r="EH43" s="33"/>
      <c r="EI43" s="33"/>
      <c r="EJ43" s="33"/>
      <c r="EK43" s="33"/>
      <c r="EL43" s="33"/>
      <c r="EM43" s="33"/>
      <c r="EN43" s="33"/>
      <c r="EO43" s="33"/>
      <c r="EP43" s="33"/>
      <c r="EQ43" s="33"/>
      <c r="ER43" s="33"/>
      <c r="ES43" s="33"/>
      <c r="ET43" s="33"/>
      <c r="EU43" s="33"/>
      <c r="EV43" s="33"/>
      <c r="EW43" s="33"/>
      <c r="EX43" s="33"/>
      <c r="EY43" s="33"/>
      <c r="EZ43" s="33"/>
      <c r="FA43" s="33"/>
      <c r="FB43" s="33"/>
      <c r="FC43" s="33"/>
      <c r="FD43" s="33"/>
      <c r="FE43" s="33"/>
      <c r="FF43" s="33"/>
      <c r="FG43" s="33"/>
      <c r="FH43" s="33"/>
      <c r="FI43" s="33"/>
      <c r="FJ43" s="33"/>
      <c r="FK43" s="33"/>
      <c r="FL43" s="33"/>
      <c r="FM43" s="33"/>
      <c r="FN43" s="33"/>
      <c r="FO43" s="33"/>
      <c r="FP43" s="33"/>
      <c r="FQ43" s="33"/>
      <c r="FR43" s="33"/>
      <c r="FS43" s="33"/>
      <c r="FT43" s="33"/>
      <c r="FU43" s="33"/>
      <c r="FV43" s="33"/>
      <c r="FW43" s="33"/>
      <c r="FX43" s="33"/>
      <c r="FY43" s="33"/>
      <c r="FZ43" s="33"/>
      <c r="GA43" s="33"/>
      <c r="GB43" s="33"/>
      <c r="GC43" s="33"/>
      <c r="GD43" s="33"/>
      <c r="GE43" s="33"/>
      <c r="GF43" s="33"/>
      <c r="GG43" s="33"/>
      <c r="GH43" s="33"/>
      <c r="GI43" s="33"/>
      <c r="GJ43" s="33"/>
      <c r="GK43" s="33"/>
      <c r="GL43" s="33"/>
      <c r="GM43" s="33"/>
      <c r="GN43" s="33"/>
      <c r="GO43" s="33"/>
      <c r="GP43" s="33"/>
      <c r="GQ43" s="33"/>
      <c r="GR43" s="33"/>
      <c r="GS43" s="33"/>
      <c r="GT43" s="33"/>
      <c r="GU43" s="33"/>
      <c r="GV43" s="33"/>
      <c r="GW43" s="33"/>
      <c r="GX43" s="33"/>
      <c r="GY43" s="33"/>
      <c r="GZ43" s="33"/>
      <c r="HA43" s="33"/>
      <c r="HB43" s="33"/>
      <c r="HC43" s="33"/>
      <c r="HD43" s="33"/>
      <c r="HE43" s="33"/>
      <c r="HF43" s="33"/>
      <c r="HG43" s="33"/>
      <c r="HH43" s="33"/>
      <c r="HI43" s="33"/>
      <c r="HJ43" s="33"/>
      <c r="HK43" s="33"/>
      <c r="HL43" s="33"/>
      <c r="HM43" s="33"/>
      <c r="HN43" s="33"/>
      <c r="HO43" s="33"/>
      <c r="HP43" s="33"/>
      <c r="HQ43" s="33"/>
      <c r="HR43" s="33"/>
      <c r="HS43" s="33"/>
      <c r="HT43" s="33"/>
      <c r="HU43" s="33"/>
      <c r="HV43" s="33"/>
      <c r="HW43" s="33"/>
      <c r="HX43" s="33"/>
      <c r="HY43" s="33"/>
      <c r="HZ43" s="33"/>
      <c r="IA43" s="33"/>
      <c r="IB43" s="33"/>
      <c r="IC43" s="33"/>
      <c r="ID43" s="33"/>
      <c r="IE43" s="33"/>
      <c r="IF43" s="33"/>
      <c r="IG43" s="33"/>
      <c r="IH43" s="33"/>
      <c r="II43" s="33"/>
      <c r="IJ43" s="33"/>
      <c r="IK43" s="33"/>
      <c r="IL43" s="33"/>
      <c r="IM43" s="33"/>
      <c r="IN43" s="33"/>
      <c r="IO43" s="33"/>
      <c r="IP43" s="33"/>
      <c r="IQ43" s="33"/>
      <c r="IR43" s="33"/>
      <c r="IS43" s="33"/>
      <c r="IT43" s="33"/>
      <c r="IU43" s="33"/>
      <c r="IV43" s="33"/>
      <c r="IW43" s="33"/>
      <c r="IX43" s="33"/>
      <c r="IY43" s="33"/>
      <c r="IZ43" s="33"/>
      <c r="JA43" s="33"/>
      <c r="JB43" s="33"/>
      <c r="JC43" s="33"/>
      <c r="JD43" s="33"/>
      <c r="JE43" s="33"/>
      <c r="JF43" s="33"/>
      <c r="JG43" s="33"/>
      <c r="JH43" s="33"/>
      <c r="JI43" s="33"/>
      <c r="JJ43" s="33"/>
      <c r="JK43" s="33"/>
      <c r="JL43" s="33"/>
      <c r="JM43" s="33"/>
      <c r="JN43" s="33"/>
      <c r="JO43" s="33"/>
      <c r="JP43" s="33"/>
      <c r="JQ43" s="33"/>
      <c r="JR43" s="33"/>
      <c r="JS43" s="33"/>
      <c r="JT43" s="33"/>
      <c r="JU43" s="33"/>
      <c r="JV43" s="33"/>
      <c r="JW43" s="33"/>
      <c r="JX43" s="33"/>
      <c r="JY43" s="33"/>
      <c r="JZ43" s="33"/>
      <c r="KA43" s="33"/>
      <c r="KB43" s="33"/>
      <c r="KC43" s="33"/>
      <c r="KD43" s="33"/>
      <c r="KE43" s="33"/>
      <c r="KF43" s="33"/>
      <c r="KG43" s="33"/>
      <c r="KH43" s="33"/>
      <c r="KI43" s="33"/>
      <c r="KJ43" s="33"/>
      <c r="KK43" s="33"/>
      <c r="KL43" s="33"/>
      <c r="KM43" s="33"/>
      <c r="KN43" s="33"/>
      <c r="KO43" s="33"/>
      <c r="KP43" s="33"/>
      <c r="KQ43" s="33"/>
      <c r="KR43" s="33"/>
      <c r="KS43" s="33"/>
      <c r="KT43" s="33"/>
      <c r="KU43" s="33"/>
      <c r="KV43" s="33"/>
      <c r="KW43" s="33"/>
      <c r="KX43" s="33"/>
      <c r="KY43" s="33"/>
      <c r="KZ43" s="33"/>
      <c r="LA43" s="33"/>
      <c r="LB43" s="33"/>
      <c r="LC43" s="33"/>
      <c r="LD43" s="33"/>
      <c r="LE43" s="33"/>
      <c r="LF43" s="33"/>
      <c r="LG43" s="33"/>
      <c r="LH43" s="33"/>
      <c r="LI43" s="33"/>
      <c r="LJ43" s="33"/>
      <c r="LK43" s="33"/>
      <c r="LL43" s="33"/>
      <c r="LM43" s="33"/>
      <c r="LN43" s="33"/>
      <c r="LO43" s="33"/>
      <c r="LP43" s="33"/>
      <c r="LQ43" s="33"/>
      <c r="LR43" s="33"/>
      <c r="LS43" s="33"/>
      <c r="LT43" s="33"/>
      <c r="LU43" s="33"/>
      <c r="LV43" s="33"/>
      <c r="LW43" s="33"/>
      <c r="LX43" s="33"/>
      <c r="LY43" s="33"/>
      <c r="LZ43" s="33"/>
      <c r="MA43" s="33"/>
      <c r="MB43" s="33"/>
      <c r="MC43" s="33"/>
      <c r="MD43" s="33"/>
      <c r="ME43" s="33"/>
      <c r="MF43" s="33"/>
      <c r="MG43" s="33"/>
      <c r="MH43" s="33"/>
      <c r="MI43" s="33"/>
      <c r="MJ43" s="33"/>
      <c r="MK43" s="33"/>
      <c r="ML43" s="33"/>
      <c r="MM43" s="33"/>
      <c r="MN43" s="33"/>
      <c r="MO43" s="33"/>
      <c r="MP43" s="33"/>
      <c r="MQ43" s="33"/>
      <c r="MR43" s="33"/>
      <c r="MS43" s="33"/>
      <c r="MT43" s="33"/>
      <c r="MU43" s="33"/>
      <c r="MV43" s="33"/>
      <c r="MW43" s="33"/>
      <c r="MX43" s="33"/>
      <c r="MY43" s="33"/>
      <c r="MZ43" s="33"/>
      <c r="NA43" s="33"/>
      <c r="NB43" s="33"/>
      <c r="NC43" s="33"/>
      <c r="ND43" s="33"/>
      <c r="NE43" s="33"/>
      <c r="NF43" s="33"/>
      <c r="NG43" s="33"/>
      <c r="NH43" s="33"/>
      <c r="NI43" s="33"/>
      <c r="NJ43" s="33"/>
      <c r="NK43" s="33"/>
      <c r="NL43" s="33"/>
      <c r="NM43" s="33"/>
      <c r="NN43" s="33"/>
      <c r="NO43" s="33"/>
      <c r="NP43" s="33"/>
      <c r="NQ43" s="33"/>
      <c r="NR43" s="33"/>
      <c r="NS43" s="33"/>
      <c r="NT43" s="33"/>
      <c r="NU43" s="33"/>
      <c r="NV43" s="33"/>
      <c r="NW43" s="33"/>
      <c r="NX43" s="33"/>
      <c r="NY43" s="33"/>
      <c r="NZ43" s="33"/>
      <c r="OA43" s="33"/>
      <c r="OB43" s="33"/>
      <c r="OC43" s="33"/>
      <c r="OD43" s="33"/>
      <c r="OE43" s="33"/>
      <c r="OF43" s="33"/>
      <c r="OG43" s="33"/>
      <c r="OH43" s="33"/>
      <c r="OI43" s="33"/>
      <c r="OJ43" s="33"/>
      <c r="OK43" s="33"/>
      <c r="OL43" s="33"/>
      <c r="OM43" s="33"/>
      <c r="ON43" s="33"/>
      <c r="OO43" s="33"/>
      <c r="OP43" s="33"/>
      <c r="OQ43" s="33"/>
      <c r="OR43" s="33"/>
      <c r="OS43" s="33"/>
      <c r="OT43" s="33"/>
      <c r="OU43" s="33"/>
      <c r="OV43" s="33"/>
      <c r="OW43" s="33"/>
      <c r="OX43" s="33"/>
      <c r="OY43" s="33"/>
      <c r="OZ43" s="33"/>
      <c r="PA43" s="33"/>
      <c r="PB43" s="33"/>
      <c r="PC43" s="33"/>
      <c r="PD43" s="33"/>
      <c r="PE43" s="33"/>
      <c r="PF43" s="33"/>
      <c r="PG43" s="33"/>
      <c r="PH43" s="33"/>
      <c r="PI43" s="33"/>
      <c r="PJ43" s="33"/>
      <c r="PK43" s="33"/>
      <c r="PL43" s="33"/>
      <c r="PM43" s="33"/>
      <c r="PN43" s="33"/>
      <c r="PO43" s="33"/>
      <c r="PP43" s="33"/>
      <c r="PQ43" s="33"/>
      <c r="PR43" s="33"/>
      <c r="PS43" s="33"/>
      <c r="PT43" s="33"/>
      <c r="PU43" s="33"/>
      <c r="PV43" s="33"/>
      <c r="PW43" s="33"/>
      <c r="PX43" s="33"/>
      <c r="PY43" s="33"/>
      <c r="PZ43" s="33"/>
      <c r="QA43" s="33"/>
      <c r="QB43" s="33"/>
      <c r="QC43" s="33"/>
      <c r="QD43" s="33"/>
      <c r="QE43" s="33"/>
      <c r="QF43" s="33"/>
      <c r="QG43" s="33"/>
      <c r="QH43" s="33"/>
      <c r="QI43" s="33"/>
      <c r="QJ43" s="33"/>
      <c r="QK43" s="33"/>
      <c r="QL43" s="33"/>
      <c r="QM43" s="33"/>
      <c r="QN43" s="33"/>
      <c r="QO43" s="33"/>
      <c r="QP43" s="33"/>
      <c r="QQ43" s="33"/>
      <c r="QR43" s="33"/>
      <c r="QS43" s="33"/>
      <c r="QT43" s="33"/>
      <c r="QU43" s="33"/>
      <c r="QV43" s="33"/>
      <c r="QW43" s="33"/>
      <c r="QX43" s="33"/>
      <c r="QY43" s="33"/>
      <c r="QZ43" s="33"/>
      <c r="RA43" s="33"/>
      <c r="RB43" s="33"/>
      <c r="RC43" s="33"/>
      <c r="RD43" s="33"/>
      <c r="RE43" s="33"/>
      <c r="RF43" s="33"/>
      <c r="RG43" s="33"/>
      <c r="RH43" s="33"/>
      <c r="RI43" s="33"/>
      <c r="RJ43" s="33"/>
      <c r="RK43" s="33"/>
      <c r="RL43" s="33"/>
      <c r="RM43" s="33"/>
      <c r="RN43" s="33"/>
      <c r="RO43" s="33"/>
      <c r="RP43" s="33"/>
      <c r="RQ43" s="33"/>
      <c r="RR43" s="33"/>
      <c r="RS43" s="33"/>
      <c r="RT43" s="33"/>
      <c r="RU43" s="33"/>
      <c r="RV43" s="33"/>
      <c r="RW43" s="33"/>
      <c r="RX43" s="33"/>
      <c r="RY43" s="33"/>
      <c r="RZ43" s="33"/>
      <c r="SA43" s="33"/>
      <c r="SB43" s="33"/>
      <c r="SC43" s="33"/>
      <c r="SD43" s="33"/>
      <c r="SE43" s="33"/>
      <c r="SF43" s="33"/>
      <c r="SG43" s="33"/>
      <c r="SH43" s="33"/>
      <c r="SI43" s="33"/>
      <c r="SJ43" s="33"/>
      <c r="SK43" s="33"/>
      <c r="SL43" s="33"/>
      <c r="SM43" s="33"/>
      <c r="SN43" s="33"/>
      <c r="SO43" s="33"/>
      <c r="SP43" s="33"/>
      <c r="SQ43" s="33"/>
      <c r="SR43" s="33"/>
      <c r="SS43" s="33"/>
      <c r="ST43" s="33"/>
      <c r="SU43" s="33"/>
      <c r="SV43" s="33"/>
      <c r="SW43" s="33"/>
      <c r="SX43" s="33"/>
      <c r="SY43" s="33"/>
      <c r="SZ43" s="33"/>
      <c r="TA43" s="33"/>
      <c r="TB43" s="33"/>
      <c r="TC43" s="33"/>
      <c r="TD43" s="33"/>
      <c r="TE43" s="33"/>
      <c r="TF43" s="33"/>
      <c r="TG43" s="33"/>
      <c r="TH43" s="33"/>
      <c r="TI43" s="33"/>
      <c r="TJ43" s="33"/>
      <c r="TK43" s="33"/>
      <c r="TL43" s="33"/>
      <c r="TM43" s="33"/>
      <c r="TN43" s="33"/>
      <c r="TO43" s="33"/>
      <c r="TP43" s="33"/>
      <c r="TQ43" s="33"/>
      <c r="TR43" s="33"/>
      <c r="TS43" s="33"/>
      <c r="TT43" s="33"/>
      <c r="TU43" s="33"/>
      <c r="TV43" s="33"/>
      <c r="TW43" s="33"/>
      <c r="TX43" s="33"/>
      <c r="TY43" s="33"/>
      <c r="TZ43" s="33"/>
      <c r="UA43" s="33"/>
      <c r="UB43" s="33"/>
      <c r="UC43" s="33"/>
      <c r="UD43" s="33"/>
      <c r="UE43" s="33"/>
      <c r="UF43" s="33"/>
      <c r="UG43" s="33"/>
      <c r="UH43" s="33"/>
      <c r="UI43" s="33"/>
      <c r="UJ43" s="33"/>
      <c r="UK43" s="33"/>
      <c r="UL43" s="33"/>
      <c r="UM43" s="33"/>
      <c r="UN43" s="33"/>
      <c r="UO43" s="33"/>
      <c r="UP43" s="33"/>
      <c r="UQ43" s="33"/>
      <c r="UR43" s="33"/>
      <c r="US43" s="33"/>
      <c r="UT43" s="33"/>
      <c r="UU43" s="33"/>
      <c r="UV43" s="33"/>
      <c r="UW43" s="33"/>
      <c r="UX43" s="33"/>
      <c r="UY43" s="33"/>
      <c r="UZ43" s="33"/>
      <c r="VA43" s="33"/>
      <c r="VB43" s="33"/>
      <c r="VC43" s="33"/>
      <c r="VD43" s="33"/>
      <c r="VE43" s="33"/>
      <c r="VF43" s="33"/>
      <c r="VG43" s="33"/>
      <c r="VH43" s="33"/>
      <c r="VI43" s="33"/>
      <c r="VJ43" s="33"/>
      <c r="VK43" s="33"/>
      <c r="VL43" s="33"/>
      <c r="VM43" s="33"/>
      <c r="VN43" s="33"/>
      <c r="VO43" s="33"/>
      <c r="VP43" s="33"/>
      <c r="VQ43" s="33"/>
      <c r="VR43" s="33"/>
      <c r="VS43" s="33"/>
      <c r="VT43" s="33"/>
      <c r="VU43" s="33"/>
      <c r="VV43" s="33"/>
      <c r="VW43" s="33"/>
      <c r="VX43" s="33"/>
      <c r="VY43" s="33"/>
      <c r="VZ43" s="33"/>
      <c r="WA43" s="33"/>
      <c r="WB43" s="33"/>
      <c r="WC43" s="33"/>
      <c r="WD43" s="33"/>
      <c r="WE43" s="33"/>
      <c r="WF43" s="33"/>
      <c r="WG43" s="33"/>
      <c r="WH43" s="33"/>
      <c r="WI43" s="33"/>
      <c r="WJ43" s="33"/>
      <c r="WK43" s="33"/>
      <c r="WL43" s="33"/>
      <c r="WM43" s="33"/>
      <c r="WN43" s="33"/>
      <c r="WO43" s="33"/>
      <c r="WP43" s="33"/>
      <c r="WQ43" s="33"/>
      <c r="WR43" s="33"/>
      <c r="WS43" s="33"/>
      <c r="WT43" s="33"/>
      <c r="WU43" s="33"/>
      <c r="WV43" s="33"/>
      <c r="WW43" s="33"/>
      <c r="WX43" s="33"/>
      <c r="WY43" s="33"/>
      <c r="WZ43" s="33"/>
      <c r="XA43" s="33"/>
      <c r="XB43" s="33"/>
      <c r="XC43" s="33"/>
      <c r="XD43" s="33"/>
      <c r="XE43" s="33"/>
      <c r="XF43" s="33"/>
      <c r="XG43" s="33"/>
      <c r="XH43" s="33"/>
      <c r="XI43" s="33"/>
      <c r="XJ43" s="33"/>
      <c r="XK43" s="33"/>
      <c r="XL43" s="33"/>
      <c r="XM43" s="33"/>
      <c r="XN43" s="33"/>
      <c r="XO43" s="33"/>
      <c r="XP43" s="33"/>
      <c r="XQ43" s="33"/>
      <c r="XR43" s="33"/>
      <c r="XS43" s="33"/>
      <c r="XT43" s="33"/>
      <c r="XU43" s="33"/>
      <c r="XV43" s="33"/>
      <c r="XW43" s="33"/>
      <c r="XX43" s="33"/>
      <c r="XY43" s="33"/>
      <c r="XZ43" s="33"/>
      <c r="YA43" s="33"/>
      <c r="YB43" s="33"/>
      <c r="YC43" s="33"/>
      <c r="YD43" s="33"/>
      <c r="YE43" s="33"/>
      <c r="YF43" s="33"/>
      <c r="YG43" s="33"/>
      <c r="YH43" s="33"/>
      <c r="YI43" s="33"/>
      <c r="YJ43" s="33"/>
      <c r="YK43" s="33"/>
      <c r="YL43" s="33"/>
      <c r="YM43" s="33"/>
      <c r="YN43" s="33"/>
      <c r="YO43" s="33"/>
      <c r="YP43" s="33"/>
      <c r="YQ43" s="33"/>
      <c r="YR43" s="33"/>
      <c r="YS43" s="33"/>
      <c r="YT43" s="33"/>
      <c r="YU43" s="33"/>
      <c r="YV43" s="33"/>
      <c r="YW43" s="33"/>
      <c r="YX43" s="33"/>
      <c r="YY43" s="33"/>
      <c r="YZ43" s="33"/>
      <c r="ZA43" s="33"/>
      <c r="ZB43" s="33"/>
      <c r="ZC43" s="33"/>
      <c r="ZD43" s="33"/>
      <c r="ZE43" s="33"/>
      <c r="ZF43" s="33"/>
      <c r="ZG43" s="33"/>
      <c r="ZH43" s="33"/>
      <c r="ZI43" s="33"/>
      <c r="ZJ43" s="33"/>
      <c r="ZK43" s="33"/>
      <c r="ZL43" s="33"/>
      <c r="ZM43" s="33"/>
      <c r="ZN43" s="33"/>
      <c r="ZO43" s="33"/>
      <c r="ZP43" s="33"/>
      <c r="ZQ43" s="33"/>
      <c r="ZR43" s="33"/>
      <c r="ZS43" s="33"/>
      <c r="ZT43" s="33"/>
      <c r="ZU43" s="33"/>
      <c r="ZV43" s="33"/>
      <c r="ZW43" s="33"/>
      <c r="ZX43" s="33"/>
      <c r="ZY43" s="33"/>
      <c r="ZZ43" s="33"/>
      <c r="AAA43" s="33"/>
      <c r="AAB43" s="33"/>
      <c r="AAC43" s="33"/>
      <c r="AAD43" s="33"/>
      <c r="AAE43" s="33"/>
      <c r="AAF43" s="33"/>
      <c r="AAG43" s="33"/>
      <c r="AAH43" s="33"/>
      <c r="AAI43" s="33"/>
      <c r="AAJ43" s="33"/>
      <c r="AAK43" s="33"/>
      <c r="AAL43" s="33"/>
      <c r="AAM43" s="33"/>
      <c r="AAN43" s="33"/>
      <c r="AAO43" s="33"/>
      <c r="AAP43" s="33"/>
      <c r="AAQ43" s="33"/>
      <c r="AAR43" s="33"/>
      <c r="AAS43" s="33"/>
      <c r="AAT43" s="33"/>
      <c r="AAU43" s="33"/>
      <c r="AAV43" s="33"/>
      <c r="AAW43" s="33"/>
      <c r="AAX43" s="33"/>
      <c r="AAY43" s="33"/>
      <c r="AAZ43" s="33"/>
      <c r="ABA43" s="33"/>
      <c r="ABB43" s="33"/>
      <c r="ABC43" s="33"/>
      <c r="ABD43" s="33"/>
      <c r="ABE43" s="33"/>
      <c r="ABF43" s="33"/>
      <c r="ABG43" s="33"/>
      <c r="ABH43" s="33"/>
      <c r="ABI43" s="33"/>
      <c r="ABJ43" s="33"/>
      <c r="ABK43" s="33"/>
      <c r="ABL43" s="33"/>
      <c r="ABM43" s="33"/>
      <c r="ABN43" s="33"/>
      <c r="ABO43" s="33"/>
      <c r="ABP43" s="33"/>
      <c r="ABQ43" s="33"/>
      <c r="ABR43" s="33"/>
      <c r="ABS43" s="33"/>
      <c r="ABT43" s="33"/>
      <c r="ABU43" s="33"/>
      <c r="ABV43" s="33"/>
      <c r="ABW43" s="33"/>
      <c r="ABX43" s="33"/>
      <c r="ABY43" s="33"/>
      <c r="ABZ43" s="33"/>
      <c r="ACA43" s="33"/>
      <c r="ACB43" s="33"/>
      <c r="ACC43" s="33"/>
      <c r="ACD43" s="33"/>
      <c r="ACE43" s="33"/>
      <c r="ACF43" s="33"/>
      <c r="ACG43" s="33"/>
      <c r="ACH43" s="33"/>
      <c r="ACI43" s="33"/>
      <c r="ACJ43" s="33"/>
      <c r="ACK43" s="33"/>
      <c r="ACL43" s="33"/>
      <c r="ACM43" s="33"/>
      <c r="ACN43" s="33"/>
      <c r="ACO43" s="33"/>
      <c r="ACP43" s="33"/>
      <c r="ACQ43" s="33"/>
      <c r="ACR43" s="33"/>
      <c r="ACS43" s="33"/>
      <c r="ACT43" s="33"/>
      <c r="ACU43" s="33"/>
      <c r="ACV43" s="33"/>
      <c r="ACW43" s="33"/>
      <c r="ACX43" s="33"/>
      <c r="ACY43" s="33"/>
      <c r="ACZ43" s="33"/>
      <c r="ADA43" s="33"/>
      <c r="ADB43" s="33"/>
      <c r="ADC43" s="33"/>
      <c r="ADD43" s="33"/>
      <c r="ADE43" s="33"/>
      <c r="ADF43" s="33"/>
      <c r="ADG43" s="33"/>
      <c r="ADH43" s="33"/>
      <c r="ADI43" s="33"/>
      <c r="ADJ43" s="33"/>
      <c r="ADK43" s="33"/>
      <c r="ADL43" s="33"/>
      <c r="ADM43" s="33"/>
      <c r="ADN43" s="33"/>
      <c r="ADO43" s="33"/>
      <c r="ADP43" s="33"/>
      <c r="ADQ43" s="33"/>
      <c r="ADR43" s="33"/>
      <c r="ADS43" s="33"/>
      <c r="ADT43" s="33"/>
      <c r="ADU43" s="33"/>
      <c r="ADV43" s="33"/>
      <c r="ADW43" s="33"/>
      <c r="ADX43" s="33"/>
      <c r="ADY43" s="33"/>
      <c r="ADZ43" s="33"/>
      <c r="AEA43" s="33"/>
      <c r="AEB43" s="33"/>
      <c r="AEC43" s="33"/>
      <c r="AED43" s="33"/>
      <c r="AEE43" s="33"/>
      <c r="AEF43" s="33"/>
      <c r="AEG43" s="33"/>
      <c r="AEH43" s="33"/>
      <c r="AEI43" s="33"/>
      <c r="AEJ43" s="33"/>
      <c r="AEK43" s="33"/>
      <c r="AEL43" s="33"/>
      <c r="AEM43" s="33"/>
      <c r="AEN43" s="33"/>
      <c r="AEO43" s="33"/>
      <c r="AEP43" s="33"/>
      <c r="AEQ43" s="33"/>
      <c r="AER43" s="33"/>
      <c r="AES43" s="33"/>
      <c r="AET43" s="33"/>
      <c r="AEU43" s="33"/>
      <c r="AEV43" s="33"/>
      <c r="AEW43" s="33"/>
      <c r="AEX43" s="33"/>
      <c r="AEY43" s="33"/>
      <c r="AEZ43" s="33"/>
      <c r="AFA43" s="33"/>
      <c r="AFB43" s="33"/>
      <c r="AFC43" s="33"/>
      <c r="AFD43" s="33"/>
      <c r="AFE43" s="33"/>
      <c r="AFF43" s="33"/>
      <c r="AFG43" s="33"/>
      <c r="AFH43" s="33"/>
      <c r="AFI43" s="33"/>
      <c r="AFJ43" s="33"/>
      <c r="AFK43" s="33"/>
      <c r="AFL43" s="33"/>
      <c r="AFM43" s="33"/>
      <c r="AFN43" s="33"/>
      <c r="AFO43" s="33"/>
      <c r="AFP43" s="33"/>
      <c r="AFQ43" s="33"/>
      <c r="AFR43" s="33"/>
      <c r="AFS43" s="33"/>
      <c r="AFT43" s="33"/>
      <c r="AFU43" s="33"/>
      <c r="AFV43" s="33"/>
      <c r="AFW43" s="33"/>
      <c r="AFX43" s="33"/>
      <c r="AFY43" s="33"/>
      <c r="AFZ43" s="33"/>
      <c r="AGA43" s="33"/>
      <c r="AGB43" s="33"/>
      <c r="AGC43" s="33"/>
      <c r="AGD43" s="33"/>
      <c r="AGE43" s="33"/>
      <c r="AGF43" s="33"/>
      <c r="AGG43" s="33"/>
      <c r="AGH43" s="33"/>
      <c r="AGI43" s="33"/>
      <c r="AGJ43" s="33"/>
      <c r="AGK43" s="33"/>
      <c r="AGL43" s="33"/>
      <c r="AGM43" s="33"/>
      <c r="AGN43" s="33"/>
      <c r="AGO43" s="33"/>
      <c r="AGP43" s="33"/>
      <c r="AGQ43" s="33"/>
      <c r="AGR43" s="33"/>
      <c r="AGS43" s="33"/>
      <c r="AGT43" s="33"/>
      <c r="AGU43" s="33"/>
      <c r="AGV43" s="33"/>
      <c r="AGW43" s="33"/>
      <c r="AGX43" s="33"/>
      <c r="AGY43" s="33"/>
      <c r="AGZ43" s="33"/>
      <c r="AHA43" s="33"/>
      <c r="AHB43" s="33"/>
      <c r="AHC43" s="33"/>
      <c r="AHD43" s="33"/>
      <c r="AHE43" s="33"/>
      <c r="AHF43" s="33"/>
      <c r="AHG43" s="33"/>
      <c r="AHH43" s="33"/>
      <c r="AHI43" s="33"/>
      <c r="AHJ43" s="33"/>
      <c r="AHK43" s="33"/>
      <c r="AHL43" s="33"/>
      <c r="AHM43" s="33"/>
      <c r="AHN43" s="33"/>
      <c r="AHO43" s="33"/>
      <c r="AHP43" s="33"/>
      <c r="AHQ43" s="33"/>
      <c r="AHR43" s="33"/>
      <c r="AHS43" s="33"/>
      <c r="AHT43" s="33"/>
      <c r="AHU43" s="33"/>
      <c r="AHV43" s="33"/>
      <c r="AHW43" s="33"/>
      <c r="AHX43" s="33"/>
      <c r="AHY43" s="33"/>
      <c r="AHZ43" s="33"/>
      <c r="AIA43" s="33"/>
      <c r="AIB43" s="33"/>
      <c r="AIC43" s="33"/>
      <c r="AID43" s="33"/>
      <c r="AIE43" s="33"/>
      <c r="AIF43" s="33"/>
      <c r="AIG43" s="33"/>
      <c r="AIH43" s="33"/>
      <c r="AII43" s="33"/>
      <c r="AIJ43" s="33"/>
      <c r="AIK43" s="33"/>
      <c r="AIL43" s="33"/>
      <c r="AIM43" s="33"/>
      <c r="AIN43" s="33"/>
      <c r="AIO43" s="33"/>
      <c r="AIP43" s="33"/>
      <c r="AIQ43" s="33"/>
      <c r="AIR43" s="33"/>
      <c r="AIS43" s="33"/>
      <c r="AIT43" s="33"/>
      <c r="AIU43" s="33"/>
      <c r="AIV43" s="33"/>
      <c r="AIW43" s="33"/>
      <c r="AIX43" s="33"/>
      <c r="AIY43" s="33"/>
      <c r="AIZ43" s="33"/>
      <c r="AJA43" s="33"/>
      <c r="AJB43" s="33"/>
      <c r="AJC43" s="33"/>
      <c r="AJD43" s="33"/>
      <c r="AJE43" s="33"/>
      <c r="AJF43" s="33"/>
      <c r="AJG43" s="33"/>
      <c r="AJH43" s="33"/>
      <c r="AJI43" s="33"/>
      <c r="AJJ43" s="33"/>
      <c r="AJK43" s="33"/>
      <c r="AJL43" s="33"/>
      <c r="AJM43" s="33"/>
      <c r="AJN43" s="33"/>
      <c r="AJO43" s="33"/>
      <c r="AJP43" s="33"/>
      <c r="AJQ43" s="33"/>
      <c r="AJR43" s="33"/>
      <c r="AJS43" s="33"/>
      <c r="AJT43" s="33"/>
      <c r="AJU43" s="33"/>
      <c r="AJV43" s="33"/>
      <c r="AJW43" s="33"/>
      <c r="AJX43" s="33"/>
      <c r="AJY43" s="33"/>
      <c r="AJZ43" s="33"/>
      <c r="AKA43" s="33"/>
      <c r="AKB43" s="33"/>
      <c r="AKC43" s="33"/>
      <c r="AKD43" s="33"/>
      <c r="AKE43" s="33"/>
      <c r="AKF43" s="33"/>
      <c r="AKG43" s="33"/>
      <c r="AKH43" s="33"/>
      <c r="AKI43" s="33"/>
      <c r="AKJ43" s="33"/>
      <c r="AKK43" s="33"/>
      <c r="AKL43" s="33"/>
      <c r="AKM43" s="33"/>
      <c r="AKN43" s="33"/>
      <c r="AKO43" s="33"/>
      <c r="AKP43" s="33"/>
      <c r="AKQ43" s="33"/>
      <c r="AKR43" s="33"/>
      <c r="AKS43" s="33"/>
      <c r="AKT43" s="33"/>
      <c r="AKU43" s="33"/>
      <c r="AKV43" s="33"/>
      <c r="AKW43" s="33"/>
      <c r="AKX43" s="33"/>
      <c r="AKY43" s="33"/>
      <c r="AKZ43" s="33"/>
      <c r="ALA43" s="33"/>
      <c r="ALB43" s="33"/>
      <c r="ALC43" s="33"/>
      <c r="ALD43" s="33"/>
      <c r="ALE43" s="33"/>
      <c r="ALF43" s="33"/>
      <c r="ALG43" s="33"/>
      <c r="ALH43" s="33"/>
      <c r="ALI43" s="33"/>
      <c r="ALJ43" s="33"/>
      <c r="ALK43" s="33"/>
      <c r="ALL43" s="33"/>
      <c r="ALM43" s="33"/>
      <c r="ALN43" s="33"/>
      <c r="ALO43" s="33"/>
      <c r="ALP43" s="33"/>
      <c r="ALQ43" s="33"/>
      <c r="ALR43" s="33"/>
      <c r="ALS43" s="33"/>
      <c r="ALT43" s="33"/>
      <c r="ALU43" s="33"/>
      <c r="ALV43" s="33"/>
      <c r="ALW43" s="33"/>
      <c r="ALX43" s="33"/>
      <c r="ALY43" s="33"/>
      <c r="ALZ43" s="33"/>
      <c r="AMA43" s="33"/>
      <c r="AMB43" s="33"/>
      <c r="AMC43" s="33"/>
      <c r="AMD43" s="33"/>
      <c r="AME43" s="33"/>
      <c r="AMF43" s="33"/>
      <c r="AMG43" s="33"/>
      <c r="AMH43" s="33"/>
      <c r="AMI43" s="33"/>
      <c r="AMJ43" s="33"/>
      <c r="AMK43" s="33"/>
      <c r="AML43" s="33"/>
      <c r="AMM43" s="33"/>
      <c r="AMN43" s="33"/>
      <c r="AMO43" s="33"/>
      <c r="AMP43" s="33"/>
      <c r="AMQ43" s="33"/>
      <c r="AMR43" s="33"/>
      <c r="AMS43" s="33"/>
      <c r="AMT43" s="33"/>
      <c r="AMU43" s="33"/>
      <c r="AMV43" s="33"/>
      <c r="AMW43" s="33"/>
      <c r="AMX43" s="33"/>
      <c r="AMY43" s="33"/>
      <c r="AMZ43" s="33"/>
      <c r="ANA43" s="33"/>
      <c r="ANB43" s="33"/>
      <c r="ANC43" s="33"/>
      <c r="AND43" s="33"/>
      <c r="ANE43" s="33"/>
      <c r="ANF43" s="33"/>
      <c r="ANG43" s="33"/>
      <c r="ANH43" s="33"/>
      <c r="ANI43" s="33"/>
      <c r="ANJ43" s="33"/>
      <c r="ANK43" s="33"/>
      <c r="ANL43" s="33"/>
      <c r="ANM43" s="33"/>
      <c r="ANN43" s="33"/>
      <c r="ANO43" s="33"/>
      <c r="ANP43" s="33"/>
      <c r="ANQ43" s="33"/>
      <c r="ANR43" s="33"/>
      <c r="ANS43" s="33"/>
      <c r="ANT43" s="33"/>
      <c r="ANU43" s="33"/>
      <c r="ANV43" s="33"/>
      <c r="ANW43" s="33"/>
      <c r="ANX43" s="33"/>
      <c r="ANY43" s="33"/>
      <c r="ANZ43" s="33"/>
      <c r="AOA43" s="33"/>
      <c r="AOB43" s="33"/>
      <c r="AOC43" s="33"/>
      <c r="AOD43" s="33"/>
      <c r="AOE43" s="33"/>
      <c r="AOF43" s="33"/>
      <c r="AOG43" s="33"/>
      <c r="AOH43" s="33"/>
      <c r="AOI43" s="33"/>
      <c r="AOJ43" s="33"/>
      <c r="AOK43" s="33"/>
      <c r="AOL43" s="33"/>
      <c r="AOM43" s="33"/>
      <c r="AON43" s="33"/>
      <c r="AOO43" s="33"/>
      <c r="AOP43" s="33"/>
      <c r="AOQ43" s="33"/>
      <c r="AOR43" s="33"/>
      <c r="AOS43" s="33"/>
      <c r="AOT43" s="33"/>
      <c r="AOU43" s="33"/>
      <c r="AOV43" s="33"/>
      <c r="AOW43" s="33"/>
      <c r="AOX43" s="33"/>
      <c r="AOY43" s="33"/>
      <c r="AOZ43" s="33"/>
      <c r="APA43" s="33"/>
      <c r="APB43" s="33"/>
      <c r="APC43" s="33"/>
      <c r="APD43" s="33"/>
      <c r="APE43" s="33"/>
      <c r="APF43" s="33"/>
      <c r="APG43" s="33"/>
      <c r="APH43" s="33"/>
      <c r="API43" s="33"/>
      <c r="APJ43" s="33"/>
      <c r="APK43" s="33"/>
      <c r="APL43" s="33"/>
      <c r="APM43" s="33"/>
      <c r="APN43" s="33"/>
      <c r="APO43" s="33"/>
      <c r="APP43" s="33"/>
      <c r="APQ43" s="33"/>
      <c r="APR43" s="33"/>
      <c r="APS43" s="33"/>
      <c r="APT43" s="33"/>
      <c r="APU43" s="33"/>
      <c r="APV43" s="33"/>
      <c r="APW43" s="33"/>
      <c r="APX43" s="33"/>
      <c r="APY43" s="33"/>
      <c r="APZ43" s="33"/>
      <c r="AQA43" s="33"/>
      <c r="AQB43" s="33"/>
      <c r="AQC43" s="33"/>
      <c r="AQD43" s="33"/>
      <c r="AQE43" s="33"/>
      <c r="AQF43" s="33"/>
      <c r="AQG43" s="33"/>
      <c r="AQH43" s="33"/>
      <c r="AQI43" s="33"/>
      <c r="AQJ43" s="33"/>
      <c r="AQK43" s="33"/>
      <c r="AQL43" s="33"/>
      <c r="AQM43" s="33"/>
      <c r="AQN43" s="33"/>
      <c r="AQO43" s="33"/>
      <c r="AQP43" s="33"/>
      <c r="AQQ43" s="33"/>
      <c r="AQR43" s="33"/>
      <c r="AQS43" s="33"/>
      <c r="AQT43" s="33"/>
      <c r="AQU43" s="33"/>
      <c r="AQV43" s="33"/>
      <c r="AQW43" s="33"/>
      <c r="AQX43" s="33"/>
      <c r="AQY43" s="33"/>
      <c r="AQZ43" s="33"/>
      <c r="ARA43" s="33"/>
      <c r="ARB43" s="33"/>
      <c r="ARC43" s="33"/>
      <c r="ARD43" s="33"/>
      <c r="ARE43" s="33"/>
      <c r="ARF43" s="33"/>
      <c r="ARG43" s="33"/>
      <c r="ARH43" s="33"/>
      <c r="ARI43" s="33"/>
      <c r="ARJ43" s="33"/>
      <c r="ARK43" s="33"/>
      <c r="ARL43" s="33"/>
      <c r="ARM43" s="33"/>
      <c r="ARN43" s="33"/>
      <c r="ARO43" s="33"/>
      <c r="ARP43" s="33"/>
      <c r="ARQ43" s="33"/>
      <c r="ARR43" s="33"/>
      <c r="ARS43" s="33"/>
      <c r="ART43" s="33"/>
      <c r="ARU43" s="33"/>
      <c r="ARV43" s="33"/>
      <c r="ARW43" s="33"/>
      <c r="ARX43" s="33"/>
      <c r="ARY43" s="33"/>
      <c r="ARZ43" s="33"/>
      <c r="ASA43" s="33"/>
      <c r="ASB43" s="33"/>
      <c r="ASC43" s="33"/>
      <c r="ASD43" s="33"/>
      <c r="ASE43" s="33"/>
      <c r="ASF43" s="33"/>
      <c r="ASG43" s="33"/>
      <c r="ASH43" s="33"/>
      <c r="ASI43" s="33"/>
      <c r="ASJ43" s="33"/>
      <c r="ASK43" s="33"/>
      <c r="ASL43" s="33"/>
      <c r="ASM43" s="33"/>
      <c r="ASN43" s="33"/>
      <c r="ASO43" s="33"/>
      <c r="ASP43" s="33"/>
      <c r="ASQ43" s="33"/>
      <c r="ASR43" s="33"/>
      <c r="ASS43" s="33"/>
      <c r="AST43" s="33"/>
      <c r="ASU43" s="33"/>
      <c r="ASV43" s="33"/>
      <c r="ASW43" s="33"/>
      <c r="ASX43" s="33"/>
      <c r="ASY43" s="33"/>
      <c r="ASZ43" s="33"/>
      <c r="ATA43" s="33"/>
      <c r="ATB43" s="33"/>
      <c r="ATC43" s="33"/>
      <c r="ATD43" s="33"/>
      <c r="ATE43" s="33"/>
      <c r="ATF43" s="33"/>
      <c r="ATG43" s="33"/>
      <c r="ATH43" s="33"/>
      <c r="ATI43" s="33"/>
      <c r="ATJ43" s="33"/>
      <c r="ATK43" s="33"/>
      <c r="ATL43" s="33"/>
      <c r="ATM43" s="33"/>
      <c r="ATN43" s="33"/>
      <c r="ATO43" s="33"/>
      <c r="ATP43" s="33"/>
      <c r="ATQ43" s="33"/>
      <c r="ATR43" s="33"/>
      <c r="ATS43" s="33"/>
      <c r="ATT43" s="33"/>
      <c r="ATU43" s="33"/>
      <c r="ATV43" s="33"/>
      <c r="ATW43" s="33"/>
      <c r="ATX43" s="33"/>
      <c r="ATY43" s="33"/>
      <c r="ATZ43" s="33"/>
      <c r="AUA43" s="33"/>
      <c r="AUB43" s="33"/>
      <c r="AUC43" s="33"/>
      <c r="AUD43" s="33"/>
      <c r="AUE43" s="33"/>
      <c r="AUF43" s="33"/>
      <c r="AUG43" s="33"/>
      <c r="AUH43" s="33"/>
      <c r="AUI43" s="33"/>
      <c r="AUJ43" s="33"/>
      <c r="AUK43" s="33"/>
      <c r="AUL43" s="33"/>
      <c r="AUM43" s="33"/>
      <c r="AUN43" s="33"/>
      <c r="AUO43" s="33"/>
      <c r="AUP43" s="33"/>
      <c r="AUQ43" s="33"/>
      <c r="AUR43" s="33"/>
      <c r="AUS43" s="33"/>
      <c r="AUT43" s="33"/>
      <c r="AUU43" s="33"/>
      <c r="AUV43" s="33"/>
      <c r="AUW43" s="33"/>
      <c r="AUX43" s="33"/>
      <c r="AUY43" s="33"/>
      <c r="AUZ43" s="33"/>
      <c r="AVA43" s="33"/>
      <c r="AVB43" s="33"/>
      <c r="AVC43" s="33"/>
      <c r="AVD43" s="33"/>
      <c r="AVE43" s="33"/>
      <c r="AVF43" s="33"/>
      <c r="AVG43" s="33"/>
      <c r="AVH43" s="33"/>
      <c r="AVI43" s="33"/>
      <c r="AVJ43" s="33"/>
      <c r="AVK43" s="33"/>
      <c r="AVL43" s="33"/>
      <c r="AVM43" s="33"/>
      <c r="AVN43" s="33"/>
      <c r="AVO43" s="33"/>
      <c r="AVP43" s="33"/>
      <c r="AVQ43" s="33"/>
      <c r="AVR43" s="33"/>
      <c r="AVS43" s="33"/>
      <c r="AVT43" s="33"/>
      <c r="AVU43" s="33"/>
      <c r="AVV43" s="33"/>
      <c r="AVW43" s="33"/>
      <c r="AVX43" s="33"/>
      <c r="AVY43" s="33"/>
      <c r="AVZ43" s="33"/>
      <c r="AWA43" s="33"/>
      <c r="AWB43" s="33"/>
      <c r="AWC43" s="33"/>
      <c r="AWD43" s="33"/>
      <c r="AWE43" s="33"/>
      <c r="AWF43" s="33"/>
      <c r="AWG43" s="33"/>
      <c r="AWH43" s="33"/>
      <c r="AWI43" s="33"/>
      <c r="AWJ43" s="33"/>
      <c r="AWK43" s="33"/>
      <c r="AWL43" s="33"/>
      <c r="AWM43" s="33"/>
      <c r="AWN43" s="33"/>
      <c r="AWO43" s="33"/>
      <c r="AWP43" s="33"/>
      <c r="AWQ43" s="33"/>
      <c r="AWR43" s="33"/>
      <c r="AWS43" s="33"/>
      <c r="AWT43" s="33"/>
      <c r="AWU43" s="33"/>
      <c r="AWV43" s="33"/>
      <c r="AWW43" s="33"/>
      <c r="AWX43" s="33"/>
      <c r="AWY43" s="33"/>
      <c r="AWZ43" s="33"/>
      <c r="AXA43" s="33"/>
      <c r="AXB43" s="33"/>
      <c r="AXC43" s="33"/>
      <c r="AXD43" s="33"/>
      <c r="AXE43" s="33"/>
      <c r="AXF43" s="33"/>
      <c r="AXG43" s="33"/>
      <c r="AXH43" s="33"/>
      <c r="AXI43" s="33"/>
      <c r="AXJ43" s="33"/>
      <c r="AXK43" s="33"/>
      <c r="AXL43" s="33"/>
      <c r="AXM43" s="33"/>
      <c r="AXN43" s="33"/>
      <c r="AXO43" s="33"/>
      <c r="AXP43" s="33"/>
      <c r="AXQ43" s="33"/>
      <c r="AXR43" s="33"/>
      <c r="AXS43" s="33"/>
      <c r="AXT43" s="33"/>
      <c r="AXU43" s="33"/>
      <c r="AXV43" s="33"/>
      <c r="AXW43" s="33"/>
      <c r="AXX43" s="33"/>
      <c r="AXY43" s="33"/>
      <c r="AXZ43" s="33"/>
      <c r="AYA43" s="33"/>
      <c r="AYB43" s="33"/>
      <c r="AYC43" s="33"/>
      <c r="AYD43" s="33"/>
      <c r="AYE43" s="33"/>
      <c r="AYF43" s="33"/>
      <c r="AYG43" s="33"/>
      <c r="AYH43" s="33"/>
      <c r="AYI43" s="33"/>
      <c r="AYJ43" s="33"/>
      <c r="AYK43" s="33"/>
      <c r="AYL43" s="33"/>
      <c r="AYM43" s="33"/>
      <c r="AYN43" s="33"/>
      <c r="AYO43" s="33"/>
      <c r="AYP43" s="33"/>
      <c r="AYQ43" s="33"/>
      <c r="AYR43" s="33"/>
      <c r="AYS43" s="33"/>
      <c r="AYT43" s="33"/>
      <c r="AYU43" s="33"/>
      <c r="AYV43" s="33"/>
      <c r="AYW43" s="33"/>
      <c r="AYX43" s="33"/>
      <c r="AYY43" s="33"/>
      <c r="AYZ43" s="33"/>
      <c r="AZA43" s="33"/>
      <c r="AZB43" s="33"/>
      <c r="AZC43" s="33"/>
      <c r="AZD43" s="33"/>
      <c r="AZE43" s="33"/>
      <c r="AZF43" s="33"/>
      <c r="AZG43" s="33"/>
      <c r="AZH43" s="33"/>
      <c r="AZI43" s="33"/>
      <c r="AZJ43" s="33"/>
      <c r="AZK43" s="33"/>
      <c r="AZL43" s="33"/>
      <c r="AZM43" s="33"/>
      <c r="AZN43" s="33"/>
      <c r="AZO43" s="33"/>
      <c r="AZP43" s="33"/>
      <c r="AZQ43" s="33"/>
      <c r="AZR43" s="33"/>
      <c r="AZS43" s="33"/>
      <c r="AZT43" s="33"/>
      <c r="AZU43" s="33"/>
      <c r="AZV43" s="33"/>
      <c r="AZW43" s="33"/>
      <c r="AZX43" s="33"/>
      <c r="AZY43" s="33"/>
      <c r="AZZ43" s="33"/>
      <c r="BAA43" s="33"/>
      <c r="BAB43" s="33"/>
      <c r="BAC43" s="33"/>
      <c r="BAD43" s="33"/>
      <c r="BAE43" s="33"/>
      <c r="BAF43" s="33"/>
      <c r="BAG43" s="33"/>
      <c r="BAH43" s="33"/>
      <c r="BAI43" s="33"/>
      <c r="BAJ43" s="33"/>
      <c r="BAK43" s="33"/>
      <c r="BAL43" s="33"/>
      <c r="BAM43" s="33"/>
      <c r="BAN43" s="33"/>
      <c r="BAO43" s="33"/>
      <c r="BAP43" s="33"/>
      <c r="BAQ43" s="33"/>
      <c r="BAR43" s="33"/>
      <c r="BAS43" s="33"/>
      <c r="BAT43" s="33"/>
      <c r="BAU43" s="33"/>
      <c r="BAV43" s="33"/>
      <c r="BAW43" s="33"/>
      <c r="BAX43" s="33"/>
      <c r="BAY43" s="33"/>
      <c r="BAZ43" s="33"/>
      <c r="BBA43" s="33"/>
      <c r="BBB43" s="33"/>
      <c r="BBC43" s="33"/>
      <c r="BBD43" s="33"/>
      <c r="BBE43" s="33"/>
      <c r="BBF43" s="33"/>
      <c r="BBG43" s="33"/>
      <c r="BBH43" s="33"/>
      <c r="BBI43" s="33"/>
      <c r="BBJ43" s="33"/>
      <c r="BBK43" s="33"/>
      <c r="BBL43" s="33"/>
      <c r="BBM43" s="33"/>
      <c r="BBN43" s="33"/>
      <c r="BBO43" s="33"/>
      <c r="BBP43" s="33"/>
      <c r="BBQ43" s="33"/>
      <c r="BBR43" s="33"/>
      <c r="BBS43" s="33"/>
      <c r="BBT43" s="33"/>
      <c r="BBU43" s="33"/>
      <c r="BBV43" s="33"/>
      <c r="BBW43" s="33"/>
      <c r="BBX43" s="33"/>
      <c r="BBY43" s="33"/>
      <c r="BBZ43" s="33"/>
      <c r="BCA43" s="33"/>
      <c r="BCB43" s="33"/>
      <c r="BCC43" s="33"/>
      <c r="BCD43" s="33"/>
      <c r="BCE43" s="33"/>
      <c r="BCF43" s="33"/>
      <c r="BCG43" s="33"/>
      <c r="BCH43" s="33"/>
      <c r="BCI43" s="33"/>
      <c r="BCJ43" s="33"/>
      <c r="BCK43" s="33"/>
      <c r="BCL43" s="33"/>
      <c r="BCM43" s="33"/>
      <c r="BCN43" s="33"/>
      <c r="BCO43" s="33"/>
      <c r="BCP43" s="33"/>
      <c r="BCQ43" s="33"/>
      <c r="BCR43" s="33"/>
      <c r="BCS43" s="33"/>
      <c r="BCT43" s="33"/>
      <c r="BCU43" s="33"/>
      <c r="BCV43" s="33"/>
      <c r="BCW43" s="33"/>
      <c r="BCX43" s="33"/>
      <c r="BCY43" s="33"/>
      <c r="BCZ43" s="33"/>
      <c r="BDA43" s="33"/>
      <c r="BDB43" s="33"/>
      <c r="BDC43" s="33"/>
      <c r="BDD43" s="33"/>
      <c r="BDE43" s="33"/>
      <c r="BDF43" s="33"/>
      <c r="BDG43" s="33"/>
      <c r="BDH43" s="33"/>
      <c r="BDI43" s="33"/>
      <c r="BDJ43" s="33"/>
      <c r="BDK43" s="33"/>
      <c r="BDL43" s="33"/>
      <c r="BDM43" s="33"/>
      <c r="BDN43" s="33"/>
      <c r="BDO43" s="33"/>
      <c r="BDP43" s="33"/>
      <c r="BDQ43" s="33"/>
      <c r="BDR43" s="33"/>
      <c r="BDS43" s="33"/>
      <c r="BDT43" s="33"/>
      <c r="BDU43" s="33"/>
      <c r="BDV43" s="33"/>
      <c r="BDW43" s="33"/>
      <c r="BDX43" s="33"/>
      <c r="BDY43" s="33"/>
      <c r="BDZ43" s="33"/>
      <c r="BEA43" s="33"/>
      <c r="BEB43" s="33"/>
      <c r="BEC43" s="33"/>
      <c r="BED43" s="33"/>
      <c r="BEE43" s="33"/>
      <c r="BEF43" s="33"/>
      <c r="BEG43" s="33"/>
      <c r="BEH43" s="33"/>
      <c r="BEI43" s="33"/>
      <c r="BEJ43" s="33"/>
      <c r="BEK43" s="33"/>
      <c r="BEL43" s="33"/>
      <c r="BEM43" s="33"/>
      <c r="BEN43" s="33"/>
      <c r="BEO43" s="33"/>
      <c r="BEP43" s="33"/>
      <c r="BEQ43" s="33"/>
      <c r="BER43" s="33"/>
      <c r="BES43" s="33"/>
      <c r="BET43" s="33"/>
      <c r="BEU43" s="33"/>
      <c r="BEV43" s="33"/>
      <c r="BEW43" s="33"/>
      <c r="BEX43" s="33"/>
      <c r="BEY43" s="33"/>
      <c r="BEZ43" s="33"/>
      <c r="BFA43" s="33"/>
      <c r="BFB43" s="33"/>
      <c r="BFC43" s="33"/>
      <c r="BFD43" s="33"/>
      <c r="BFE43" s="33"/>
      <c r="BFF43" s="33"/>
      <c r="BFG43" s="33"/>
      <c r="BFH43" s="33"/>
      <c r="BFI43" s="33"/>
      <c r="BFJ43" s="33"/>
      <c r="BFK43" s="33"/>
      <c r="BFL43" s="33"/>
      <c r="BFM43" s="33"/>
      <c r="BFN43" s="33"/>
      <c r="BFO43" s="33"/>
      <c r="BFP43" s="33"/>
      <c r="BFQ43" s="33"/>
      <c r="BFR43" s="33"/>
      <c r="BFS43" s="33"/>
      <c r="BFT43" s="33"/>
      <c r="BFU43" s="33"/>
      <c r="BFV43" s="33"/>
      <c r="BFW43" s="33"/>
      <c r="BFX43" s="33"/>
      <c r="BFY43" s="33"/>
      <c r="BFZ43" s="33"/>
      <c r="BGA43" s="33"/>
      <c r="BGB43" s="33"/>
      <c r="BGC43" s="33"/>
      <c r="BGD43" s="33"/>
      <c r="BGE43" s="33"/>
      <c r="BGF43" s="33"/>
      <c r="BGG43" s="33"/>
      <c r="BGH43" s="33"/>
      <c r="BGI43" s="33"/>
      <c r="BGJ43" s="33"/>
      <c r="BGK43" s="33"/>
      <c r="BGL43" s="33"/>
      <c r="BGM43" s="33"/>
      <c r="BGN43" s="33"/>
      <c r="BGO43" s="33"/>
      <c r="BGP43" s="33"/>
      <c r="BGQ43" s="33"/>
      <c r="BGR43" s="33"/>
      <c r="BGS43" s="33"/>
      <c r="BGT43" s="33"/>
      <c r="BGU43" s="33"/>
      <c r="BGV43" s="33"/>
      <c r="BGW43" s="33"/>
      <c r="BGX43" s="33"/>
      <c r="BGY43" s="33"/>
      <c r="BGZ43" s="33"/>
      <c r="BHA43" s="33"/>
      <c r="BHB43" s="33"/>
      <c r="BHC43" s="33"/>
      <c r="BHD43" s="33"/>
      <c r="BHE43" s="33"/>
      <c r="BHF43" s="33"/>
      <c r="BHG43" s="33"/>
      <c r="BHH43" s="33"/>
      <c r="BHI43" s="33"/>
      <c r="BHJ43" s="33"/>
      <c r="BHK43" s="33"/>
      <c r="BHL43" s="33"/>
      <c r="BHM43" s="33"/>
      <c r="BHN43" s="33"/>
      <c r="BHO43" s="33"/>
      <c r="BHP43" s="33"/>
      <c r="BHQ43" s="33"/>
      <c r="BHR43" s="33"/>
      <c r="BHS43" s="33"/>
      <c r="BHT43" s="33"/>
      <c r="BHU43" s="33"/>
      <c r="BHV43" s="33"/>
      <c r="BHW43" s="33"/>
      <c r="BHX43" s="33"/>
      <c r="BHY43" s="33"/>
      <c r="BHZ43" s="33"/>
      <c r="BIA43" s="33"/>
      <c r="BIB43" s="33"/>
      <c r="BIC43" s="33"/>
      <c r="BID43" s="33"/>
      <c r="BIE43" s="33"/>
      <c r="BIF43" s="33"/>
      <c r="BIG43" s="33"/>
      <c r="BIH43" s="33"/>
      <c r="BII43" s="33"/>
      <c r="BIJ43" s="33"/>
      <c r="BIK43" s="33"/>
      <c r="BIL43" s="33"/>
      <c r="BIM43" s="33"/>
      <c r="BIN43" s="33"/>
      <c r="BIO43" s="33"/>
      <c r="BIP43" s="33"/>
      <c r="BIQ43" s="33"/>
      <c r="BIR43" s="33"/>
      <c r="BIS43" s="33"/>
      <c r="BIT43" s="33"/>
      <c r="BIU43" s="33"/>
      <c r="BIV43" s="33"/>
      <c r="BIW43" s="33"/>
      <c r="BIX43" s="33"/>
      <c r="BIY43" s="33"/>
      <c r="BIZ43" s="33"/>
      <c r="BJA43" s="33"/>
      <c r="BJB43" s="33"/>
      <c r="BJC43" s="33"/>
      <c r="BJD43" s="33"/>
      <c r="BJE43" s="33"/>
      <c r="BJF43" s="33"/>
      <c r="BJG43" s="33"/>
      <c r="BJH43" s="33"/>
      <c r="BJI43" s="33"/>
      <c r="BJJ43" s="33"/>
      <c r="BJK43" s="33"/>
      <c r="BJL43" s="33"/>
      <c r="BJM43" s="33"/>
      <c r="BJN43" s="33"/>
      <c r="BJO43" s="33"/>
      <c r="BJP43" s="33"/>
      <c r="BJQ43" s="33"/>
      <c r="BJR43" s="33"/>
      <c r="BJS43" s="33"/>
      <c r="BJT43" s="33"/>
      <c r="BJU43" s="33"/>
      <c r="BJV43" s="33"/>
      <c r="BJW43" s="33"/>
      <c r="BJX43" s="33"/>
      <c r="BJY43" s="33"/>
      <c r="BJZ43" s="33"/>
      <c r="BKA43" s="33"/>
      <c r="BKB43" s="33"/>
      <c r="BKC43" s="33"/>
      <c r="BKD43" s="33"/>
      <c r="BKE43" s="33"/>
      <c r="BKF43" s="33"/>
      <c r="BKG43" s="33"/>
      <c r="BKH43" s="33"/>
      <c r="BKI43" s="33"/>
      <c r="BKJ43" s="33"/>
      <c r="BKK43" s="33"/>
      <c r="BKL43" s="33"/>
      <c r="BKM43" s="33"/>
      <c r="BKN43" s="33"/>
      <c r="BKO43" s="33"/>
      <c r="BKP43" s="33"/>
      <c r="BKQ43" s="33"/>
      <c r="BKR43" s="33"/>
      <c r="BKS43" s="33"/>
      <c r="BKT43" s="33"/>
      <c r="BKU43" s="33"/>
      <c r="BKV43" s="33"/>
      <c r="BKW43" s="33"/>
      <c r="BKX43" s="33"/>
      <c r="BKY43" s="33"/>
      <c r="BKZ43" s="33"/>
      <c r="BLA43" s="33"/>
      <c r="BLB43" s="33"/>
      <c r="BLC43" s="33"/>
      <c r="BLD43" s="33"/>
      <c r="BLE43" s="33"/>
      <c r="BLF43" s="33"/>
      <c r="BLG43" s="33"/>
      <c r="BLH43" s="33"/>
      <c r="BLI43" s="33"/>
      <c r="BLJ43" s="33"/>
      <c r="BLK43" s="33"/>
      <c r="BLL43" s="33"/>
      <c r="BLM43" s="33"/>
      <c r="BLN43" s="33"/>
      <c r="BLO43" s="33"/>
      <c r="BLP43" s="33"/>
      <c r="BLQ43" s="33"/>
      <c r="BLR43" s="33"/>
      <c r="BLS43" s="33"/>
      <c r="BLT43" s="33"/>
      <c r="BLU43" s="33"/>
      <c r="BLV43" s="33"/>
      <c r="BLW43" s="33"/>
      <c r="BLX43" s="33"/>
      <c r="BLY43" s="33"/>
      <c r="BLZ43" s="33"/>
      <c r="BMA43" s="33"/>
      <c r="BMB43" s="33"/>
      <c r="BMC43" s="33"/>
      <c r="BMD43" s="33"/>
      <c r="BME43" s="33"/>
      <c r="BMF43" s="33"/>
      <c r="BMG43" s="33"/>
      <c r="BMH43" s="33"/>
      <c r="BMI43" s="33"/>
      <c r="BMJ43" s="33"/>
      <c r="BMK43" s="33"/>
      <c r="BML43" s="33"/>
      <c r="BMM43" s="33"/>
      <c r="BMN43" s="33"/>
      <c r="BMO43" s="33"/>
      <c r="BMP43" s="33"/>
      <c r="BMQ43" s="33"/>
      <c r="BMR43" s="33"/>
      <c r="BMS43" s="33"/>
      <c r="BMT43" s="33"/>
      <c r="BMU43" s="33"/>
      <c r="BMV43" s="33"/>
      <c r="BMW43" s="33"/>
      <c r="BMX43" s="33"/>
      <c r="BMY43" s="33"/>
      <c r="BMZ43" s="33"/>
      <c r="BNA43" s="33"/>
      <c r="BNB43" s="33"/>
      <c r="BNC43" s="33"/>
      <c r="BND43" s="33"/>
      <c r="BNE43" s="33"/>
      <c r="BNF43" s="33"/>
      <c r="BNG43" s="33"/>
      <c r="BNH43" s="33"/>
      <c r="BNI43" s="33"/>
      <c r="BNJ43" s="33"/>
      <c r="BNK43" s="33"/>
      <c r="BNL43" s="33"/>
      <c r="BNM43" s="33"/>
      <c r="BNN43" s="33"/>
      <c r="BNO43" s="33"/>
      <c r="BNP43" s="33"/>
      <c r="BNQ43" s="33"/>
      <c r="BNR43" s="33"/>
      <c r="BNS43" s="33"/>
      <c r="BNT43" s="33"/>
      <c r="BNU43" s="33"/>
      <c r="BNV43" s="33"/>
      <c r="BNW43" s="33"/>
      <c r="BNX43" s="33"/>
      <c r="BNY43" s="33"/>
      <c r="BNZ43" s="33"/>
      <c r="BOA43" s="33"/>
      <c r="BOB43" s="33"/>
      <c r="BOC43" s="33"/>
      <c r="BOD43" s="33"/>
      <c r="BOE43" s="33"/>
      <c r="BOF43" s="33"/>
      <c r="BOG43" s="33"/>
      <c r="BOH43" s="33"/>
      <c r="BOI43" s="33"/>
      <c r="BOJ43" s="33"/>
      <c r="BOK43" s="33"/>
      <c r="BOL43" s="33"/>
      <c r="BOM43" s="33"/>
      <c r="BON43" s="33"/>
      <c r="BOO43" s="33"/>
      <c r="BOP43" s="33"/>
      <c r="BOQ43" s="33"/>
      <c r="BOR43" s="33"/>
      <c r="BOS43" s="33"/>
      <c r="BOT43" s="33"/>
      <c r="BOU43" s="33"/>
      <c r="BOV43" s="33"/>
      <c r="BOW43" s="33"/>
      <c r="BOX43" s="33"/>
      <c r="BOY43" s="33"/>
      <c r="BOZ43" s="33"/>
      <c r="BPA43" s="33"/>
      <c r="BPB43" s="33"/>
      <c r="BPC43" s="33"/>
      <c r="BPD43" s="33"/>
      <c r="BPE43" s="33"/>
      <c r="BPF43" s="33"/>
      <c r="BPG43" s="33"/>
      <c r="BPH43" s="33"/>
      <c r="BPI43" s="33"/>
      <c r="BPJ43" s="33"/>
      <c r="BPK43" s="33"/>
      <c r="BPL43" s="33"/>
      <c r="BPM43" s="33"/>
      <c r="BPN43" s="33"/>
      <c r="BPO43" s="33"/>
      <c r="BPP43" s="33"/>
      <c r="BPQ43" s="33"/>
      <c r="BPR43" s="33"/>
      <c r="BPS43" s="33"/>
      <c r="BPT43" s="33"/>
      <c r="BPU43" s="33"/>
      <c r="BPV43" s="33"/>
      <c r="BPW43" s="33"/>
      <c r="BPX43" s="33"/>
      <c r="BPY43" s="33"/>
      <c r="BPZ43" s="33"/>
      <c r="BQA43" s="33"/>
      <c r="BQB43" s="33"/>
      <c r="BQC43" s="33"/>
      <c r="BQD43" s="33"/>
      <c r="BQE43" s="33"/>
      <c r="BQF43" s="33"/>
      <c r="BQG43" s="33"/>
      <c r="BQH43" s="33"/>
      <c r="BQI43" s="33"/>
      <c r="BQJ43" s="33"/>
      <c r="BQK43" s="33"/>
      <c r="BQL43" s="33"/>
      <c r="BQM43" s="33"/>
      <c r="BQN43" s="33"/>
      <c r="BQO43" s="33"/>
      <c r="BQP43" s="33"/>
      <c r="BQQ43" s="33"/>
      <c r="BQR43" s="33"/>
      <c r="BQS43" s="33"/>
      <c r="BQT43" s="33"/>
      <c r="BQU43" s="33"/>
      <c r="BQV43" s="33"/>
      <c r="BQW43" s="33"/>
      <c r="BQX43" s="33"/>
      <c r="BQY43" s="33"/>
      <c r="BQZ43" s="33"/>
      <c r="BRA43" s="33"/>
      <c r="BRB43" s="33"/>
      <c r="BRC43" s="33"/>
      <c r="BRD43" s="33"/>
      <c r="BRE43" s="33"/>
      <c r="BRF43" s="33"/>
      <c r="BRG43" s="33"/>
      <c r="BRH43" s="33"/>
      <c r="BRI43" s="33"/>
      <c r="BRJ43" s="33"/>
      <c r="BRK43" s="33"/>
      <c r="BRL43" s="33"/>
      <c r="BRM43" s="33"/>
      <c r="BRN43" s="33"/>
      <c r="BRO43" s="33"/>
      <c r="BRP43" s="33"/>
      <c r="BRQ43" s="33"/>
      <c r="BRR43" s="33"/>
      <c r="BRS43" s="33"/>
      <c r="BRT43" s="33"/>
      <c r="BRU43" s="33"/>
      <c r="BRV43" s="33"/>
      <c r="BRW43" s="33"/>
      <c r="BRX43" s="33"/>
      <c r="BRY43" s="33"/>
      <c r="BRZ43" s="33"/>
      <c r="BSA43" s="33"/>
      <c r="BSB43" s="33"/>
      <c r="BSC43" s="33"/>
      <c r="BSD43" s="33"/>
      <c r="BSE43" s="33"/>
      <c r="BSF43" s="33"/>
      <c r="BSG43" s="33"/>
      <c r="BSH43" s="33"/>
      <c r="BSI43" s="33"/>
      <c r="BSJ43" s="33"/>
      <c r="BSK43" s="33"/>
      <c r="BSL43" s="33"/>
      <c r="BSM43" s="33"/>
      <c r="BSN43" s="33"/>
      <c r="BSO43" s="33"/>
      <c r="BSP43" s="33"/>
      <c r="BSQ43" s="33"/>
      <c r="BSR43" s="33"/>
      <c r="BSS43" s="33"/>
      <c r="BST43" s="33"/>
      <c r="BSU43" s="33"/>
      <c r="BSV43" s="33"/>
      <c r="BSW43" s="33"/>
      <c r="BSX43" s="33"/>
      <c r="BSY43" s="33"/>
      <c r="BSZ43" s="33"/>
      <c r="BTA43" s="33"/>
      <c r="BTB43" s="33"/>
      <c r="BTC43" s="33"/>
      <c r="BTD43" s="33"/>
      <c r="BTE43" s="33"/>
      <c r="BTF43" s="33"/>
      <c r="BTG43" s="33"/>
      <c r="BTH43" s="33"/>
      <c r="BTI43" s="33"/>
      <c r="BTJ43" s="33"/>
      <c r="BTK43" s="33"/>
      <c r="BTL43" s="33"/>
      <c r="BTM43" s="33"/>
      <c r="BTN43" s="33"/>
      <c r="BTO43" s="33"/>
      <c r="BTP43" s="33"/>
      <c r="BTQ43" s="33"/>
      <c r="BTR43" s="33"/>
      <c r="BTS43" s="33"/>
      <c r="BTT43" s="33"/>
      <c r="BTU43" s="33"/>
      <c r="BTV43" s="33"/>
      <c r="BTW43" s="33"/>
      <c r="BTX43" s="33"/>
      <c r="BTY43" s="33"/>
      <c r="BTZ43" s="33"/>
      <c r="BUA43" s="33"/>
      <c r="BUB43" s="33"/>
      <c r="BUC43" s="33"/>
      <c r="BUD43" s="33"/>
      <c r="BUE43" s="33"/>
      <c r="BUF43" s="33"/>
      <c r="BUG43" s="33"/>
      <c r="BUH43" s="33"/>
      <c r="BUI43" s="33"/>
      <c r="BUJ43" s="33"/>
      <c r="BUK43" s="33"/>
      <c r="BUL43" s="33"/>
      <c r="BUM43" s="33"/>
      <c r="BUN43" s="33"/>
      <c r="BUO43" s="33"/>
      <c r="BUP43" s="33"/>
      <c r="BUQ43" s="33"/>
      <c r="BUR43" s="33"/>
      <c r="BUS43" s="33"/>
      <c r="BUT43" s="33"/>
      <c r="BUU43" s="33"/>
      <c r="BUV43" s="33"/>
      <c r="BUW43" s="33"/>
      <c r="BUX43" s="33"/>
      <c r="BUY43" s="33"/>
      <c r="BUZ43" s="33"/>
      <c r="BVA43" s="33"/>
      <c r="BVB43" s="33"/>
      <c r="BVC43" s="33"/>
      <c r="BVD43" s="33"/>
      <c r="BVE43" s="33"/>
      <c r="BVF43" s="33"/>
      <c r="BVG43" s="33"/>
      <c r="BVH43" s="33"/>
      <c r="BVI43" s="33"/>
      <c r="BVJ43" s="33"/>
      <c r="BVK43" s="33"/>
      <c r="BVL43" s="33"/>
      <c r="BVM43" s="33"/>
      <c r="BVN43" s="33"/>
      <c r="BVO43" s="33"/>
      <c r="BVP43" s="33"/>
      <c r="BVQ43" s="33"/>
      <c r="BVR43" s="33"/>
      <c r="BVS43" s="33"/>
      <c r="BVT43" s="33"/>
      <c r="BVU43" s="33"/>
      <c r="BVV43" s="33"/>
      <c r="BVW43" s="33"/>
      <c r="BVX43" s="33"/>
      <c r="BVY43" s="33"/>
      <c r="BVZ43" s="33"/>
      <c r="BWA43" s="33"/>
      <c r="BWB43" s="33"/>
      <c r="BWC43" s="33"/>
      <c r="BWD43" s="33"/>
      <c r="BWE43" s="33"/>
      <c r="BWF43" s="33"/>
      <c r="BWG43" s="33"/>
      <c r="BWH43" s="33"/>
      <c r="BWI43" s="33"/>
      <c r="BWJ43" s="33"/>
      <c r="BWK43" s="33"/>
      <c r="BWL43" s="33"/>
      <c r="BWM43" s="33"/>
      <c r="BWN43" s="33"/>
      <c r="BWO43" s="33"/>
      <c r="BWP43" s="33"/>
      <c r="BWQ43" s="33"/>
      <c r="BWR43" s="33"/>
      <c r="BWS43" s="33"/>
      <c r="BWT43" s="33"/>
      <c r="BWU43" s="33"/>
      <c r="BWV43" s="33"/>
      <c r="BWW43" s="33"/>
      <c r="BWX43" s="33"/>
      <c r="BWY43" s="33"/>
      <c r="BWZ43" s="33"/>
      <c r="BXA43" s="33"/>
      <c r="BXB43" s="33"/>
      <c r="BXC43" s="33"/>
      <c r="BXD43" s="33"/>
      <c r="BXE43" s="33"/>
      <c r="BXF43" s="33"/>
      <c r="BXG43" s="33"/>
      <c r="BXH43" s="33"/>
      <c r="BXI43" s="33"/>
      <c r="BXJ43" s="33"/>
      <c r="BXK43" s="33"/>
      <c r="BXL43" s="33"/>
      <c r="BXM43" s="33"/>
      <c r="BXN43" s="33"/>
      <c r="BXO43" s="33"/>
      <c r="BXP43" s="33"/>
      <c r="BXQ43" s="33"/>
      <c r="BXR43" s="33"/>
      <c r="BXS43" s="33"/>
      <c r="BXT43" s="33"/>
      <c r="BXU43" s="33"/>
      <c r="BXV43" s="33"/>
      <c r="BXW43" s="33"/>
      <c r="BXX43" s="33"/>
      <c r="BXY43" s="33"/>
      <c r="BXZ43" s="33"/>
      <c r="BYA43" s="33"/>
      <c r="BYB43" s="33"/>
      <c r="BYC43" s="33"/>
      <c r="BYD43" s="33"/>
      <c r="BYE43" s="33"/>
      <c r="BYF43" s="33"/>
      <c r="BYG43" s="33"/>
      <c r="BYH43" s="33"/>
      <c r="BYI43" s="33"/>
      <c r="BYJ43" s="33"/>
      <c r="BYK43" s="33"/>
      <c r="BYL43" s="33"/>
      <c r="BYM43" s="33"/>
      <c r="BYN43" s="33"/>
      <c r="BYO43" s="33"/>
      <c r="BYP43" s="33"/>
      <c r="BYQ43" s="33"/>
      <c r="BYR43" s="33"/>
      <c r="BYS43" s="33"/>
      <c r="BYT43" s="33"/>
      <c r="BYU43" s="33"/>
      <c r="BYV43" s="33"/>
      <c r="BYW43" s="33"/>
      <c r="BYX43" s="33"/>
      <c r="BYY43" s="33"/>
      <c r="BYZ43" s="33"/>
      <c r="BZA43" s="33"/>
      <c r="BZB43" s="33"/>
      <c r="BZC43" s="33"/>
      <c r="BZD43" s="33"/>
      <c r="BZE43" s="33"/>
      <c r="BZF43" s="33"/>
      <c r="BZG43" s="33"/>
      <c r="BZH43" s="33"/>
      <c r="BZI43" s="33"/>
      <c r="BZJ43" s="33"/>
      <c r="BZK43" s="33"/>
      <c r="BZL43" s="33"/>
      <c r="BZM43" s="33"/>
      <c r="BZN43" s="33"/>
      <c r="BZO43" s="33"/>
      <c r="BZP43" s="33"/>
      <c r="BZQ43" s="33"/>
      <c r="BZR43" s="33"/>
      <c r="BZS43" s="33"/>
      <c r="BZT43" s="33"/>
      <c r="BZU43" s="33"/>
      <c r="BZV43" s="33"/>
      <c r="BZW43" s="33"/>
      <c r="BZX43" s="33"/>
      <c r="BZY43" s="33"/>
      <c r="BZZ43" s="33"/>
      <c r="CAA43" s="33"/>
      <c r="CAB43" s="33"/>
      <c r="CAC43" s="33"/>
      <c r="CAD43" s="33"/>
      <c r="CAE43" s="33"/>
      <c r="CAF43" s="33"/>
      <c r="CAG43" s="33"/>
      <c r="CAH43" s="33"/>
      <c r="CAI43" s="33"/>
      <c r="CAJ43" s="33"/>
      <c r="CAK43" s="33"/>
      <c r="CAL43" s="33"/>
      <c r="CAM43" s="33"/>
      <c r="CAN43" s="33"/>
      <c r="CAO43" s="33"/>
      <c r="CAP43" s="33"/>
      <c r="CAQ43" s="33"/>
      <c r="CAR43" s="33"/>
      <c r="CAS43" s="33"/>
      <c r="CAT43" s="33"/>
      <c r="CAU43" s="33"/>
      <c r="CAV43" s="33"/>
      <c r="CAW43" s="33"/>
      <c r="CAX43" s="33"/>
      <c r="CAY43" s="33"/>
      <c r="CAZ43" s="33"/>
      <c r="CBA43" s="33"/>
      <c r="CBB43" s="33"/>
      <c r="CBC43" s="33"/>
      <c r="CBD43" s="33"/>
      <c r="CBE43" s="33"/>
      <c r="CBF43" s="33"/>
      <c r="CBG43" s="33"/>
      <c r="CBH43" s="33"/>
      <c r="CBI43" s="33"/>
      <c r="CBJ43" s="33"/>
      <c r="CBK43" s="33"/>
      <c r="CBL43" s="33"/>
      <c r="CBM43" s="33"/>
      <c r="CBN43" s="33"/>
      <c r="CBO43" s="33"/>
      <c r="CBP43" s="33"/>
      <c r="CBQ43" s="33"/>
      <c r="CBR43" s="33"/>
      <c r="CBS43" s="33"/>
      <c r="CBT43" s="33"/>
      <c r="CBU43" s="33"/>
      <c r="CBV43" s="33"/>
      <c r="CBW43" s="33"/>
      <c r="CBX43" s="33"/>
      <c r="CBY43" s="33"/>
      <c r="CBZ43" s="33"/>
      <c r="CCA43" s="33"/>
      <c r="CCB43" s="33"/>
      <c r="CCC43" s="33"/>
      <c r="CCD43" s="33"/>
      <c r="CCE43" s="33"/>
      <c r="CCF43" s="33"/>
      <c r="CCG43" s="33"/>
      <c r="CCH43" s="33"/>
      <c r="CCI43" s="33"/>
      <c r="CCJ43" s="33"/>
      <c r="CCK43" s="33"/>
      <c r="CCL43" s="33"/>
      <c r="CCM43" s="33"/>
      <c r="CCN43" s="33"/>
      <c r="CCO43" s="33"/>
      <c r="CCP43" s="33"/>
      <c r="CCQ43" s="33"/>
      <c r="CCR43" s="33"/>
      <c r="CCS43" s="33"/>
      <c r="CCT43" s="33"/>
      <c r="CCU43" s="33"/>
      <c r="CCV43" s="33"/>
      <c r="CCW43" s="33"/>
      <c r="CCX43" s="33"/>
      <c r="CCY43" s="33"/>
      <c r="CCZ43" s="33"/>
      <c r="CDA43" s="33"/>
      <c r="CDB43" s="33"/>
      <c r="CDC43" s="33"/>
      <c r="CDD43" s="33"/>
      <c r="CDE43" s="33"/>
      <c r="CDF43" s="33"/>
      <c r="CDG43" s="33"/>
      <c r="CDH43" s="33"/>
      <c r="CDI43" s="33"/>
      <c r="CDJ43" s="33"/>
      <c r="CDK43" s="33"/>
      <c r="CDL43" s="33"/>
      <c r="CDM43" s="33"/>
      <c r="CDN43" s="33"/>
      <c r="CDO43" s="33"/>
      <c r="CDP43" s="33"/>
      <c r="CDQ43" s="33"/>
      <c r="CDR43" s="33"/>
      <c r="CDS43" s="33"/>
      <c r="CDT43" s="33"/>
      <c r="CDU43" s="33"/>
      <c r="CDV43" s="33"/>
      <c r="CDW43" s="33"/>
      <c r="CDX43" s="33"/>
      <c r="CDY43" s="33"/>
      <c r="CDZ43" s="33"/>
      <c r="CEA43" s="33"/>
      <c r="CEB43" s="33"/>
      <c r="CEC43" s="33"/>
      <c r="CED43" s="33"/>
      <c r="CEE43" s="33"/>
      <c r="CEF43" s="33"/>
      <c r="CEG43" s="33"/>
      <c r="CEH43" s="33"/>
      <c r="CEI43" s="33"/>
      <c r="CEJ43" s="33"/>
      <c r="CEK43" s="33"/>
      <c r="CEL43" s="33"/>
      <c r="CEM43" s="33"/>
      <c r="CEN43" s="33"/>
      <c r="CEO43" s="33"/>
      <c r="CEP43" s="33"/>
      <c r="CEQ43" s="33"/>
      <c r="CER43" s="33"/>
      <c r="CES43" s="33"/>
      <c r="CET43" s="33"/>
      <c r="CEU43" s="33"/>
      <c r="CEV43" s="33"/>
      <c r="CEW43" s="33"/>
      <c r="CEX43" s="33"/>
      <c r="CEY43" s="33"/>
      <c r="CEZ43" s="33"/>
      <c r="CFA43" s="33"/>
      <c r="CFB43" s="33"/>
      <c r="CFC43" s="33"/>
      <c r="CFD43" s="33"/>
      <c r="CFE43" s="33"/>
      <c r="CFF43" s="33"/>
      <c r="CFG43" s="33"/>
      <c r="CFH43" s="33"/>
      <c r="CFI43" s="33"/>
      <c r="CFJ43" s="33"/>
      <c r="CFK43" s="33"/>
      <c r="CFL43" s="33"/>
      <c r="CFM43" s="33"/>
      <c r="CFN43" s="33"/>
      <c r="CFO43" s="33"/>
      <c r="CFP43" s="33"/>
      <c r="CFQ43" s="33"/>
      <c r="CFR43" s="33"/>
      <c r="CFS43" s="33"/>
      <c r="CFT43" s="33"/>
      <c r="CFU43" s="33"/>
      <c r="CFV43" s="33"/>
      <c r="CFW43" s="33"/>
      <c r="CFX43" s="33"/>
      <c r="CFY43" s="33"/>
      <c r="CFZ43" s="33"/>
      <c r="CGA43" s="33"/>
      <c r="CGB43" s="33"/>
      <c r="CGC43" s="33"/>
      <c r="CGD43" s="33"/>
      <c r="CGE43" s="33"/>
      <c r="CGF43" s="33"/>
      <c r="CGG43" s="33"/>
      <c r="CGH43" s="33"/>
      <c r="CGI43" s="33"/>
      <c r="CGJ43" s="33"/>
      <c r="CGK43" s="33"/>
      <c r="CGL43" s="33"/>
      <c r="CGM43" s="33"/>
      <c r="CGN43" s="33"/>
      <c r="CGO43" s="33"/>
      <c r="CGP43" s="33"/>
      <c r="CGQ43" s="33"/>
      <c r="CGR43" s="33"/>
      <c r="CGS43" s="33"/>
      <c r="CGT43" s="33"/>
      <c r="CGU43" s="33"/>
      <c r="CGV43" s="33"/>
      <c r="CGW43" s="33"/>
      <c r="CGX43" s="33"/>
      <c r="CGY43" s="33"/>
      <c r="CGZ43" s="33"/>
      <c r="CHA43" s="33"/>
      <c r="CHB43" s="33"/>
      <c r="CHC43" s="33"/>
      <c r="CHD43" s="33"/>
      <c r="CHE43" s="33"/>
      <c r="CHF43" s="33"/>
      <c r="CHG43" s="33"/>
      <c r="CHH43" s="33"/>
      <c r="CHI43" s="33"/>
      <c r="CHJ43" s="33"/>
      <c r="CHK43" s="33"/>
      <c r="CHL43" s="33"/>
      <c r="CHM43" s="33"/>
      <c r="CHN43" s="33"/>
      <c r="CHO43" s="33"/>
      <c r="CHP43" s="33"/>
      <c r="CHQ43" s="33"/>
      <c r="CHR43" s="33"/>
      <c r="CHS43" s="33"/>
      <c r="CHT43" s="33"/>
      <c r="CHU43" s="33"/>
      <c r="CHV43" s="33"/>
      <c r="CHW43" s="33"/>
      <c r="CHX43" s="33"/>
      <c r="CHY43" s="33"/>
      <c r="CHZ43" s="33"/>
      <c r="CIA43" s="33"/>
      <c r="CIB43" s="33"/>
      <c r="CIC43" s="33"/>
      <c r="CID43" s="33"/>
      <c r="CIE43" s="33"/>
      <c r="CIF43" s="33"/>
      <c r="CIG43" s="33"/>
      <c r="CIH43" s="33"/>
      <c r="CII43" s="33"/>
      <c r="CIJ43" s="33"/>
      <c r="CIK43" s="33"/>
      <c r="CIL43" s="33"/>
      <c r="CIM43" s="33"/>
      <c r="CIN43" s="33"/>
      <c r="CIO43" s="33"/>
      <c r="CIP43" s="33"/>
      <c r="CIQ43" s="33"/>
      <c r="CIR43" s="33"/>
      <c r="CIS43" s="33"/>
      <c r="CIT43" s="33"/>
      <c r="CIU43" s="33"/>
      <c r="CIV43" s="33"/>
      <c r="CIW43" s="33"/>
      <c r="CIX43" s="33"/>
      <c r="CIY43" s="33"/>
      <c r="CIZ43" s="33"/>
      <c r="CJA43" s="33"/>
      <c r="CJB43" s="33"/>
      <c r="CJC43" s="33"/>
      <c r="CJD43" s="33"/>
      <c r="CJE43" s="33"/>
      <c r="CJF43" s="33"/>
      <c r="CJG43" s="33"/>
      <c r="CJH43" s="33"/>
      <c r="CJI43" s="33"/>
      <c r="CJJ43" s="33"/>
      <c r="CJK43" s="33"/>
      <c r="CJL43" s="33"/>
      <c r="CJM43" s="33"/>
      <c r="CJN43" s="33"/>
      <c r="CJO43" s="33"/>
      <c r="CJP43" s="33"/>
      <c r="CJQ43" s="33"/>
      <c r="CJR43" s="33"/>
      <c r="CJS43" s="33"/>
      <c r="CJT43" s="33"/>
      <c r="CJU43" s="33"/>
      <c r="CJV43" s="33"/>
      <c r="CJW43" s="33"/>
      <c r="CJX43" s="33"/>
      <c r="CJY43" s="33"/>
      <c r="CJZ43" s="33"/>
      <c r="CKA43" s="33"/>
      <c r="CKB43" s="33"/>
      <c r="CKC43" s="33"/>
      <c r="CKD43" s="33"/>
      <c r="CKE43" s="33"/>
      <c r="CKF43" s="33"/>
      <c r="CKG43" s="33"/>
      <c r="CKH43" s="33"/>
      <c r="CKI43" s="33"/>
      <c r="CKJ43" s="33"/>
      <c r="CKK43" s="33"/>
      <c r="CKL43" s="33"/>
      <c r="CKM43" s="33"/>
      <c r="CKN43" s="33"/>
      <c r="CKO43" s="33"/>
      <c r="CKP43" s="33"/>
      <c r="CKQ43" s="33"/>
      <c r="CKR43" s="33"/>
      <c r="CKS43" s="33"/>
      <c r="CKT43" s="33"/>
      <c r="CKU43" s="33"/>
      <c r="CKV43" s="33"/>
      <c r="CKW43" s="33"/>
      <c r="CKX43" s="33"/>
      <c r="CKY43" s="33"/>
      <c r="CKZ43" s="33"/>
      <c r="CLA43" s="33"/>
      <c r="CLB43" s="33"/>
      <c r="CLC43" s="33"/>
      <c r="CLD43" s="33"/>
      <c r="CLE43" s="33"/>
      <c r="CLF43" s="33"/>
      <c r="CLG43" s="33"/>
      <c r="CLH43" s="33"/>
      <c r="CLI43" s="33"/>
      <c r="CLJ43" s="33"/>
      <c r="CLK43" s="33"/>
      <c r="CLL43" s="33"/>
      <c r="CLM43" s="33"/>
      <c r="CLN43" s="33"/>
      <c r="CLO43" s="33"/>
      <c r="CLP43" s="33"/>
      <c r="CLQ43" s="33"/>
      <c r="CLR43" s="33"/>
      <c r="CLS43" s="33"/>
      <c r="CLT43" s="33"/>
      <c r="CLU43" s="33"/>
      <c r="CLV43" s="33"/>
      <c r="CLW43" s="33"/>
      <c r="CLX43" s="33"/>
      <c r="CLY43" s="33"/>
      <c r="CLZ43" s="33"/>
      <c r="CMA43" s="33"/>
      <c r="CMB43" s="33"/>
      <c r="CMC43" s="33"/>
      <c r="CMD43" s="33"/>
      <c r="CME43" s="33"/>
      <c r="CMF43" s="33"/>
      <c r="CMG43" s="33"/>
      <c r="CMH43" s="33"/>
      <c r="CMI43" s="33"/>
      <c r="CMJ43" s="33"/>
      <c r="CMK43" s="33"/>
      <c r="CML43" s="33"/>
      <c r="CMM43" s="33"/>
      <c r="CMN43" s="33"/>
      <c r="CMO43" s="33"/>
      <c r="CMP43" s="33"/>
      <c r="CMQ43" s="33"/>
      <c r="CMR43" s="33"/>
      <c r="CMS43" s="33"/>
      <c r="CMT43" s="33"/>
      <c r="CMU43" s="33"/>
      <c r="CMV43" s="33"/>
      <c r="CMW43" s="33"/>
      <c r="CMX43" s="33"/>
      <c r="CMY43" s="33"/>
      <c r="CMZ43" s="33"/>
      <c r="CNA43" s="33"/>
      <c r="CNB43" s="33"/>
      <c r="CNC43" s="33"/>
      <c r="CND43" s="33"/>
      <c r="CNE43" s="33"/>
      <c r="CNF43" s="33"/>
      <c r="CNG43" s="33"/>
      <c r="CNH43" s="33"/>
      <c r="CNI43" s="33"/>
      <c r="CNJ43" s="33"/>
      <c r="CNK43" s="33"/>
      <c r="CNL43" s="33"/>
      <c r="CNM43" s="33"/>
      <c r="CNN43" s="33"/>
      <c r="CNO43" s="33"/>
      <c r="CNP43" s="33"/>
      <c r="CNQ43" s="33"/>
      <c r="CNR43" s="33"/>
      <c r="CNS43" s="33"/>
      <c r="CNT43" s="33"/>
      <c r="CNU43" s="33"/>
      <c r="CNV43" s="33"/>
      <c r="CNW43" s="33"/>
      <c r="CNX43" s="33"/>
      <c r="CNY43" s="33"/>
      <c r="CNZ43" s="33"/>
      <c r="COA43" s="33"/>
      <c r="COB43" s="33"/>
      <c r="COC43" s="33"/>
      <c r="COD43" s="33"/>
      <c r="COE43" s="33"/>
      <c r="COF43" s="33"/>
      <c r="COG43" s="33"/>
      <c r="COH43" s="33"/>
      <c r="COI43" s="33"/>
      <c r="COJ43" s="33"/>
      <c r="COK43" s="33"/>
      <c r="COL43" s="33"/>
      <c r="COM43" s="33"/>
      <c r="CON43" s="33"/>
      <c r="COO43" s="33"/>
      <c r="COP43" s="33"/>
      <c r="COQ43" s="33"/>
      <c r="COR43" s="33"/>
      <c r="COS43" s="33"/>
      <c r="COT43" s="33"/>
      <c r="COU43" s="33"/>
      <c r="COV43" s="33"/>
      <c r="COW43" s="33"/>
      <c r="COX43" s="33"/>
      <c r="COY43" s="33"/>
      <c r="COZ43" s="33"/>
      <c r="CPA43" s="33"/>
      <c r="CPB43" s="33"/>
      <c r="CPC43" s="33"/>
      <c r="CPD43" s="33"/>
      <c r="CPE43" s="33"/>
      <c r="CPF43" s="33"/>
      <c r="CPG43" s="33"/>
      <c r="CPH43" s="33"/>
      <c r="CPI43" s="33"/>
      <c r="CPJ43" s="33"/>
      <c r="CPK43" s="33"/>
      <c r="CPL43" s="33"/>
      <c r="CPM43" s="33"/>
      <c r="CPN43" s="33"/>
      <c r="CPO43" s="33"/>
      <c r="CPP43" s="33"/>
      <c r="CPQ43" s="33"/>
      <c r="CPR43" s="33"/>
      <c r="CPS43" s="33"/>
      <c r="CPT43" s="33"/>
      <c r="CPU43" s="33"/>
      <c r="CPV43" s="33"/>
      <c r="CPW43" s="33"/>
      <c r="CPX43" s="33"/>
      <c r="CPY43" s="33"/>
      <c r="CPZ43" s="33"/>
      <c r="CQA43" s="33"/>
      <c r="CQB43" s="33"/>
      <c r="CQC43" s="33"/>
      <c r="CQD43" s="33"/>
      <c r="CQE43" s="33"/>
      <c r="CQF43" s="33"/>
      <c r="CQG43" s="33"/>
      <c r="CQH43" s="33"/>
      <c r="CQI43" s="33"/>
      <c r="CQJ43" s="33"/>
      <c r="CQK43" s="33"/>
      <c r="CQL43" s="33"/>
      <c r="CQM43" s="33"/>
      <c r="CQN43" s="33"/>
      <c r="CQO43" s="33"/>
      <c r="CQP43" s="33"/>
      <c r="CQQ43" s="33"/>
      <c r="CQR43" s="33"/>
      <c r="CQS43" s="33"/>
      <c r="CQT43" s="33"/>
      <c r="CQU43" s="33"/>
      <c r="CQV43" s="33"/>
      <c r="CQW43" s="33"/>
      <c r="CQX43" s="33"/>
      <c r="CQY43" s="33"/>
      <c r="CQZ43" s="33"/>
      <c r="CRA43" s="33"/>
      <c r="CRB43" s="33"/>
      <c r="CRC43" s="33"/>
      <c r="CRD43" s="33"/>
      <c r="CRE43" s="33"/>
      <c r="CRF43" s="33"/>
      <c r="CRG43" s="33"/>
      <c r="CRH43" s="33"/>
      <c r="CRI43" s="33"/>
      <c r="CRJ43" s="33"/>
      <c r="CRK43" s="33"/>
      <c r="CRL43" s="33"/>
      <c r="CRM43" s="33"/>
      <c r="CRN43" s="33"/>
      <c r="CRO43" s="33"/>
      <c r="CRP43" s="33"/>
      <c r="CRQ43" s="33"/>
      <c r="CRR43" s="33"/>
      <c r="CRS43" s="33"/>
      <c r="CRT43" s="33"/>
      <c r="CRU43" s="33"/>
      <c r="CRV43" s="33"/>
      <c r="CRW43" s="33"/>
      <c r="CRX43" s="33"/>
      <c r="CRY43" s="33"/>
      <c r="CRZ43" s="33"/>
      <c r="CSA43" s="33"/>
      <c r="CSB43" s="33"/>
      <c r="CSC43" s="33"/>
      <c r="CSD43" s="33"/>
      <c r="CSE43" s="33"/>
      <c r="CSF43" s="33"/>
      <c r="CSG43" s="33"/>
      <c r="CSH43" s="33"/>
      <c r="CSI43" s="33"/>
      <c r="CSJ43" s="33"/>
      <c r="CSK43" s="33"/>
      <c r="CSL43" s="33"/>
      <c r="CSM43" s="33"/>
      <c r="CSN43" s="33"/>
      <c r="CSO43" s="33"/>
      <c r="CSP43" s="33"/>
      <c r="CSQ43" s="33"/>
      <c r="CSR43" s="33"/>
      <c r="CSS43" s="33"/>
      <c r="CST43" s="33"/>
      <c r="CSU43" s="33"/>
      <c r="CSV43" s="33"/>
      <c r="CSW43" s="33"/>
      <c r="CSX43" s="33"/>
      <c r="CSY43" s="33"/>
      <c r="CSZ43" s="33"/>
      <c r="CTA43" s="33"/>
      <c r="CTB43" s="33"/>
      <c r="CTC43" s="33"/>
      <c r="CTD43" s="33"/>
      <c r="CTE43" s="33"/>
      <c r="CTF43" s="33"/>
      <c r="CTG43" s="33"/>
      <c r="CTH43" s="33"/>
      <c r="CTI43" s="33"/>
      <c r="CTJ43" s="33"/>
      <c r="CTK43" s="33"/>
      <c r="CTL43" s="33"/>
      <c r="CTM43" s="33"/>
      <c r="CTN43" s="33"/>
      <c r="CTO43" s="33"/>
      <c r="CTP43" s="33"/>
      <c r="CTQ43" s="33"/>
      <c r="CTR43" s="33"/>
      <c r="CTS43" s="33"/>
      <c r="CTT43" s="33"/>
      <c r="CTU43" s="33"/>
      <c r="CTV43" s="33"/>
      <c r="CTW43" s="33"/>
      <c r="CTX43" s="33"/>
      <c r="CTY43" s="33"/>
      <c r="CTZ43" s="33"/>
      <c r="CUA43" s="33"/>
      <c r="CUB43" s="33"/>
      <c r="CUC43" s="33"/>
      <c r="CUD43" s="33"/>
      <c r="CUE43" s="33"/>
      <c r="CUF43" s="33"/>
      <c r="CUG43" s="33"/>
      <c r="CUH43" s="33"/>
      <c r="CUI43" s="33"/>
      <c r="CUJ43" s="33"/>
      <c r="CUK43" s="33"/>
      <c r="CUL43" s="33"/>
      <c r="CUM43" s="33"/>
      <c r="CUN43" s="33"/>
      <c r="CUO43" s="33"/>
      <c r="CUP43" s="33"/>
      <c r="CUQ43" s="33"/>
      <c r="CUR43" s="33"/>
      <c r="CUS43" s="33"/>
      <c r="CUT43" s="33"/>
      <c r="CUU43" s="33"/>
      <c r="CUV43" s="33"/>
      <c r="CUW43" s="33"/>
      <c r="CUX43" s="33"/>
      <c r="CUY43" s="33"/>
      <c r="CUZ43" s="33"/>
      <c r="CVA43" s="33"/>
      <c r="CVB43" s="33"/>
      <c r="CVC43" s="33"/>
      <c r="CVD43" s="33"/>
      <c r="CVE43" s="33"/>
      <c r="CVF43" s="33"/>
      <c r="CVG43" s="33"/>
      <c r="CVH43" s="33"/>
      <c r="CVI43" s="33"/>
      <c r="CVJ43" s="33"/>
      <c r="CVK43" s="33"/>
      <c r="CVL43" s="33"/>
      <c r="CVM43" s="33"/>
      <c r="CVN43" s="33"/>
      <c r="CVO43" s="33"/>
      <c r="CVP43" s="33"/>
      <c r="CVQ43" s="33"/>
      <c r="CVR43" s="33"/>
      <c r="CVS43" s="33"/>
      <c r="CVT43" s="33"/>
      <c r="CVU43" s="33"/>
      <c r="CVV43" s="33"/>
      <c r="CVW43" s="33"/>
      <c r="CVX43" s="33"/>
      <c r="CVY43" s="33"/>
      <c r="CVZ43" s="33"/>
      <c r="CWA43" s="33"/>
      <c r="CWB43" s="33"/>
      <c r="CWC43" s="33"/>
      <c r="CWD43" s="33"/>
      <c r="CWE43" s="33"/>
      <c r="CWF43" s="33"/>
      <c r="CWG43" s="33"/>
      <c r="CWH43" s="33"/>
      <c r="CWI43" s="33"/>
      <c r="CWJ43" s="33"/>
      <c r="CWK43" s="33"/>
      <c r="CWL43" s="33"/>
      <c r="CWM43" s="33"/>
      <c r="CWN43" s="33"/>
      <c r="CWO43" s="33"/>
      <c r="CWP43" s="33"/>
      <c r="CWQ43" s="33"/>
      <c r="CWR43" s="33"/>
      <c r="CWS43" s="33"/>
      <c r="CWT43" s="33"/>
      <c r="CWU43" s="33"/>
      <c r="CWV43" s="33"/>
      <c r="CWW43" s="33"/>
      <c r="CWX43" s="33"/>
      <c r="CWY43" s="33"/>
      <c r="CWZ43" s="33"/>
      <c r="CXA43" s="33"/>
      <c r="CXB43" s="33"/>
      <c r="CXC43" s="33"/>
      <c r="CXD43" s="33"/>
      <c r="CXE43" s="33"/>
      <c r="CXF43" s="33"/>
      <c r="CXG43" s="33"/>
      <c r="CXH43" s="33"/>
      <c r="CXI43" s="33"/>
      <c r="CXJ43" s="33"/>
      <c r="CXK43" s="33"/>
      <c r="CXL43" s="33"/>
      <c r="CXM43" s="33"/>
      <c r="CXN43" s="33"/>
      <c r="CXO43" s="33"/>
      <c r="CXP43" s="33"/>
      <c r="CXQ43" s="33"/>
      <c r="CXR43" s="33"/>
      <c r="CXS43" s="33"/>
      <c r="CXT43" s="33"/>
      <c r="CXU43" s="33"/>
      <c r="CXV43" s="33"/>
      <c r="CXW43" s="33"/>
      <c r="CXX43" s="33"/>
      <c r="CXY43" s="33"/>
      <c r="CXZ43" s="33"/>
      <c r="CYA43" s="33"/>
      <c r="CYB43" s="33"/>
      <c r="CYC43" s="33"/>
      <c r="CYD43" s="33"/>
      <c r="CYE43" s="33"/>
      <c r="CYF43" s="33"/>
      <c r="CYG43" s="33"/>
      <c r="CYH43" s="33"/>
      <c r="CYI43" s="33"/>
      <c r="CYJ43" s="33"/>
      <c r="CYK43" s="33"/>
      <c r="CYL43" s="33"/>
      <c r="CYM43" s="33"/>
      <c r="CYN43" s="33"/>
      <c r="CYO43" s="33"/>
      <c r="CYP43" s="33"/>
      <c r="CYQ43" s="33"/>
      <c r="CYR43" s="33"/>
      <c r="CYS43" s="33"/>
      <c r="CYT43" s="33"/>
      <c r="CYU43" s="33"/>
      <c r="CYV43" s="33"/>
      <c r="CYW43" s="33"/>
      <c r="CYX43" s="33"/>
      <c r="CYY43" s="33"/>
      <c r="CYZ43" s="33"/>
      <c r="CZA43" s="33"/>
      <c r="CZB43" s="33"/>
      <c r="CZC43" s="33"/>
      <c r="CZD43" s="33"/>
      <c r="CZE43" s="33"/>
      <c r="CZF43" s="33"/>
      <c r="CZG43" s="33"/>
      <c r="CZH43" s="33"/>
      <c r="CZI43" s="33"/>
      <c r="CZJ43" s="33"/>
      <c r="CZK43" s="33"/>
      <c r="CZL43" s="33"/>
      <c r="CZM43" s="33"/>
      <c r="CZN43" s="33"/>
      <c r="CZO43" s="33"/>
      <c r="CZP43" s="33"/>
      <c r="CZQ43" s="33"/>
      <c r="CZR43" s="33"/>
      <c r="CZS43" s="33"/>
      <c r="CZT43" s="33"/>
      <c r="CZU43" s="33"/>
      <c r="CZV43" s="33"/>
      <c r="CZW43" s="33"/>
      <c r="CZX43" s="33"/>
      <c r="CZY43" s="33"/>
      <c r="CZZ43" s="33"/>
      <c r="DAA43" s="33"/>
      <c r="DAB43" s="33"/>
      <c r="DAC43" s="33"/>
      <c r="DAD43" s="33"/>
      <c r="DAE43" s="33"/>
      <c r="DAF43" s="33"/>
      <c r="DAG43" s="33"/>
      <c r="DAH43" s="33"/>
      <c r="DAI43" s="33"/>
      <c r="DAJ43" s="33"/>
      <c r="DAK43" s="33"/>
      <c r="DAL43" s="33"/>
      <c r="DAM43" s="33"/>
      <c r="DAN43" s="33"/>
      <c r="DAO43" s="33"/>
      <c r="DAP43" s="33"/>
      <c r="DAQ43" s="33"/>
      <c r="DAR43" s="33"/>
      <c r="DAS43" s="33"/>
      <c r="DAT43" s="33"/>
      <c r="DAU43" s="33"/>
      <c r="DAV43" s="33"/>
      <c r="DAW43" s="33"/>
      <c r="DAX43" s="33"/>
      <c r="DAY43" s="33"/>
      <c r="DAZ43" s="33"/>
      <c r="DBA43" s="33"/>
      <c r="DBB43" s="33"/>
      <c r="DBC43" s="33"/>
      <c r="DBD43" s="33"/>
      <c r="DBE43" s="33"/>
      <c r="DBF43" s="33"/>
      <c r="DBG43" s="33"/>
      <c r="DBH43" s="33"/>
      <c r="DBI43" s="33"/>
      <c r="DBJ43" s="33"/>
      <c r="DBK43" s="33"/>
      <c r="DBL43" s="33"/>
      <c r="DBM43" s="33"/>
      <c r="DBN43" s="33"/>
      <c r="DBO43" s="33"/>
      <c r="DBP43" s="33"/>
      <c r="DBQ43" s="33"/>
      <c r="DBR43" s="33"/>
      <c r="DBS43" s="33"/>
      <c r="DBT43" s="33"/>
      <c r="DBU43" s="33"/>
      <c r="DBV43" s="33"/>
      <c r="DBW43" s="33"/>
      <c r="DBX43" s="33"/>
      <c r="DBY43" s="33"/>
      <c r="DBZ43" s="33"/>
      <c r="DCA43" s="33"/>
      <c r="DCB43" s="33"/>
      <c r="DCC43" s="33"/>
      <c r="DCD43" s="33"/>
      <c r="DCE43" s="33"/>
      <c r="DCF43" s="33"/>
      <c r="DCG43" s="33"/>
      <c r="DCH43" s="33"/>
      <c r="DCI43" s="33"/>
      <c r="DCJ43" s="33"/>
      <c r="DCK43" s="33"/>
      <c r="DCL43" s="33"/>
      <c r="DCM43" s="33"/>
      <c r="DCN43" s="33"/>
      <c r="DCO43" s="33"/>
      <c r="DCP43" s="33"/>
      <c r="DCQ43" s="33"/>
      <c r="DCR43" s="33"/>
      <c r="DCS43" s="33"/>
      <c r="DCT43" s="33"/>
      <c r="DCU43" s="33"/>
      <c r="DCV43" s="33"/>
      <c r="DCW43" s="33"/>
      <c r="DCX43" s="33"/>
      <c r="DCY43" s="33"/>
      <c r="DCZ43" s="33"/>
      <c r="DDA43" s="33"/>
      <c r="DDB43" s="33"/>
      <c r="DDC43" s="33"/>
      <c r="DDD43" s="33"/>
      <c r="DDE43" s="33"/>
      <c r="DDF43" s="33"/>
      <c r="DDG43" s="33"/>
      <c r="DDH43" s="33"/>
      <c r="DDI43" s="33"/>
      <c r="DDJ43" s="33"/>
      <c r="DDK43" s="33"/>
      <c r="DDL43" s="33"/>
      <c r="DDM43" s="33"/>
      <c r="DDN43" s="33"/>
      <c r="DDO43" s="33"/>
      <c r="DDP43" s="33"/>
      <c r="DDQ43" s="33"/>
      <c r="DDR43" s="33"/>
      <c r="DDS43" s="33"/>
      <c r="DDT43" s="33"/>
      <c r="DDU43" s="33"/>
      <c r="DDV43" s="33"/>
      <c r="DDW43" s="33"/>
      <c r="DDX43" s="33"/>
      <c r="DDY43" s="33"/>
      <c r="DDZ43" s="33"/>
      <c r="DEA43" s="33"/>
      <c r="DEB43" s="33"/>
      <c r="DEC43" s="33"/>
      <c r="DED43" s="33"/>
      <c r="DEE43" s="33"/>
      <c r="DEF43" s="33"/>
      <c r="DEG43" s="33"/>
      <c r="DEH43" s="33"/>
      <c r="DEI43" s="33"/>
      <c r="DEJ43" s="33"/>
      <c r="DEK43" s="33"/>
      <c r="DEL43" s="33"/>
      <c r="DEM43" s="33"/>
      <c r="DEN43" s="33"/>
      <c r="DEO43" s="33"/>
      <c r="DEP43" s="33"/>
      <c r="DEQ43" s="33"/>
      <c r="DER43" s="33"/>
      <c r="DES43" s="33"/>
      <c r="DET43" s="33"/>
      <c r="DEU43" s="33"/>
      <c r="DEV43" s="33"/>
      <c r="DEW43" s="33"/>
      <c r="DEX43" s="33"/>
      <c r="DEY43" s="33"/>
      <c r="DEZ43" s="33"/>
      <c r="DFA43" s="33"/>
      <c r="DFB43" s="33"/>
      <c r="DFC43" s="33"/>
      <c r="DFD43" s="33"/>
      <c r="DFE43" s="33"/>
      <c r="DFF43" s="33"/>
      <c r="DFG43" s="33"/>
      <c r="DFH43" s="33"/>
      <c r="DFI43" s="33"/>
      <c r="DFJ43" s="33"/>
      <c r="DFK43" s="33"/>
      <c r="DFL43" s="33"/>
      <c r="DFM43" s="33"/>
      <c r="DFN43" s="33"/>
      <c r="DFO43" s="33"/>
      <c r="DFP43" s="33"/>
      <c r="DFQ43" s="33"/>
      <c r="DFR43" s="33"/>
      <c r="DFS43" s="33"/>
      <c r="DFT43" s="33"/>
      <c r="DFU43" s="33"/>
      <c r="DFV43" s="33"/>
      <c r="DFW43" s="33"/>
      <c r="DFX43" s="33"/>
      <c r="DFY43" s="33"/>
      <c r="DFZ43" s="33"/>
      <c r="DGA43" s="33"/>
      <c r="DGB43" s="33"/>
      <c r="DGC43" s="33"/>
      <c r="DGD43" s="33"/>
      <c r="DGE43" s="33"/>
      <c r="DGF43" s="33"/>
      <c r="DGG43" s="33"/>
      <c r="DGH43" s="33"/>
      <c r="DGI43" s="33"/>
      <c r="DGJ43" s="33"/>
      <c r="DGK43" s="33"/>
      <c r="DGL43" s="33"/>
      <c r="DGM43" s="33"/>
      <c r="DGN43" s="33"/>
      <c r="DGO43" s="33"/>
      <c r="DGP43" s="33"/>
      <c r="DGQ43" s="33"/>
      <c r="DGR43" s="33"/>
      <c r="DGS43" s="33"/>
      <c r="DGT43" s="33"/>
      <c r="DGU43" s="33"/>
      <c r="DGV43" s="33"/>
      <c r="DGW43" s="33"/>
      <c r="DGX43" s="33"/>
      <c r="DGY43" s="33"/>
      <c r="DGZ43" s="33"/>
      <c r="DHA43" s="33"/>
      <c r="DHB43" s="33"/>
      <c r="DHC43" s="33"/>
      <c r="DHD43" s="33"/>
      <c r="DHE43" s="33"/>
      <c r="DHF43" s="33"/>
      <c r="DHG43" s="33"/>
      <c r="DHH43" s="33"/>
      <c r="DHI43" s="33"/>
      <c r="DHJ43" s="33"/>
      <c r="DHK43" s="33"/>
      <c r="DHL43" s="33"/>
      <c r="DHM43" s="33"/>
      <c r="DHN43" s="33"/>
      <c r="DHO43" s="33"/>
      <c r="DHP43" s="33"/>
      <c r="DHQ43" s="33"/>
      <c r="DHR43" s="33"/>
      <c r="DHS43" s="33"/>
      <c r="DHT43" s="33"/>
      <c r="DHU43" s="33"/>
      <c r="DHV43" s="33"/>
      <c r="DHW43" s="33"/>
      <c r="DHX43" s="33"/>
      <c r="DHY43" s="33"/>
      <c r="DHZ43" s="33"/>
      <c r="DIA43" s="33"/>
      <c r="DIB43" s="33"/>
      <c r="DIC43" s="33"/>
      <c r="DID43" s="33"/>
      <c r="DIE43" s="33"/>
      <c r="DIF43" s="33"/>
      <c r="DIG43" s="33"/>
      <c r="DIH43" s="33"/>
      <c r="DII43" s="33"/>
      <c r="DIJ43" s="33"/>
      <c r="DIK43" s="33"/>
      <c r="DIL43" s="33"/>
      <c r="DIM43" s="33"/>
      <c r="DIN43" s="33"/>
      <c r="DIO43" s="33"/>
      <c r="DIP43" s="33"/>
      <c r="DIQ43" s="33"/>
      <c r="DIR43" s="33"/>
      <c r="DIS43" s="33"/>
      <c r="DIT43" s="33"/>
      <c r="DIU43" s="33"/>
      <c r="DIV43" s="33"/>
      <c r="DIW43" s="33"/>
      <c r="DIX43" s="33"/>
      <c r="DIY43" s="33"/>
      <c r="DIZ43" s="33"/>
      <c r="DJA43" s="33"/>
      <c r="DJB43" s="33"/>
      <c r="DJC43" s="33"/>
      <c r="DJD43" s="33"/>
      <c r="DJE43" s="33"/>
      <c r="DJF43" s="33"/>
      <c r="DJG43" s="33"/>
      <c r="DJH43" s="33"/>
      <c r="DJI43" s="33"/>
      <c r="DJJ43" s="33"/>
      <c r="DJK43" s="33"/>
      <c r="DJL43" s="33"/>
      <c r="DJM43" s="33"/>
      <c r="DJN43" s="33"/>
      <c r="DJO43" s="33"/>
      <c r="DJP43" s="33"/>
      <c r="DJQ43" s="33"/>
      <c r="DJR43" s="33"/>
      <c r="DJS43" s="33"/>
      <c r="DJT43" s="33"/>
      <c r="DJU43" s="33"/>
      <c r="DJV43" s="33"/>
      <c r="DJW43" s="33"/>
      <c r="DJX43" s="33"/>
      <c r="DJY43" s="33"/>
      <c r="DJZ43" s="33"/>
      <c r="DKA43" s="33"/>
      <c r="DKB43" s="33"/>
      <c r="DKC43" s="33"/>
      <c r="DKD43" s="33"/>
      <c r="DKE43" s="33"/>
      <c r="DKF43" s="33"/>
      <c r="DKG43" s="33"/>
      <c r="DKH43" s="33"/>
      <c r="DKI43" s="33"/>
      <c r="DKJ43" s="33"/>
      <c r="DKK43" s="33"/>
      <c r="DKL43" s="33"/>
      <c r="DKM43" s="33"/>
      <c r="DKN43" s="33"/>
      <c r="DKO43" s="33"/>
      <c r="DKP43" s="33"/>
      <c r="DKQ43" s="33"/>
      <c r="DKR43" s="33"/>
      <c r="DKS43" s="33"/>
      <c r="DKT43" s="33"/>
      <c r="DKU43" s="33"/>
      <c r="DKV43" s="33"/>
      <c r="DKW43" s="33"/>
      <c r="DKX43" s="33"/>
      <c r="DKY43" s="33"/>
      <c r="DKZ43" s="33"/>
      <c r="DLA43" s="33"/>
      <c r="DLB43" s="33"/>
      <c r="DLC43" s="33"/>
      <c r="DLD43" s="33"/>
      <c r="DLE43" s="33"/>
      <c r="DLF43" s="33"/>
      <c r="DLG43" s="33"/>
      <c r="DLH43" s="33"/>
      <c r="DLI43" s="33"/>
      <c r="DLJ43" s="33"/>
      <c r="DLK43" s="33"/>
      <c r="DLL43" s="33"/>
      <c r="DLM43" s="33"/>
      <c r="DLN43" s="33"/>
      <c r="DLO43" s="33"/>
      <c r="DLP43" s="33"/>
      <c r="DLQ43" s="33"/>
      <c r="DLR43" s="33"/>
      <c r="DLS43" s="33"/>
      <c r="DLT43" s="33"/>
      <c r="DLU43" s="33"/>
      <c r="DLV43" s="33"/>
      <c r="DLW43" s="33"/>
      <c r="DLX43" s="33"/>
      <c r="DLY43" s="33"/>
      <c r="DLZ43" s="33"/>
      <c r="DMA43" s="33"/>
      <c r="DMB43" s="33"/>
      <c r="DMC43" s="33"/>
      <c r="DMD43" s="33"/>
      <c r="DME43" s="33"/>
      <c r="DMF43" s="33"/>
      <c r="DMG43" s="33"/>
      <c r="DMH43" s="33"/>
      <c r="DMI43" s="33"/>
      <c r="DMJ43" s="33"/>
      <c r="DMK43" s="33"/>
      <c r="DML43" s="33"/>
      <c r="DMM43" s="33"/>
      <c r="DMN43" s="33"/>
      <c r="DMO43" s="33"/>
      <c r="DMP43" s="33"/>
      <c r="DMQ43" s="33"/>
      <c r="DMR43" s="33"/>
      <c r="DMS43" s="33"/>
      <c r="DMT43" s="33"/>
      <c r="DMU43" s="33"/>
      <c r="DMV43" s="33"/>
      <c r="DMW43" s="33"/>
      <c r="DMX43" s="33"/>
      <c r="DMY43" s="33"/>
      <c r="DMZ43" s="33"/>
      <c r="DNA43" s="33"/>
      <c r="DNB43" s="33"/>
      <c r="DNC43" s="33"/>
      <c r="DND43" s="33"/>
      <c r="DNE43" s="33"/>
      <c r="DNF43" s="33"/>
      <c r="DNG43" s="33"/>
      <c r="DNH43" s="33"/>
      <c r="DNI43" s="33"/>
      <c r="DNJ43" s="33"/>
      <c r="DNK43" s="33"/>
      <c r="DNL43" s="33"/>
      <c r="DNM43" s="33"/>
      <c r="DNN43" s="33"/>
      <c r="DNO43" s="33"/>
      <c r="DNP43" s="33"/>
      <c r="DNQ43" s="33"/>
      <c r="DNR43" s="33"/>
      <c r="DNS43" s="33"/>
      <c r="DNT43" s="33"/>
      <c r="DNU43" s="33"/>
      <c r="DNV43" s="33"/>
      <c r="DNW43" s="33"/>
      <c r="DNX43" s="33"/>
      <c r="DNY43" s="33"/>
      <c r="DNZ43" s="33"/>
      <c r="DOA43" s="33"/>
      <c r="DOB43" s="33"/>
      <c r="DOC43" s="33"/>
      <c r="DOD43" s="33"/>
      <c r="DOE43" s="33"/>
      <c r="DOF43" s="33"/>
      <c r="DOG43" s="33"/>
      <c r="DOH43" s="33"/>
      <c r="DOI43" s="33"/>
      <c r="DOJ43" s="33"/>
      <c r="DOK43" s="33"/>
      <c r="DOL43" s="33"/>
      <c r="DOM43" s="33"/>
      <c r="DON43" s="33"/>
      <c r="DOO43" s="33"/>
      <c r="DOP43" s="33"/>
      <c r="DOQ43" s="33"/>
      <c r="DOR43" s="33"/>
      <c r="DOS43" s="33"/>
      <c r="DOT43" s="33"/>
      <c r="DOU43" s="33"/>
      <c r="DOV43" s="33"/>
      <c r="DOW43" s="33"/>
      <c r="DOX43" s="33"/>
      <c r="DOY43" s="33"/>
      <c r="DOZ43" s="33"/>
      <c r="DPA43" s="33"/>
      <c r="DPB43" s="33"/>
      <c r="DPC43" s="33"/>
      <c r="DPD43" s="33"/>
      <c r="DPE43" s="33"/>
      <c r="DPF43" s="33"/>
      <c r="DPG43" s="33"/>
      <c r="DPH43" s="33"/>
      <c r="DPI43" s="33"/>
      <c r="DPJ43" s="33"/>
      <c r="DPK43" s="33"/>
      <c r="DPL43" s="33"/>
      <c r="DPM43" s="33"/>
      <c r="DPN43" s="33"/>
      <c r="DPO43" s="33"/>
      <c r="DPP43" s="33"/>
      <c r="DPQ43" s="33"/>
      <c r="DPR43" s="33"/>
      <c r="DPS43" s="33"/>
      <c r="DPT43" s="33"/>
      <c r="DPU43" s="33"/>
      <c r="DPV43" s="33"/>
      <c r="DPW43" s="33"/>
      <c r="DPX43" s="33"/>
      <c r="DPY43" s="33"/>
      <c r="DPZ43" s="33"/>
      <c r="DQA43" s="33"/>
      <c r="DQB43" s="33"/>
      <c r="DQC43" s="33"/>
      <c r="DQD43" s="33"/>
      <c r="DQE43" s="33"/>
      <c r="DQF43" s="33"/>
      <c r="DQG43" s="33"/>
      <c r="DQH43" s="33"/>
      <c r="DQI43" s="33"/>
      <c r="DQJ43" s="33"/>
      <c r="DQK43" s="33"/>
      <c r="DQL43" s="33"/>
      <c r="DQM43" s="33"/>
      <c r="DQN43" s="33"/>
      <c r="DQO43" s="33"/>
      <c r="DQP43" s="33"/>
      <c r="DQQ43" s="33"/>
      <c r="DQR43" s="33"/>
      <c r="DQS43" s="33"/>
      <c r="DQT43" s="33"/>
      <c r="DQU43" s="33"/>
      <c r="DQV43" s="33"/>
      <c r="DQW43" s="33"/>
      <c r="DQX43" s="33"/>
      <c r="DQY43" s="33"/>
      <c r="DQZ43" s="33"/>
      <c r="DRA43" s="33"/>
      <c r="DRB43" s="33"/>
      <c r="DRC43" s="33"/>
      <c r="DRD43" s="33"/>
      <c r="DRE43" s="33"/>
      <c r="DRF43" s="33"/>
      <c r="DRG43" s="33"/>
      <c r="DRH43" s="33"/>
      <c r="DRI43" s="33"/>
      <c r="DRJ43" s="33"/>
      <c r="DRK43" s="33"/>
      <c r="DRL43" s="33"/>
      <c r="DRM43" s="33"/>
      <c r="DRN43" s="33"/>
      <c r="DRO43" s="33"/>
      <c r="DRP43" s="33"/>
      <c r="DRQ43" s="33"/>
      <c r="DRR43" s="33"/>
      <c r="DRS43" s="33"/>
      <c r="DRT43" s="33"/>
      <c r="DRU43" s="33"/>
      <c r="DRV43" s="33"/>
      <c r="DRW43" s="33"/>
      <c r="DRX43" s="33"/>
      <c r="DRY43" s="33"/>
      <c r="DRZ43" s="33"/>
      <c r="DSA43" s="33"/>
      <c r="DSB43" s="33"/>
      <c r="DSC43" s="33"/>
      <c r="DSD43" s="33"/>
      <c r="DSE43" s="33"/>
      <c r="DSF43" s="33"/>
      <c r="DSG43" s="33"/>
      <c r="DSH43" s="33"/>
      <c r="DSI43" s="33"/>
      <c r="DSJ43" s="33"/>
      <c r="DSK43" s="33"/>
      <c r="DSL43" s="33"/>
      <c r="DSM43" s="33"/>
      <c r="DSN43" s="33"/>
      <c r="DSO43" s="33"/>
      <c r="DSP43" s="33"/>
      <c r="DSQ43" s="33"/>
      <c r="DSR43" s="33"/>
      <c r="DSS43" s="33"/>
      <c r="DST43" s="33"/>
      <c r="DSU43" s="33"/>
      <c r="DSV43" s="33"/>
      <c r="DSW43" s="33"/>
      <c r="DSX43" s="33"/>
      <c r="DSY43" s="33"/>
      <c r="DSZ43" s="33"/>
      <c r="DTA43" s="33"/>
      <c r="DTB43" s="33"/>
      <c r="DTC43" s="33"/>
      <c r="DTD43" s="33"/>
      <c r="DTE43" s="33"/>
      <c r="DTF43" s="33"/>
      <c r="DTG43" s="33"/>
      <c r="DTH43" s="33"/>
      <c r="DTI43" s="33"/>
      <c r="DTJ43" s="33"/>
      <c r="DTK43" s="33"/>
      <c r="DTL43" s="33"/>
      <c r="DTM43" s="33"/>
      <c r="DTN43" s="33"/>
      <c r="DTO43" s="33"/>
      <c r="DTP43" s="33"/>
      <c r="DTQ43" s="33"/>
      <c r="DTR43" s="33"/>
      <c r="DTS43" s="33"/>
      <c r="DTT43" s="33"/>
      <c r="DTU43" s="33"/>
      <c r="DTV43" s="33"/>
      <c r="DTW43" s="33"/>
      <c r="DTX43" s="33"/>
      <c r="DTY43" s="33"/>
      <c r="DTZ43" s="33"/>
      <c r="DUA43" s="33"/>
      <c r="DUB43" s="33"/>
      <c r="DUC43" s="33"/>
      <c r="DUD43" s="33"/>
      <c r="DUE43" s="33"/>
      <c r="DUF43" s="33"/>
      <c r="DUG43" s="33"/>
      <c r="DUH43" s="33"/>
      <c r="DUI43" s="33"/>
      <c r="DUJ43" s="33"/>
      <c r="DUK43" s="33"/>
      <c r="DUL43" s="33"/>
      <c r="DUM43" s="33"/>
      <c r="DUN43" s="33"/>
      <c r="DUO43" s="33"/>
      <c r="DUP43" s="33"/>
      <c r="DUQ43" s="33"/>
      <c r="DUR43" s="33"/>
      <c r="DUS43" s="33"/>
      <c r="DUT43" s="33"/>
      <c r="DUU43" s="33"/>
      <c r="DUV43" s="33"/>
      <c r="DUW43" s="33"/>
      <c r="DUX43" s="33"/>
      <c r="DUY43" s="33"/>
      <c r="DUZ43" s="33"/>
      <c r="DVA43" s="33"/>
      <c r="DVB43" s="33"/>
      <c r="DVC43" s="33"/>
      <c r="DVD43" s="33"/>
      <c r="DVE43" s="33"/>
      <c r="DVF43" s="33"/>
      <c r="DVG43" s="33"/>
      <c r="DVH43" s="33"/>
      <c r="DVI43" s="33"/>
      <c r="DVJ43" s="33"/>
      <c r="DVK43" s="33"/>
      <c r="DVL43" s="33"/>
      <c r="DVM43" s="33"/>
      <c r="DVN43" s="33"/>
      <c r="DVO43" s="33"/>
      <c r="DVP43" s="33"/>
      <c r="DVQ43" s="33"/>
      <c r="DVR43" s="33"/>
      <c r="DVS43" s="33"/>
      <c r="DVT43" s="33"/>
      <c r="DVU43" s="33"/>
      <c r="DVV43" s="33"/>
      <c r="DVW43" s="33"/>
      <c r="DVX43" s="33"/>
      <c r="DVY43" s="33"/>
      <c r="DVZ43" s="33"/>
      <c r="DWA43" s="33"/>
      <c r="DWB43" s="33"/>
      <c r="DWC43" s="33"/>
      <c r="DWD43" s="33"/>
      <c r="DWE43" s="33"/>
      <c r="DWF43" s="33"/>
      <c r="DWG43" s="33"/>
      <c r="DWH43" s="33"/>
      <c r="DWI43" s="33"/>
      <c r="DWJ43" s="33"/>
      <c r="DWK43" s="33"/>
      <c r="DWL43" s="33"/>
      <c r="DWM43" s="33"/>
      <c r="DWN43" s="33"/>
      <c r="DWO43" s="33"/>
      <c r="DWP43" s="33"/>
      <c r="DWQ43" s="33"/>
      <c r="DWR43" s="33"/>
      <c r="DWS43" s="33"/>
      <c r="DWT43" s="33"/>
      <c r="DWU43" s="33"/>
      <c r="DWV43" s="33"/>
      <c r="DWW43" s="33"/>
      <c r="DWX43" s="33"/>
      <c r="DWY43" s="33"/>
      <c r="DWZ43" s="33"/>
      <c r="DXA43" s="33"/>
      <c r="DXB43" s="33"/>
      <c r="DXC43" s="33"/>
      <c r="DXD43" s="33"/>
      <c r="DXE43" s="33"/>
      <c r="DXF43" s="33"/>
      <c r="DXG43" s="33"/>
      <c r="DXH43" s="33"/>
      <c r="DXI43" s="33"/>
      <c r="DXJ43" s="33"/>
      <c r="DXK43" s="33"/>
      <c r="DXL43" s="33"/>
      <c r="DXM43" s="33"/>
      <c r="DXN43" s="33"/>
      <c r="DXO43" s="33"/>
      <c r="DXP43" s="33"/>
      <c r="DXQ43" s="33"/>
      <c r="DXR43" s="33"/>
      <c r="DXS43" s="33"/>
      <c r="DXT43" s="33"/>
      <c r="DXU43" s="33"/>
      <c r="DXV43" s="33"/>
      <c r="DXW43" s="33"/>
      <c r="DXX43" s="33"/>
      <c r="DXY43" s="33"/>
      <c r="DXZ43" s="33"/>
      <c r="DYA43" s="33"/>
      <c r="DYB43" s="33"/>
      <c r="DYC43" s="33"/>
      <c r="DYD43" s="33"/>
      <c r="DYE43" s="33"/>
      <c r="DYF43" s="33"/>
      <c r="DYG43" s="33"/>
      <c r="DYH43" s="33"/>
      <c r="DYI43" s="33"/>
      <c r="DYJ43" s="33"/>
      <c r="DYK43" s="33"/>
      <c r="DYL43" s="33"/>
      <c r="DYM43" s="33"/>
      <c r="DYN43" s="33"/>
      <c r="DYO43" s="33"/>
      <c r="DYP43" s="33"/>
      <c r="DYQ43" s="33"/>
      <c r="DYR43" s="33"/>
      <c r="DYS43" s="33"/>
      <c r="DYT43" s="33"/>
      <c r="DYU43" s="33"/>
      <c r="DYV43" s="33"/>
      <c r="DYW43" s="33"/>
      <c r="DYX43" s="33"/>
      <c r="DYY43" s="33"/>
      <c r="DYZ43" s="33"/>
      <c r="DZA43" s="33"/>
      <c r="DZB43" s="33"/>
      <c r="DZC43" s="33"/>
      <c r="DZD43" s="33"/>
      <c r="DZE43" s="33"/>
      <c r="DZF43" s="33"/>
      <c r="DZG43" s="33"/>
      <c r="DZH43" s="33"/>
      <c r="DZI43" s="33"/>
      <c r="DZJ43" s="33"/>
      <c r="DZK43" s="33"/>
      <c r="DZL43" s="33"/>
      <c r="DZM43" s="33"/>
      <c r="DZN43" s="33"/>
      <c r="DZO43" s="33"/>
      <c r="DZP43" s="33"/>
      <c r="DZQ43" s="33"/>
      <c r="DZR43" s="33"/>
      <c r="DZS43" s="33"/>
      <c r="DZT43" s="33"/>
      <c r="DZU43" s="33"/>
      <c r="DZV43" s="33"/>
      <c r="DZW43" s="33"/>
      <c r="DZX43" s="33"/>
      <c r="DZY43" s="33"/>
      <c r="DZZ43" s="33"/>
      <c r="EAA43" s="33"/>
      <c r="EAB43" s="33"/>
      <c r="EAC43" s="33"/>
      <c r="EAD43" s="33"/>
      <c r="EAE43" s="33"/>
      <c r="EAF43" s="33"/>
      <c r="EAG43" s="33"/>
      <c r="EAH43" s="33"/>
      <c r="EAI43" s="33"/>
      <c r="EAJ43" s="33"/>
      <c r="EAK43" s="33"/>
      <c r="EAL43" s="33"/>
      <c r="EAM43" s="33"/>
      <c r="EAN43" s="33"/>
      <c r="EAO43" s="33"/>
      <c r="EAP43" s="33"/>
      <c r="EAQ43" s="33"/>
      <c r="EAR43" s="33"/>
      <c r="EAS43" s="33"/>
      <c r="EAT43" s="33"/>
      <c r="EAU43" s="33"/>
      <c r="EAV43" s="33"/>
      <c r="EAW43" s="33"/>
      <c r="EAX43" s="33"/>
      <c r="EAY43" s="33"/>
      <c r="EAZ43" s="33"/>
      <c r="EBA43" s="33"/>
      <c r="EBB43" s="33"/>
      <c r="EBC43" s="33"/>
      <c r="EBD43" s="33"/>
      <c r="EBE43" s="33"/>
      <c r="EBF43" s="33"/>
      <c r="EBG43" s="33"/>
      <c r="EBH43" s="33"/>
      <c r="EBI43" s="33"/>
      <c r="EBJ43" s="33"/>
      <c r="EBK43" s="33"/>
      <c r="EBL43" s="33"/>
      <c r="EBM43" s="33"/>
      <c r="EBN43" s="33"/>
      <c r="EBO43" s="33"/>
      <c r="EBP43" s="33"/>
      <c r="EBQ43" s="33"/>
      <c r="EBR43" s="33"/>
      <c r="EBS43" s="33"/>
      <c r="EBT43" s="33"/>
      <c r="EBU43" s="33"/>
      <c r="EBV43" s="33"/>
      <c r="EBW43" s="33"/>
      <c r="EBX43" s="33"/>
      <c r="EBY43" s="33"/>
      <c r="EBZ43" s="33"/>
      <c r="ECA43" s="33"/>
      <c r="ECB43" s="33"/>
      <c r="ECC43" s="33"/>
      <c r="ECD43" s="33"/>
      <c r="ECE43" s="33"/>
      <c r="ECF43" s="33"/>
      <c r="ECG43" s="33"/>
      <c r="ECH43" s="33"/>
      <c r="ECI43" s="33"/>
      <c r="ECJ43" s="33"/>
      <c r="ECK43" s="33"/>
      <c r="ECL43" s="33"/>
      <c r="ECM43" s="33"/>
      <c r="ECN43" s="33"/>
      <c r="ECO43" s="33"/>
      <c r="ECP43" s="33"/>
      <c r="ECQ43" s="33"/>
      <c r="ECR43" s="33"/>
      <c r="ECS43" s="33"/>
      <c r="ECT43" s="33"/>
      <c r="ECU43" s="33"/>
      <c r="ECV43" s="33"/>
      <c r="ECW43" s="33"/>
      <c r="ECX43" s="33"/>
      <c r="ECY43" s="33"/>
      <c r="ECZ43" s="33"/>
      <c r="EDA43" s="33"/>
      <c r="EDB43" s="33"/>
      <c r="EDC43" s="33"/>
      <c r="EDD43" s="33"/>
      <c r="EDE43" s="33"/>
      <c r="EDF43" s="33"/>
      <c r="EDG43" s="33"/>
      <c r="EDH43" s="33"/>
      <c r="EDI43" s="33"/>
      <c r="EDJ43" s="33"/>
      <c r="EDK43" s="33"/>
      <c r="EDL43" s="33"/>
      <c r="EDM43" s="33"/>
      <c r="EDN43" s="33"/>
      <c r="EDO43" s="33"/>
      <c r="EDP43" s="33"/>
      <c r="EDQ43" s="33"/>
      <c r="EDR43" s="33"/>
      <c r="EDS43" s="33"/>
      <c r="EDT43" s="33"/>
      <c r="EDU43" s="33"/>
      <c r="EDV43" s="33"/>
      <c r="EDW43" s="33"/>
      <c r="EDX43" s="33"/>
      <c r="EDY43" s="33"/>
      <c r="EDZ43" s="33"/>
      <c r="EEA43" s="33"/>
      <c r="EEB43" s="33"/>
      <c r="EEC43" s="33"/>
      <c r="EED43" s="33"/>
      <c r="EEE43" s="33"/>
      <c r="EEF43" s="33"/>
      <c r="EEG43" s="33"/>
      <c r="EEH43" s="33"/>
      <c r="EEI43" s="33"/>
      <c r="EEJ43" s="33"/>
      <c r="EEK43" s="33"/>
      <c r="EEL43" s="33"/>
      <c r="EEM43" s="33"/>
      <c r="EEN43" s="33"/>
      <c r="EEO43" s="33"/>
      <c r="EEP43" s="33"/>
      <c r="EEQ43" s="33"/>
      <c r="EER43" s="33"/>
      <c r="EES43" s="33"/>
      <c r="EET43" s="33"/>
      <c r="EEU43" s="33"/>
      <c r="EEV43" s="33"/>
      <c r="EEW43" s="33"/>
      <c r="EEX43" s="33"/>
      <c r="EEY43" s="33"/>
      <c r="EEZ43" s="33"/>
      <c r="EFA43" s="33"/>
      <c r="EFB43" s="33"/>
      <c r="EFC43" s="33"/>
      <c r="EFD43" s="33"/>
      <c r="EFE43" s="33"/>
      <c r="EFF43" s="33"/>
      <c r="EFG43" s="33"/>
      <c r="EFH43" s="33"/>
      <c r="EFI43" s="33"/>
      <c r="EFJ43" s="33"/>
      <c r="EFK43" s="33"/>
      <c r="EFL43" s="33"/>
      <c r="EFM43" s="33"/>
      <c r="EFN43" s="33"/>
      <c r="EFO43" s="33"/>
      <c r="EFP43" s="33"/>
      <c r="EFQ43" s="33"/>
      <c r="EFR43" s="33"/>
      <c r="EFS43" s="33"/>
      <c r="EFT43" s="33"/>
      <c r="EFU43" s="33"/>
      <c r="EFV43" s="33"/>
      <c r="EFW43" s="33"/>
      <c r="EFX43" s="33"/>
      <c r="EFY43" s="33"/>
      <c r="EFZ43" s="33"/>
      <c r="EGA43" s="33"/>
      <c r="EGB43" s="33"/>
      <c r="EGC43" s="33"/>
      <c r="EGD43" s="33"/>
      <c r="EGE43" s="33"/>
      <c r="EGF43" s="33"/>
      <c r="EGG43" s="33"/>
      <c r="EGH43" s="33"/>
      <c r="EGI43" s="33"/>
      <c r="EGJ43" s="33"/>
      <c r="EGK43" s="33"/>
      <c r="EGL43" s="33"/>
      <c r="EGM43" s="33"/>
      <c r="EGN43" s="33"/>
      <c r="EGO43" s="33"/>
      <c r="EGP43" s="33"/>
      <c r="EGQ43" s="33"/>
      <c r="EGR43" s="33"/>
      <c r="EGS43" s="33"/>
      <c r="EGT43" s="33"/>
      <c r="EGU43" s="33"/>
      <c r="EGV43" s="33"/>
      <c r="EGW43" s="33"/>
      <c r="EGX43" s="33"/>
      <c r="EGY43" s="33"/>
      <c r="EGZ43" s="33"/>
      <c r="EHA43" s="33"/>
      <c r="EHB43" s="33"/>
      <c r="EHC43" s="33"/>
      <c r="EHD43" s="33"/>
      <c r="EHE43" s="33"/>
      <c r="EHF43" s="33"/>
      <c r="EHG43" s="33"/>
      <c r="EHH43" s="33"/>
      <c r="EHI43" s="33"/>
      <c r="EHJ43" s="33"/>
      <c r="EHK43" s="33"/>
      <c r="EHL43" s="33"/>
      <c r="EHM43" s="33"/>
      <c r="EHN43" s="33"/>
      <c r="EHO43" s="33"/>
      <c r="EHP43" s="33"/>
      <c r="EHQ43" s="33"/>
      <c r="EHR43" s="33"/>
      <c r="EHS43" s="33"/>
      <c r="EHT43" s="33"/>
      <c r="EHU43" s="33"/>
      <c r="EHV43" s="33"/>
      <c r="EHW43" s="33"/>
      <c r="EHX43" s="33"/>
      <c r="EHY43" s="33"/>
      <c r="EHZ43" s="33"/>
      <c r="EIA43" s="33"/>
      <c r="EIB43" s="33"/>
      <c r="EIC43" s="33"/>
      <c r="EID43" s="33"/>
      <c r="EIE43" s="33"/>
      <c r="EIF43" s="33"/>
      <c r="EIG43" s="33"/>
      <c r="EIH43" s="33"/>
      <c r="EII43" s="33"/>
      <c r="EIJ43" s="33"/>
      <c r="EIK43" s="33"/>
      <c r="EIL43" s="33"/>
      <c r="EIM43" s="33"/>
      <c r="EIN43" s="33"/>
      <c r="EIO43" s="33"/>
      <c r="EIP43" s="33"/>
      <c r="EIQ43" s="33"/>
      <c r="EIR43" s="33"/>
      <c r="EIS43" s="33"/>
      <c r="EIT43" s="33"/>
      <c r="EIU43" s="33"/>
      <c r="EIV43" s="33"/>
      <c r="EIW43" s="33"/>
      <c r="EIX43" s="33"/>
      <c r="EIY43" s="33"/>
      <c r="EIZ43" s="33"/>
      <c r="EJA43" s="33"/>
      <c r="EJB43" s="33"/>
      <c r="EJC43" s="33"/>
      <c r="EJD43" s="33"/>
      <c r="EJE43" s="33"/>
      <c r="EJF43" s="33"/>
      <c r="EJG43" s="33"/>
      <c r="EJH43" s="33"/>
      <c r="EJI43" s="33"/>
      <c r="EJJ43" s="33"/>
      <c r="EJK43" s="33"/>
      <c r="EJL43" s="33"/>
      <c r="EJM43" s="33"/>
      <c r="EJN43" s="33"/>
      <c r="EJO43" s="33"/>
      <c r="EJP43" s="33"/>
      <c r="EJQ43" s="33"/>
      <c r="EJR43" s="33"/>
      <c r="EJS43" s="33"/>
      <c r="EJT43" s="33"/>
      <c r="EJU43" s="33"/>
      <c r="EJV43" s="33"/>
      <c r="EJW43" s="33"/>
      <c r="EJX43" s="33"/>
      <c r="EJY43" s="33"/>
      <c r="EJZ43" s="33"/>
      <c r="EKA43" s="33"/>
      <c r="EKB43" s="33"/>
      <c r="EKC43" s="33"/>
      <c r="EKD43" s="33"/>
      <c r="EKE43" s="33"/>
      <c r="EKF43" s="33"/>
      <c r="EKG43" s="33"/>
      <c r="EKH43" s="33"/>
      <c r="EKI43" s="33"/>
      <c r="EKJ43" s="33"/>
      <c r="EKK43" s="33"/>
      <c r="EKL43" s="33"/>
      <c r="EKM43" s="33"/>
      <c r="EKN43" s="33"/>
      <c r="EKO43" s="33"/>
      <c r="EKP43" s="33"/>
      <c r="EKQ43" s="33"/>
      <c r="EKR43" s="33"/>
      <c r="EKS43" s="33"/>
      <c r="EKT43" s="33"/>
      <c r="EKU43" s="33"/>
      <c r="EKV43" s="33"/>
      <c r="EKW43" s="33"/>
      <c r="EKX43" s="33"/>
      <c r="EKY43" s="33"/>
      <c r="EKZ43" s="33"/>
      <c r="ELA43" s="33"/>
      <c r="ELB43" s="33"/>
      <c r="ELC43" s="33"/>
      <c r="ELD43" s="33"/>
      <c r="ELE43" s="33"/>
      <c r="ELF43" s="33"/>
      <c r="ELG43" s="33"/>
      <c r="ELH43" s="33"/>
      <c r="ELI43" s="33"/>
      <c r="ELJ43" s="33"/>
      <c r="ELK43" s="33"/>
      <c r="ELL43" s="33"/>
      <c r="ELM43" s="33"/>
      <c r="ELN43" s="33"/>
      <c r="ELO43" s="33"/>
      <c r="ELP43" s="33"/>
      <c r="ELQ43" s="33"/>
      <c r="ELR43" s="33"/>
      <c r="ELS43" s="33"/>
      <c r="ELT43" s="33"/>
      <c r="ELU43" s="33"/>
      <c r="ELV43" s="33"/>
      <c r="ELW43" s="33"/>
      <c r="ELX43" s="33"/>
      <c r="ELY43" s="33"/>
      <c r="ELZ43" s="33"/>
      <c r="EMA43" s="33"/>
      <c r="EMB43" s="33"/>
      <c r="EMC43" s="33"/>
      <c r="EMD43" s="33"/>
      <c r="EME43" s="33"/>
      <c r="EMF43" s="33"/>
      <c r="EMG43" s="33"/>
      <c r="EMH43" s="33"/>
      <c r="EMI43" s="33"/>
      <c r="EMJ43" s="33"/>
      <c r="EMK43" s="33"/>
      <c r="EML43" s="33"/>
      <c r="EMM43" s="33"/>
      <c r="EMN43" s="33"/>
      <c r="EMO43" s="33"/>
      <c r="EMP43" s="33"/>
      <c r="EMQ43" s="33"/>
      <c r="EMR43" s="33"/>
      <c r="EMS43" s="33"/>
      <c r="EMT43" s="33"/>
      <c r="EMU43" s="33"/>
      <c r="EMV43" s="33"/>
      <c r="EMW43" s="33"/>
      <c r="EMX43" s="33"/>
      <c r="EMY43" s="33"/>
      <c r="EMZ43" s="33"/>
      <c r="ENA43" s="33"/>
      <c r="ENB43" s="33"/>
      <c r="ENC43" s="33"/>
      <c r="END43" s="33"/>
      <c r="ENE43" s="33"/>
      <c r="ENF43" s="33"/>
      <c r="ENG43" s="33"/>
      <c r="ENH43" s="33"/>
      <c r="ENI43" s="33"/>
      <c r="ENJ43" s="33"/>
      <c r="ENK43" s="33"/>
      <c r="ENL43" s="33"/>
      <c r="ENM43" s="33"/>
      <c r="ENN43" s="33"/>
      <c r="ENO43" s="33"/>
      <c r="ENP43" s="33"/>
      <c r="ENQ43" s="33"/>
      <c r="ENR43" s="33"/>
      <c r="ENS43" s="33"/>
      <c r="ENT43" s="33"/>
      <c r="ENU43" s="33"/>
      <c r="ENV43" s="33"/>
      <c r="ENW43" s="33"/>
      <c r="ENX43" s="33"/>
      <c r="ENY43" s="33"/>
      <c r="ENZ43" s="33"/>
      <c r="EOA43" s="33"/>
      <c r="EOB43" s="33"/>
      <c r="EOC43" s="33"/>
      <c r="EOD43" s="33"/>
      <c r="EOE43" s="33"/>
      <c r="EOF43" s="33"/>
      <c r="EOG43" s="33"/>
      <c r="EOH43" s="33"/>
      <c r="EOI43" s="33"/>
      <c r="EOJ43" s="33"/>
      <c r="EOK43" s="33"/>
      <c r="EOL43" s="33"/>
      <c r="EOM43" s="33"/>
      <c r="EON43" s="33"/>
      <c r="EOO43" s="33"/>
      <c r="EOP43" s="33"/>
      <c r="EOQ43" s="33"/>
      <c r="EOR43" s="33"/>
      <c r="EOS43" s="33"/>
      <c r="EOT43" s="33"/>
      <c r="EOU43" s="33"/>
      <c r="EOV43" s="33"/>
      <c r="EOW43" s="33"/>
      <c r="EOX43" s="33"/>
      <c r="EOY43" s="33"/>
      <c r="EOZ43" s="33"/>
      <c r="EPA43" s="33"/>
      <c r="EPB43" s="33"/>
      <c r="EPC43" s="33"/>
      <c r="EPD43" s="33"/>
      <c r="EPE43" s="33"/>
      <c r="EPF43" s="33"/>
      <c r="EPG43" s="33"/>
      <c r="EPH43" s="33"/>
      <c r="EPI43" s="33"/>
      <c r="EPJ43" s="33"/>
      <c r="EPK43" s="33"/>
      <c r="EPL43" s="33"/>
      <c r="EPM43" s="33"/>
      <c r="EPN43" s="33"/>
      <c r="EPO43" s="33"/>
      <c r="EPP43" s="33"/>
      <c r="EPQ43" s="33"/>
      <c r="EPR43" s="33"/>
      <c r="EPS43" s="33"/>
      <c r="EPT43" s="33"/>
      <c r="EPU43" s="33"/>
      <c r="EPV43" s="33"/>
      <c r="EPW43" s="33"/>
      <c r="EPX43" s="33"/>
      <c r="EPY43" s="33"/>
      <c r="EPZ43" s="33"/>
      <c r="EQA43" s="33"/>
      <c r="EQB43" s="33"/>
      <c r="EQC43" s="33"/>
      <c r="EQD43" s="33"/>
      <c r="EQE43" s="33"/>
      <c r="EQF43" s="33"/>
      <c r="EQG43" s="33"/>
      <c r="EQH43" s="33"/>
      <c r="EQI43" s="33"/>
      <c r="EQJ43" s="33"/>
      <c r="EQK43" s="33"/>
      <c r="EQL43" s="33"/>
      <c r="EQM43" s="33"/>
      <c r="EQN43" s="33"/>
      <c r="EQO43" s="33"/>
      <c r="EQP43" s="33"/>
      <c r="EQQ43" s="33"/>
      <c r="EQR43" s="33"/>
      <c r="EQS43" s="33"/>
      <c r="EQT43" s="33"/>
      <c r="EQU43" s="33"/>
      <c r="EQV43" s="33"/>
      <c r="EQW43" s="33"/>
      <c r="EQX43" s="33"/>
      <c r="EQY43" s="33"/>
      <c r="EQZ43" s="33"/>
      <c r="ERA43" s="33"/>
      <c r="ERB43" s="33"/>
      <c r="ERC43" s="33"/>
      <c r="ERD43" s="33"/>
      <c r="ERE43" s="33"/>
      <c r="ERF43" s="33"/>
      <c r="ERG43" s="33"/>
      <c r="ERH43" s="33"/>
      <c r="ERI43" s="33"/>
      <c r="ERJ43" s="33"/>
      <c r="ERK43" s="33"/>
      <c r="ERL43" s="33"/>
      <c r="ERM43" s="33"/>
      <c r="ERN43" s="33"/>
      <c r="ERO43" s="33"/>
      <c r="ERP43" s="33"/>
      <c r="ERQ43" s="33"/>
      <c r="ERR43" s="33"/>
      <c r="ERS43" s="33"/>
      <c r="ERT43" s="33"/>
      <c r="ERU43" s="33"/>
      <c r="ERV43" s="33"/>
      <c r="ERW43" s="33"/>
      <c r="ERX43" s="33"/>
      <c r="ERY43" s="33"/>
      <c r="ERZ43" s="33"/>
      <c r="ESA43" s="33"/>
      <c r="ESB43" s="33"/>
      <c r="ESC43" s="33"/>
      <c r="ESD43" s="33"/>
      <c r="ESE43" s="33"/>
      <c r="ESF43" s="33"/>
      <c r="ESG43" s="33"/>
      <c r="ESH43" s="33"/>
      <c r="ESI43" s="33"/>
      <c r="ESJ43" s="33"/>
      <c r="ESK43" s="33"/>
      <c r="ESL43" s="33"/>
      <c r="ESM43" s="33"/>
      <c r="ESN43" s="33"/>
      <c r="ESO43" s="33"/>
      <c r="ESP43" s="33"/>
      <c r="ESQ43" s="33"/>
      <c r="ESR43" s="33"/>
      <c r="ESS43" s="33"/>
      <c r="EST43" s="33"/>
      <c r="ESU43" s="33"/>
      <c r="ESV43" s="33"/>
      <c r="ESW43" s="33"/>
      <c r="ESX43" s="33"/>
      <c r="ESY43" s="33"/>
      <c r="ESZ43" s="33"/>
      <c r="ETA43" s="33"/>
      <c r="ETB43" s="33"/>
      <c r="ETC43" s="33"/>
      <c r="ETD43" s="33"/>
      <c r="ETE43" s="33"/>
      <c r="ETF43" s="33"/>
      <c r="ETG43" s="33"/>
      <c r="ETH43" s="33"/>
      <c r="ETI43" s="33"/>
      <c r="ETJ43" s="33"/>
      <c r="ETK43" s="33"/>
      <c r="ETL43" s="33"/>
      <c r="ETM43" s="33"/>
      <c r="ETN43" s="33"/>
      <c r="ETO43" s="33"/>
      <c r="ETP43" s="33"/>
      <c r="ETQ43" s="33"/>
      <c r="ETR43" s="33"/>
      <c r="ETS43" s="33"/>
      <c r="ETT43" s="33"/>
      <c r="ETU43" s="33"/>
      <c r="ETV43" s="33"/>
      <c r="ETW43" s="33"/>
      <c r="ETX43" s="33"/>
      <c r="ETY43" s="33"/>
      <c r="ETZ43" s="33"/>
      <c r="EUA43" s="33"/>
      <c r="EUB43" s="33"/>
      <c r="EUC43" s="33"/>
      <c r="EUD43" s="33"/>
      <c r="EUE43" s="33"/>
      <c r="EUF43" s="33"/>
      <c r="EUG43" s="33"/>
      <c r="EUH43" s="33"/>
      <c r="EUI43" s="33"/>
      <c r="EUJ43" s="33"/>
      <c r="EUK43" s="33"/>
      <c r="EUL43" s="33"/>
      <c r="EUM43" s="33"/>
      <c r="EUN43" s="33"/>
      <c r="EUO43" s="33"/>
      <c r="EUP43" s="33"/>
      <c r="EUQ43" s="33"/>
      <c r="EUR43" s="33"/>
      <c r="EUS43" s="33"/>
      <c r="EUT43" s="33"/>
      <c r="EUU43" s="33"/>
      <c r="EUV43" s="33"/>
      <c r="EUW43" s="33"/>
      <c r="EUX43" s="33"/>
      <c r="EUY43" s="33"/>
      <c r="EUZ43" s="33"/>
      <c r="EVA43" s="33"/>
      <c r="EVB43" s="33"/>
      <c r="EVC43" s="33"/>
      <c r="EVD43" s="33"/>
      <c r="EVE43" s="33"/>
      <c r="EVF43" s="33"/>
      <c r="EVG43" s="33"/>
      <c r="EVH43" s="33"/>
      <c r="EVI43" s="33"/>
      <c r="EVJ43" s="33"/>
      <c r="EVK43" s="33"/>
      <c r="EVL43" s="33"/>
      <c r="EVM43" s="33"/>
      <c r="EVN43" s="33"/>
      <c r="EVO43" s="33"/>
      <c r="EVP43" s="33"/>
      <c r="EVQ43" s="33"/>
      <c r="EVR43" s="33"/>
      <c r="EVS43" s="33"/>
      <c r="EVT43" s="33"/>
      <c r="EVU43" s="33"/>
      <c r="EVV43" s="33"/>
      <c r="EVW43" s="33"/>
      <c r="EVX43" s="33"/>
      <c r="EVY43" s="33"/>
      <c r="EVZ43" s="33"/>
      <c r="EWA43" s="33"/>
      <c r="EWB43" s="33"/>
      <c r="EWC43" s="33"/>
      <c r="EWD43" s="33"/>
      <c r="EWE43" s="33"/>
      <c r="EWF43" s="33"/>
      <c r="EWG43" s="33"/>
      <c r="EWH43" s="33"/>
      <c r="EWI43" s="33"/>
      <c r="EWJ43" s="33"/>
      <c r="EWK43" s="33"/>
      <c r="EWL43" s="33"/>
      <c r="EWM43" s="33"/>
      <c r="EWN43" s="33"/>
      <c r="EWO43" s="33"/>
      <c r="EWP43" s="33"/>
      <c r="EWQ43" s="33"/>
      <c r="EWR43" s="33"/>
      <c r="EWS43" s="33"/>
      <c r="EWT43" s="33"/>
      <c r="EWU43" s="33"/>
      <c r="EWV43" s="33"/>
      <c r="EWW43" s="33"/>
      <c r="EWX43" s="33"/>
      <c r="EWY43" s="33"/>
      <c r="EWZ43" s="33"/>
      <c r="EXA43" s="33"/>
      <c r="EXB43" s="33"/>
      <c r="EXC43" s="33"/>
      <c r="EXD43" s="33"/>
      <c r="EXE43" s="33"/>
      <c r="EXF43" s="33"/>
      <c r="EXG43" s="33"/>
      <c r="EXH43" s="33"/>
      <c r="EXI43" s="33"/>
      <c r="EXJ43" s="33"/>
      <c r="EXK43" s="33"/>
      <c r="EXL43" s="33"/>
      <c r="EXM43" s="33"/>
      <c r="EXN43" s="33"/>
      <c r="EXO43" s="33"/>
      <c r="EXP43" s="33"/>
      <c r="EXQ43" s="33"/>
      <c r="EXR43" s="33"/>
      <c r="EXS43" s="33"/>
      <c r="EXT43" s="33"/>
      <c r="EXU43" s="33"/>
      <c r="EXV43" s="33"/>
      <c r="EXW43" s="33"/>
      <c r="EXX43" s="33"/>
      <c r="EXY43" s="33"/>
      <c r="EXZ43" s="33"/>
      <c r="EYA43" s="33"/>
      <c r="EYB43" s="33"/>
      <c r="EYC43" s="33"/>
      <c r="EYD43" s="33"/>
      <c r="EYE43" s="33"/>
      <c r="EYF43" s="33"/>
      <c r="EYG43" s="33"/>
      <c r="EYH43" s="33"/>
      <c r="EYI43" s="33"/>
      <c r="EYJ43" s="33"/>
      <c r="EYK43" s="33"/>
      <c r="EYL43" s="33"/>
      <c r="EYM43" s="33"/>
      <c r="EYN43" s="33"/>
      <c r="EYO43" s="33"/>
      <c r="EYP43" s="33"/>
      <c r="EYQ43" s="33"/>
      <c r="EYR43" s="33"/>
      <c r="EYS43" s="33"/>
      <c r="EYT43" s="33"/>
      <c r="EYU43" s="33"/>
      <c r="EYV43" s="33"/>
      <c r="EYW43" s="33"/>
      <c r="EYX43" s="33"/>
      <c r="EYY43" s="33"/>
      <c r="EYZ43" s="33"/>
      <c r="EZA43" s="33"/>
      <c r="EZB43" s="33"/>
      <c r="EZC43" s="33"/>
      <c r="EZD43" s="33"/>
      <c r="EZE43" s="33"/>
      <c r="EZF43" s="33"/>
      <c r="EZG43" s="33"/>
      <c r="EZH43" s="33"/>
      <c r="EZI43" s="33"/>
      <c r="EZJ43" s="33"/>
      <c r="EZK43" s="33"/>
      <c r="EZL43" s="33"/>
      <c r="EZM43" s="33"/>
      <c r="EZN43" s="33"/>
      <c r="EZO43" s="33"/>
      <c r="EZP43" s="33"/>
      <c r="EZQ43" s="33"/>
      <c r="EZR43" s="33"/>
      <c r="EZS43" s="33"/>
      <c r="EZT43" s="33"/>
      <c r="EZU43" s="33"/>
      <c r="EZV43" s="33"/>
      <c r="EZW43" s="33"/>
      <c r="EZX43" s="33"/>
      <c r="EZY43" s="33"/>
      <c r="EZZ43" s="33"/>
      <c r="FAA43" s="33"/>
      <c r="FAB43" s="33"/>
      <c r="FAC43" s="33"/>
      <c r="FAD43" s="33"/>
      <c r="FAE43" s="33"/>
      <c r="FAF43" s="33"/>
      <c r="FAG43" s="33"/>
      <c r="FAH43" s="33"/>
      <c r="FAI43" s="33"/>
      <c r="FAJ43" s="33"/>
      <c r="FAK43" s="33"/>
      <c r="FAL43" s="33"/>
      <c r="FAM43" s="33"/>
      <c r="FAN43" s="33"/>
      <c r="FAO43" s="33"/>
      <c r="FAP43" s="33"/>
      <c r="FAQ43" s="33"/>
      <c r="FAR43" s="33"/>
      <c r="FAS43" s="33"/>
      <c r="FAT43" s="33"/>
      <c r="FAU43" s="33"/>
      <c r="FAV43" s="33"/>
      <c r="FAW43" s="33"/>
      <c r="FAX43" s="33"/>
      <c r="FAY43" s="33"/>
      <c r="FAZ43" s="33"/>
      <c r="FBA43" s="33"/>
      <c r="FBB43" s="33"/>
      <c r="FBC43" s="33"/>
      <c r="FBD43" s="33"/>
      <c r="FBE43" s="33"/>
      <c r="FBF43" s="33"/>
      <c r="FBG43" s="33"/>
      <c r="FBH43" s="33"/>
      <c r="FBI43" s="33"/>
      <c r="FBJ43" s="33"/>
      <c r="FBK43" s="33"/>
      <c r="FBL43" s="33"/>
      <c r="FBM43" s="33"/>
      <c r="FBN43" s="33"/>
      <c r="FBO43" s="33"/>
      <c r="FBP43" s="33"/>
      <c r="FBQ43" s="33"/>
      <c r="FBR43" s="33"/>
      <c r="FBS43" s="33"/>
      <c r="FBT43" s="33"/>
      <c r="FBU43" s="33"/>
      <c r="FBV43" s="33"/>
      <c r="FBW43" s="33"/>
      <c r="FBX43" s="33"/>
      <c r="FBY43" s="33"/>
      <c r="FBZ43" s="33"/>
      <c r="FCA43" s="33"/>
      <c r="FCB43" s="33"/>
      <c r="FCC43" s="33"/>
      <c r="FCD43" s="33"/>
      <c r="FCE43" s="33"/>
      <c r="FCF43" s="33"/>
      <c r="FCG43" s="33"/>
      <c r="FCH43" s="33"/>
      <c r="FCI43" s="33"/>
      <c r="FCJ43" s="33"/>
      <c r="FCK43" s="33"/>
      <c r="FCL43" s="33"/>
      <c r="FCM43" s="33"/>
      <c r="FCN43" s="33"/>
      <c r="FCO43" s="33"/>
      <c r="FCP43" s="33"/>
      <c r="FCQ43" s="33"/>
      <c r="FCR43" s="33"/>
      <c r="FCS43" s="33"/>
      <c r="FCT43" s="33"/>
      <c r="FCU43" s="33"/>
      <c r="FCV43" s="33"/>
      <c r="FCW43" s="33"/>
      <c r="FCX43" s="33"/>
      <c r="FCY43" s="33"/>
      <c r="FCZ43" s="33"/>
      <c r="FDA43" s="33"/>
      <c r="FDB43" s="33"/>
      <c r="FDC43" s="33"/>
      <c r="FDD43" s="33"/>
      <c r="FDE43" s="33"/>
      <c r="FDF43" s="33"/>
      <c r="FDG43" s="33"/>
      <c r="FDH43" s="33"/>
      <c r="FDI43" s="33"/>
      <c r="FDJ43" s="33"/>
      <c r="FDK43" s="33"/>
      <c r="FDL43" s="33"/>
      <c r="FDM43" s="33"/>
      <c r="FDN43" s="33"/>
      <c r="FDO43" s="33"/>
      <c r="FDP43" s="33"/>
      <c r="FDQ43" s="33"/>
      <c r="FDR43" s="33"/>
      <c r="FDS43" s="33"/>
      <c r="FDT43" s="33"/>
      <c r="FDU43" s="33"/>
      <c r="FDV43" s="33"/>
      <c r="FDW43" s="33"/>
      <c r="FDX43" s="33"/>
      <c r="FDY43" s="33"/>
      <c r="FDZ43" s="33"/>
      <c r="FEA43" s="33"/>
      <c r="FEB43" s="33"/>
      <c r="FEC43" s="33"/>
      <c r="FED43" s="33"/>
      <c r="FEE43" s="33"/>
      <c r="FEF43" s="33"/>
      <c r="FEG43" s="33"/>
      <c r="FEH43" s="33"/>
      <c r="FEI43" s="33"/>
      <c r="FEJ43" s="33"/>
      <c r="FEK43" s="33"/>
      <c r="FEL43" s="33"/>
      <c r="FEM43" s="33"/>
      <c r="FEN43" s="33"/>
      <c r="FEO43" s="33"/>
      <c r="FEP43" s="33"/>
      <c r="FEQ43" s="33"/>
      <c r="FER43" s="33"/>
      <c r="FES43" s="33"/>
      <c r="FET43" s="33"/>
      <c r="FEU43" s="33"/>
      <c r="FEV43" s="33"/>
      <c r="FEW43" s="33"/>
      <c r="FEX43" s="33"/>
      <c r="FEY43" s="33"/>
      <c r="FEZ43" s="33"/>
      <c r="FFA43" s="33"/>
      <c r="FFB43" s="33"/>
      <c r="FFC43" s="33"/>
      <c r="FFD43" s="33"/>
      <c r="FFE43" s="33"/>
      <c r="FFF43" s="33"/>
      <c r="FFG43" s="33"/>
      <c r="FFH43" s="33"/>
      <c r="FFI43" s="33"/>
      <c r="FFJ43" s="33"/>
      <c r="FFK43" s="33"/>
      <c r="FFL43" s="33"/>
      <c r="FFM43" s="33"/>
      <c r="FFN43" s="33"/>
      <c r="FFO43" s="33"/>
      <c r="FFP43" s="33"/>
      <c r="FFQ43" s="33"/>
      <c r="FFR43" s="33"/>
      <c r="FFS43" s="33"/>
      <c r="FFT43" s="33"/>
      <c r="FFU43" s="33"/>
      <c r="FFV43" s="33"/>
      <c r="FFW43" s="33"/>
      <c r="FFX43" s="33"/>
      <c r="FFY43" s="33"/>
      <c r="FFZ43" s="33"/>
      <c r="FGA43" s="33"/>
      <c r="FGB43" s="33"/>
      <c r="FGC43" s="33"/>
      <c r="FGD43" s="33"/>
      <c r="FGE43" s="33"/>
      <c r="FGF43" s="33"/>
      <c r="FGG43" s="33"/>
      <c r="FGH43" s="33"/>
      <c r="FGI43" s="33"/>
      <c r="FGJ43" s="33"/>
      <c r="FGK43" s="33"/>
      <c r="FGL43" s="33"/>
      <c r="FGM43" s="33"/>
      <c r="FGN43" s="33"/>
      <c r="FGO43" s="33"/>
      <c r="FGP43" s="33"/>
      <c r="FGQ43" s="33"/>
      <c r="FGR43" s="33"/>
      <c r="FGS43" s="33"/>
      <c r="FGT43" s="33"/>
      <c r="FGU43" s="33"/>
      <c r="FGV43" s="33"/>
      <c r="FGW43" s="33"/>
      <c r="FGX43" s="33"/>
      <c r="FGY43" s="33"/>
      <c r="FGZ43" s="33"/>
      <c r="FHA43" s="33"/>
      <c r="FHB43" s="33"/>
      <c r="FHC43" s="33"/>
      <c r="FHD43" s="33"/>
      <c r="FHE43" s="33"/>
      <c r="FHF43" s="33"/>
      <c r="FHG43" s="33"/>
      <c r="FHH43" s="33"/>
      <c r="FHI43" s="33"/>
      <c r="FHJ43" s="33"/>
      <c r="FHK43" s="33"/>
      <c r="FHL43" s="33"/>
      <c r="FHM43" s="33"/>
      <c r="FHN43" s="33"/>
      <c r="FHO43" s="33"/>
      <c r="FHP43" s="33"/>
      <c r="FHQ43" s="33"/>
      <c r="FHR43" s="33"/>
      <c r="FHS43" s="33"/>
      <c r="FHT43" s="33"/>
      <c r="FHU43" s="33"/>
      <c r="FHV43" s="33"/>
      <c r="FHW43" s="33"/>
      <c r="FHX43" s="33"/>
      <c r="FHY43" s="33"/>
      <c r="FHZ43" s="33"/>
      <c r="FIA43" s="33"/>
      <c r="FIB43" s="33"/>
      <c r="FIC43" s="33"/>
      <c r="FID43" s="33"/>
      <c r="FIE43" s="33"/>
      <c r="FIF43" s="33"/>
      <c r="FIG43" s="33"/>
      <c r="FIH43" s="33"/>
      <c r="FII43" s="33"/>
      <c r="FIJ43" s="33"/>
      <c r="FIK43" s="33"/>
      <c r="FIL43" s="33"/>
      <c r="FIM43" s="33"/>
      <c r="FIN43" s="33"/>
      <c r="FIO43" s="33"/>
      <c r="FIP43" s="33"/>
      <c r="FIQ43" s="33"/>
      <c r="FIR43" s="33"/>
      <c r="FIS43" s="33"/>
      <c r="FIT43" s="33"/>
      <c r="FIU43" s="33"/>
      <c r="FIV43" s="33"/>
      <c r="FIW43" s="33"/>
      <c r="FIX43" s="33"/>
      <c r="FIY43" s="33"/>
      <c r="FIZ43" s="33"/>
      <c r="FJA43" s="33"/>
      <c r="FJB43" s="33"/>
      <c r="FJC43" s="33"/>
      <c r="FJD43" s="33"/>
      <c r="FJE43" s="33"/>
      <c r="FJF43" s="33"/>
      <c r="FJG43" s="33"/>
      <c r="FJH43" s="33"/>
      <c r="FJI43" s="33"/>
      <c r="FJJ43" s="33"/>
      <c r="FJK43" s="33"/>
      <c r="FJL43" s="33"/>
      <c r="FJM43" s="33"/>
      <c r="FJN43" s="33"/>
      <c r="FJO43" s="33"/>
      <c r="FJP43" s="33"/>
      <c r="FJQ43" s="33"/>
      <c r="FJR43" s="33"/>
      <c r="FJS43" s="33"/>
      <c r="FJT43" s="33"/>
      <c r="FJU43" s="33"/>
      <c r="FJV43" s="33"/>
      <c r="FJW43" s="33"/>
      <c r="FJX43" s="33"/>
      <c r="FJY43" s="33"/>
      <c r="FJZ43" s="33"/>
      <c r="FKA43" s="33"/>
      <c r="FKB43" s="33"/>
      <c r="FKC43" s="33"/>
      <c r="FKD43" s="33"/>
      <c r="FKE43" s="33"/>
      <c r="FKF43" s="33"/>
      <c r="FKG43" s="33"/>
      <c r="FKH43" s="33"/>
      <c r="FKI43" s="33"/>
      <c r="FKJ43" s="33"/>
      <c r="FKK43" s="33"/>
      <c r="FKL43" s="33"/>
      <c r="FKM43" s="33"/>
      <c r="FKN43" s="33"/>
      <c r="FKO43" s="33"/>
      <c r="FKP43" s="33"/>
      <c r="FKQ43" s="33"/>
      <c r="FKR43" s="33"/>
      <c r="FKS43" s="33"/>
      <c r="FKT43" s="33"/>
      <c r="FKU43" s="33"/>
      <c r="FKV43" s="33"/>
      <c r="FKW43" s="33"/>
      <c r="FKX43" s="33"/>
      <c r="FKY43" s="33"/>
      <c r="FKZ43" s="33"/>
      <c r="FLA43" s="33"/>
      <c r="FLB43" s="33"/>
      <c r="FLC43" s="33"/>
      <c r="FLD43" s="33"/>
      <c r="FLE43" s="33"/>
      <c r="FLF43" s="33"/>
      <c r="FLG43" s="33"/>
      <c r="FLH43" s="33"/>
      <c r="FLI43" s="33"/>
      <c r="FLJ43" s="33"/>
      <c r="FLK43" s="33"/>
      <c r="FLL43" s="33"/>
      <c r="FLM43" s="33"/>
      <c r="FLN43" s="33"/>
      <c r="FLO43" s="33"/>
      <c r="FLP43" s="33"/>
      <c r="FLQ43" s="33"/>
      <c r="FLR43" s="33"/>
      <c r="FLS43" s="33"/>
      <c r="FLT43" s="33"/>
      <c r="FLU43" s="33"/>
      <c r="FLV43" s="33"/>
      <c r="FLW43" s="33"/>
      <c r="FLX43" s="33"/>
      <c r="FLY43" s="33"/>
      <c r="FLZ43" s="33"/>
      <c r="FMA43" s="33"/>
      <c r="FMB43" s="33"/>
      <c r="FMC43" s="33"/>
      <c r="FMD43" s="33"/>
      <c r="FME43" s="33"/>
      <c r="FMF43" s="33"/>
      <c r="FMG43" s="33"/>
      <c r="FMH43" s="33"/>
      <c r="FMI43" s="33"/>
      <c r="FMJ43" s="33"/>
      <c r="FMK43" s="33"/>
      <c r="FML43" s="33"/>
      <c r="FMM43" s="33"/>
      <c r="FMN43" s="33"/>
      <c r="FMO43" s="33"/>
      <c r="FMP43" s="33"/>
      <c r="FMQ43" s="33"/>
      <c r="FMR43" s="33"/>
      <c r="FMS43" s="33"/>
      <c r="FMT43" s="33"/>
      <c r="FMU43" s="33"/>
      <c r="FMV43" s="33"/>
      <c r="FMW43" s="33"/>
      <c r="FMX43" s="33"/>
      <c r="FMY43" s="33"/>
      <c r="FMZ43" s="33"/>
      <c r="FNA43" s="33"/>
      <c r="FNB43" s="33"/>
      <c r="FNC43" s="33"/>
      <c r="FND43" s="33"/>
      <c r="FNE43" s="33"/>
      <c r="FNF43" s="33"/>
      <c r="FNG43" s="33"/>
      <c r="FNH43" s="33"/>
      <c r="FNI43" s="33"/>
      <c r="FNJ43" s="33"/>
      <c r="FNK43" s="33"/>
      <c r="FNL43" s="33"/>
      <c r="FNM43" s="33"/>
      <c r="FNN43" s="33"/>
      <c r="FNO43" s="33"/>
      <c r="FNP43" s="33"/>
      <c r="FNQ43" s="33"/>
      <c r="FNR43" s="33"/>
      <c r="FNS43" s="33"/>
      <c r="FNT43" s="33"/>
      <c r="FNU43" s="33"/>
      <c r="FNV43" s="33"/>
      <c r="FNW43" s="33"/>
      <c r="FNX43" s="33"/>
      <c r="FNY43" s="33"/>
      <c r="FNZ43" s="33"/>
      <c r="FOA43" s="33"/>
      <c r="FOB43" s="33"/>
      <c r="FOC43" s="33"/>
      <c r="FOD43" s="33"/>
      <c r="FOE43" s="33"/>
      <c r="FOF43" s="33"/>
      <c r="FOG43" s="33"/>
      <c r="FOH43" s="33"/>
      <c r="FOI43" s="33"/>
      <c r="FOJ43" s="33"/>
      <c r="FOK43" s="33"/>
      <c r="FOL43" s="33"/>
      <c r="FOM43" s="33"/>
      <c r="FON43" s="33"/>
      <c r="FOO43" s="33"/>
      <c r="FOP43" s="33"/>
      <c r="FOQ43" s="33"/>
      <c r="FOR43" s="33"/>
      <c r="FOS43" s="33"/>
      <c r="FOT43" s="33"/>
      <c r="FOU43" s="33"/>
      <c r="FOV43" s="33"/>
      <c r="FOW43" s="33"/>
      <c r="FOX43" s="33"/>
      <c r="FOY43" s="33"/>
      <c r="FOZ43" s="33"/>
      <c r="FPA43" s="33"/>
      <c r="FPB43" s="33"/>
      <c r="FPC43" s="33"/>
      <c r="FPD43" s="33"/>
      <c r="FPE43" s="33"/>
      <c r="FPF43" s="33"/>
      <c r="FPG43" s="33"/>
      <c r="FPH43" s="33"/>
      <c r="FPI43" s="33"/>
      <c r="FPJ43" s="33"/>
      <c r="FPK43" s="33"/>
      <c r="FPL43" s="33"/>
      <c r="FPM43" s="33"/>
      <c r="FPN43" s="33"/>
      <c r="FPO43" s="33"/>
      <c r="FPP43" s="33"/>
      <c r="FPQ43" s="33"/>
      <c r="FPR43" s="33"/>
      <c r="FPS43" s="33"/>
      <c r="FPT43" s="33"/>
      <c r="FPU43" s="33"/>
      <c r="FPV43" s="33"/>
      <c r="FPW43" s="33"/>
      <c r="FPX43" s="33"/>
      <c r="FPY43" s="33"/>
      <c r="FPZ43" s="33"/>
      <c r="FQA43" s="33"/>
      <c r="FQB43" s="33"/>
      <c r="FQC43" s="33"/>
      <c r="FQD43" s="33"/>
      <c r="FQE43" s="33"/>
      <c r="FQF43" s="33"/>
      <c r="FQG43" s="33"/>
      <c r="FQH43" s="33"/>
      <c r="FQI43" s="33"/>
      <c r="FQJ43" s="33"/>
      <c r="FQK43" s="33"/>
      <c r="FQL43" s="33"/>
      <c r="FQM43" s="33"/>
      <c r="FQN43" s="33"/>
      <c r="FQO43" s="33"/>
      <c r="FQP43" s="33"/>
      <c r="FQQ43" s="33"/>
      <c r="FQR43" s="33"/>
      <c r="FQS43" s="33"/>
      <c r="FQT43" s="33"/>
      <c r="FQU43" s="33"/>
      <c r="FQV43" s="33"/>
      <c r="FQW43" s="33"/>
      <c r="FQX43" s="33"/>
      <c r="FQY43" s="33"/>
      <c r="FQZ43" s="33"/>
      <c r="FRA43" s="33"/>
      <c r="FRB43" s="33"/>
      <c r="FRC43" s="33"/>
      <c r="FRD43" s="33"/>
      <c r="FRE43" s="33"/>
      <c r="FRF43" s="33"/>
      <c r="FRG43" s="33"/>
      <c r="FRH43" s="33"/>
      <c r="FRI43" s="33"/>
      <c r="FRJ43" s="33"/>
      <c r="FRK43" s="33"/>
      <c r="FRL43" s="33"/>
      <c r="FRM43" s="33"/>
      <c r="FRN43" s="33"/>
      <c r="FRO43" s="33"/>
      <c r="FRP43" s="33"/>
      <c r="FRQ43" s="33"/>
      <c r="FRR43" s="33"/>
      <c r="FRS43" s="33"/>
      <c r="FRT43" s="33"/>
      <c r="FRU43" s="33"/>
      <c r="FRV43" s="33"/>
      <c r="FRW43" s="33"/>
      <c r="FRX43" s="33"/>
      <c r="FRY43" s="33"/>
      <c r="FRZ43" s="33"/>
      <c r="FSA43" s="33"/>
      <c r="FSB43" s="33"/>
      <c r="FSC43" s="33"/>
      <c r="FSD43" s="33"/>
      <c r="FSE43" s="33"/>
      <c r="FSF43" s="33"/>
      <c r="FSG43" s="33"/>
      <c r="FSH43" s="33"/>
      <c r="FSI43" s="33"/>
      <c r="FSJ43" s="33"/>
      <c r="FSK43" s="33"/>
      <c r="FSL43" s="33"/>
      <c r="FSM43" s="33"/>
      <c r="FSN43" s="33"/>
      <c r="FSO43" s="33"/>
      <c r="FSP43" s="33"/>
      <c r="FSQ43" s="33"/>
      <c r="FSR43" s="33"/>
      <c r="FSS43" s="33"/>
      <c r="FST43" s="33"/>
      <c r="FSU43" s="33"/>
      <c r="FSV43" s="33"/>
      <c r="FSW43" s="33"/>
      <c r="FSX43" s="33"/>
      <c r="FSY43" s="33"/>
      <c r="FSZ43" s="33"/>
      <c r="FTA43" s="33"/>
      <c r="FTB43" s="33"/>
      <c r="FTC43" s="33"/>
      <c r="FTD43" s="33"/>
      <c r="FTE43" s="33"/>
      <c r="FTF43" s="33"/>
      <c r="FTG43" s="33"/>
      <c r="FTH43" s="33"/>
      <c r="FTI43" s="33"/>
      <c r="FTJ43" s="33"/>
      <c r="FTK43" s="33"/>
      <c r="FTL43" s="33"/>
      <c r="FTM43" s="33"/>
      <c r="FTN43" s="33"/>
      <c r="FTO43" s="33"/>
      <c r="FTP43" s="33"/>
      <c r="FTQ43" s="33"/>
      <c r="FTR43" s="33"/>
      <c r="FTS43" s="33"/>
      <c r="FTT43" s="33"/>
      <c r="FTU43" s="33"/>
      <c r="FTV43" s="33"/>
      <c r="FTW43" s="33"/>
      <c r="FTX43" s="33"/>
      <c r="FTY43" s="33"/>
      <c r="FTZ43" s="33"/>
      <c r="FUA43" s="33"/>
      <c r="FUB43" s="33"/>
      <c r="FUC43" s="33"/>
      <c r="FUD43" s="33"/>
      <c r="FUE43" s="33"/>
      <c r="FUF43" s="33"/>
      <c r="FUG43" s="33"/>
      <c r="FUH43" s="33"/>
      <c r="FUI43" s="33"/>
      <c r="FUJ43" s="33"/>
      <c r="FUK43" s="33"/>
      <c r="FUL43" s="33"/>
      <c r="FUM43" s="33"/>
      <c r="FUN43" s="33"/>
      <c r="FUO43" s="33"/>
      <c r="FUP43" s="33"/>
      <c r="FUQ43" s="33"/>
      <c r="FUR43" s="33"/>
      <c r="FUS43" s="33"/>
      <c r="FUT43" s="33"/>
      <c r="FUU43" s="33"/>
      <c r="FUV43" s="33"/>
      <c r="FUW43" s="33"/>
      <c r="FUX43" s="33"/>
      <c r="FUY43" s="33"/>
      <c r="FUZ43" s="33"/>
      <c r="FVA43" s="33"/>
      <c r="FVB43" s="33"/>
      <c r="FVC43" s="33"/>
      <c r="FVD43" s="33"/>
      <c r="FVE43" s="33"/>
      <c r="FVF43" s="33"/>
      <c r="FVG43" s="33"/>
      <c r="FVH43" s="33"/>
      <c r="FVI43" s="33"/>
      <c r="FVJ43" s="33"/>
      <c r="FVK43" s="33"/>
      <c r="FVL43" s="33"/>
      <c r="FVM43" s="33"/>
      <c r="FVN43" s="33"/>
      <c r="FVO43" s="33"/>
      <c r="FVP43" s="33"/>
      <c r="FVQ43" s="33"/>
      <c r="FVR43" s="33"/>
      <c r="FVS43" s="33"/>
      <c r="FVT43" s="33"/>
      <c r="FVU43" s="33"/>
      <c r="FVV43" s="33"/>
      <c r="FVW43" s="33"/>
      <c r="FVX43" s="33"/>
      <c r="FVY43" s="33"/>
      <c r="FVZ43" s="33"/>
      <c r="FWA43" s="33"/>
      <c r="FWB43" s="33"/>
      <c r="FWC43" s="33"/>
      <c r="FWD43" s="33"/>
      <c r="FWE43" s="33"/>
      <c r="FWF43" s="33"/>
      <c r="FWG43" s="33"/>
      <c r="FWH43" s="33"/>
      <c r="FWI43" s="33"/>
      <c r="FWJ43" s="33"/>
      <c r="FWK43" s="33"/>
      <c r="FWL43" s="33"/>
      <c r="FWM43" s="33"/>
      <c r="FWN43" s="33"/>
      <c r="FWO43" s="33"/>
      <c r="FWP43" s="33"/>
      <c r="FWQ43" s="33"/>
      <c r="FWR43" s="33"/>
      <c r="FWS43" s="33"/>
      <c r="FWT43" s="33"/>
      <c r="FWU43" s="33"/>
      <c r="FWV43" s="33"/>
      <c r="FWW43" s="33"/>
      <c r="FWX43" s="33"/>
      <c r="FWY43" s="33"/>
      <c r="FWZ43" s="33"/>
      <c r="FXA43" s="33"/>
      <c r="FXB43" s="33"/>
      <c r="FXC43" s="33"/>
      <c r="FXD43" s="33"/>
      <c r="FXE43" s="33"/>
      <c r="FXF43" s="33"/>
      <c r="FXG43" s="33"/>
      <c r="FXH43" s="33"/>
      <c r="FXI43" s="33"/>
      <c r="FXJ43" s="33"/>
      <c r="FXK43" s="33"/>
      <c r="FXL43" s="33"/>
      <c r="FXM43" s="33"/>
      <c r="FXN43" s="33"/>
      <c r="FXO43" s="33"/>
      <c r="FXP43" s="33"/>
      <c r="FXQ43" s="33"/>
      <c r="FXR43" s="33"/>
      <c r="FXS43" s="33"/>
      <c r="FXT43" s="33"/>
      <c r="FXU43" s="33"/>
      <c r="FXV43" s="33"/>
      <c r="FXW43" s="33"/>
      <c r="FXX43" s="33"/>
      <c r="FXY43" s="33"/>
      <c r="FXZ43" s="33"/>
      <c r="FYA43" s="33"/>
      <c r="FYB43" s="33"/>
      <c r="FYC43" s="33"/>
      <c r="FYD43" s="33"/>
      <c r="FYE43" s="33"/>
      <c r="FYF43" s="33"/>
      <c r="FYG43" s="33"/>
      <c r="FYH43" s="33"/>
      <c r="FYI43" s="33"/>
      <c r="FYJ43" s="33"/>
      <c r="FYK43" s="33"/>
      <c r="FYL43" s="33"/>
      <c r="FYM43" s="33"/>
      <c r="FYN43" s="33"/>
      <c r="FYO43" s="33"/>
      <c r="FYP43" s="33"/>
      <c r="FYQ43" s="33"/>
      <c r="FYR43" s="33"/>
      <c r="FYS43" s="33"/>
      <c r="FYT43" s="33"/>
      <c r="FYU43" s="33"/>
      <c r="FYV43" s="33"/>
      <c r="FYW43" s="33"/>
      <c r="FYX43" s="33"/>
      <c r="FYY43" s="33"/>
      <c r="FYZ43" s="33"/>
      <c r="FZA43" s="33"/>
      <c r="FZB43" s="33"/>
      <c r="FZC43" s="33"/>
      <c r="FZD43" s="33"/>
      <c r="FZE43" s="33"/>
      <c r="FZF43" s="33"/>
      <c r="FZG43" s="33"/>
      <c r="FZH43" s="33"/>
      <c r="FZI43" s="33"/>
      <c r="FZJ43" s="33"/>
      <c r="FZK43" s="33"/>
      <c r="FZL43" s="33"/>
      <c r="FZM43" s="33"/>
      <c r="FZN43" s="33"/>
      <c r="FZO43" s="33"/>
      <c r="FZP43" s="33"/>
      <c r="FZQ43" s="33"/>
      <c r="FZR43" s="33"/>
      <c r="FZS43" s="33"/>
      <c r="FZT43" s="33"/>
      <c r="FZU43" s="33"/>
      <c r="FZV43" s="33"/>
      <c r="FZW43" s="33"/>
      <c r="FZX43" s="33"/>
      <c r="FZY43" s="33"/>
      <c r="FZZ43" s="33"/>
      <c r="GAA43" s="33"/>
      <c r="GAB43" s="33"/>
      <c r="GAC43" s="33"/>
      <c r="GAD43" s="33"/>
      <c r="GAE43" s="33"/>
      <c r="GAF43" s="33"/>
      <c r="GAG43" s="33"/>
      <c r="GAH43" s="33"/>
      <c r="GAI43" s="33"/>
      <c r="GAJ43" s="33"/>
      <c r="GAK43" s="33"/>
      <c r="GAL43" s="33"/>
      <c r="GAM43" s="33"/>
      <c r="GAN43" s="33"/>
      <c r="GAO43" s="33"/>
      <c r="GAP43" s="33"/>
      <c r="GAQ43" s="33"/>
      <c r="GAR43" s="33"/>
      <c r="GAS43" s="33"/>
      <c r="GAT43" s="33"/>
      <c r="GAU43" s="33"/>
      <c r="GAV43" s="33"/>
      <c r="GAW43" s="33"/>
      <c r="GAX43" s="33"/>
      <c r="GAY43" s="33"/>
      <c r="GAZ43" s="33"/>
      <c r="GBA43" s="33"/>
      <c r="GBB43" s="33"/>
      <c r="GBC43" s="33"/>
      <c r="GBD43" s="33"/>
      <c r="GBE43" s="33"/>
      <c r="GBF43" s="33"/>
      <c r="GBG43" s="33"/>
      <c r="GBH43" s="33"/>
      <c r="GBI43" s="33"/>
      <c r="GBJ43" s="33"/>
      <c r="GBK43" s="33"/>
      <c r="GBL43" s="33"/>
      <c r="GBM43" s="33"/>
      <c r="GBN43" s="33"/>
      <c r="GBO43" s="33"/>
      <c r="GBP43" s="33"/>
      <c r="GBQ43" s="33"/>
      <c r="GBR43" s="33"/>
      <c r="GBS43" s="33"/>
      <c r="GBT43" s="33"/>
      <c r="GBU43" s="33"/>
      <c r="GBV43" s="33"/>
      <c r="GBW43" s="33"/>
      <c r="GBX43" s="33"/>
      <c r="GBY43" s="33"/>
      <c r="GBZ43" s="33"/>
      <c r="GCA43" s="33"/>
      <c r="GCB43" s="33"/>
      <c r="GCC43" s="33"/>
      <c r="GCD43" s="33"/>
      <c r="GCE43" s="33"/>
      <c r="GCF43" s="33"/>
      <c r="GCG43" s="33"/>
      <c r="GCH43" s="33"/>
      <c r="GCI43" s="33"/>
      <c r="GCJ43" s="33"/>
      <c r="GCK43" s="33"/>
      <c r="GCL43" s="33"/>
      <c r="GCM43" s="33"/>
      <c r="GCN43" s="33"/>
      <c r="GCO43" s="33"/>
      <c r="GCP43" s="33"/>
      <c r="GCQ43" s="33"/>
      <c r="GCR43" s="33"/>
      <c r="GCS43" s="33"/>
      <c r="GCT43" s="33"/>
      <c r="GCU43" s="33"/>
      <c r="GCV43" s="33"/>
      <c r="GCW43" s="33"/>
      <c r="GCX43" s="33"/>
      <c r="GCY43" s="33"/>
      <c r="GCZ43" s="33"/>
      <c r="GDA43" s="33"/>
      <c r="GDB43" s="33"/>
      <c r="GDC43" s="33"/>
      <c r="GDD43" s="33"/>
      <c r="GDE43" s="33"/>
      <c r="GDF43" s="33"/>
      <c r="GDG43" s="33"/>
      <c r="GDH43" s="33"/>
      <c r="GDI43" s="33"/>
      <c r="GDJ43" s="33"/>
      <c r="GDK43" s="33"/>
      <c r="GDL43" s="33"/>
      <c r="GDM43" s="33"/>
      <c r="GDN43" s="33"/>
      <c r="GDO43" s="33"/>
      <c r="GDP43" s="33"/>
      <c r="GDQ43" s="33"/>
      <c r="GDR43" s="33"/>
      <c r="GDS43" s="33"/>
      <c r="GDT43" s="33"/>
      <c r="GDU43" s="33"/>
      <c r="GDV43" s="33"/>
      <c r="GDW43" s="33"/>
      <c r="GDX43" s="33"/>
      <c r="GDY43" s="33"/>
      <c r="GDZ43" s="33"/>
      <c r="GEA43" s="33"/>
      <c r="GEB43" s="33"/>
      <c r="GEC43" s="33"/>
      <c r="GED43" s="33"/>
      <c r="GEE43" s="33"/>
      <c r="GEF43" s="33"/>
      <c r="GEG43" s="33"/>
      <c r="GEH43" s="33"/>
      <c r="GEI43" s="33"/>
      <c r="GEJ43" s="33"/>
      <c r="GEK43" s="33"/>
      <c r="GEL43" s="33"/>
      <c r="GEM43" s="33"/>
      <c r="GEN43" s="33"/>
      <c r="GEO43" s="33"/>
      <c r="GEP43" s="33"/>
      <c r="GEQ43" s="33"/>
      <c r="GER43" s="33"/>
      <c r="GES43" s="33"/>
      <c r="GET43" s="33"/>
      <c r="GEU43" s="33"/>
      <c r="GEV43" s="33"/>
      <c r="GEW43" s="33"/>
      <c r="GEX43" s="33"/>
      <c r="GEY43" s="33"/>
      <c r="GEZ43" s="33"/>
      <c r="GFA43" s="33"/>
      <c r="GFB43" s="33"/>
      <c r="GFC43" s="33"/>
      <c r="GFD43" s="33"/>
      <c r="GFE43" s="33"/>
      <c r="GFF43" s="33"/>
      <c r="GFG43" s="33"/>
      <c r="GFH43" s="33"/>
      <c r="GFI43" s="33"/>
      <c r="GFJ43" s="33"/>
      <c r="GFK43" s="33"/>
      <c r="GFL43" s="33"/>
      <c r="GFM43" s="33"/>
      <c r="GFN43" s="33"/>
      <c r="GFO43" s="33"/>
      <c r="GFP43" s="33"/>
      <c r="GFQ43" s="33"/>
      <c r="GFR43" s="33"/>
      <c r="GFS43" s="33"/>
      <c r="GFT43" s="33"/>
      <c r="GFU43" s="33"/>
      <c r="GFV43" s="33"/>
      <c r="GFW43" s="33"/>
      <c r="GFX43" s="33"/>
      <c r="GFY43" s="33"/>
      <c r="GFZ43" s="33"/>
      <c r="GGA43" s="33"/>
      <c r="GGB43" s="33"/>
      <c r="GGC43" s="33"/>
      <c r="GGD43" s="33"/>
      <c r="GGE43" s="33"/>
      <c r="GGF43" s="33"/>
      <c r="GGG43" s="33"/>
      <c r="GGH43" s="33"/>
      <c r="GGI43" s="33"/>
      <c r="GGJ43" s="33"/>
      <c r="GGK43" s="33"/>
      <c r="GGL43" s="33"/>
      <c r="GGM43" s="33"/>
      <c r="GGN43" s="33"/>
      <c r="GGO43" s="33"/>
      <c r="GGP43" s="33"/>
      <c r="GGQ43" s="33"/>
      <c r="GGR43" s="33"/>
      <c r="GGS43" s="33"/>
      <c r="GGT43" s="33"/>
      <c r="GGU43" s="33"/>
      <c r="GGV43" s="33"/>
      <c r="GGW43" s="33"/>
      <c r="GGX43" s="33"/>
      <c r="GGY43" s="33"/>
      <c r="GGZ43" s="33"/>
      <c r="GHA43" s="33"/>
      <c r="GHB43" s="33"/>
      <c r="GHC43" s="33"/>
      <c r="GHD43" s="33"/>
      <c r="GHE43" s="33"/>
      <c r="GHF43" s="33"/>
      <c r="GHG43" s="33"/>
      <c r="GHH43" s="33"/>
      <c r="GHI43" s="33"/>
      <c r="GHJ43" s="33"/>
      <c r="GHK43" s="33"/>
      <c r="GHL43" s="33"/>
      <c r="GHM43" s="33"/>
      <c r="GHN43" s="33"/>
      <c r="GHO43" s="33"/>
      <c r="GHP43" s="33"/>
      <c r="GHQ43" s="33"/>
      <c r="GHR43" s="33"/>
      <c r="GHS43" s="33"/>
      <c r="GHT43" s="33"/>
      <c r="GHU43" s="33"/>
      <c r="GHV43" s="33"/>
      <c r="GHW43" s="33"/>
      <c r="GHX43" s="33"/>
      <c r="GHY43" s="33"/>
      <c r="GHZ43" s="33"/>
      <c r="GIA43" s="33"/>
      <c r="GIB43" s="33"/>
      <c r="GIC43" s="33"/>
      <c r="GID43" s="33"/>
      <c r="GIE43" s="33"/>
      <c r="GIF43" s="33"/>
      <c r="GIG43" s="33"/>
      <c r="GIH43" s="33"/>
      <c r="GII43" s="33"/>
      <c r="GIJ43" s="33"/>
      <c r="GIK43" s="33"/>
      <c r="GIL43" s="33"/>
      <c r="GIM43" s="33"/>
      <c r="GIN43" s="33"/>
      <c r="GIO43" s="33"/>
      <c r="GIP43" s="33"/>
      <c r="GIQ43" s="33"/>
      <c r="GIR43" s="33"/>
      <c r="GIS43" s="33"/>
      <c r="GIT43" s="33"/>
      <c r="GIU43" s="33"/>
      <c r="GIV43" s="33"/>
      <c r="GIW43" s="33"/>
      <c r="GIX43" s="33"/>
      <c r="GIY43" s="33"/>
      <c r="GIZ43" s="33"/>
      <c r="GJA43" s="33"/>
      <c r="GJB43" s="33"/>
      <c r="GJC43" s="33"/>
      <c r="GJD43" s="33"/>
      <c r="GJE43" s="33"/>
      <c r="GJF43" s="33"/>
      <c r="GJG43" s="33"/>
      <c r="GJH43" s="33"/>
      <c r="GJI43" s="33"/>
      <c r="GJJ43" s="33"/>
      <c r="GJK43" s="33"/>
      <c r="GJL43" s="33"/>
      <c r="GJM43" s="33"/>
      <c r="GJN43" s="33"/>
      <c r="GJO43" s="33"/>
      <c r="GJP43" s="33"/>
      <c r="GJQ43" s="33"/>
      <c r="GJR43" s="33"/>
      <c r="GJS43" s="33"/>
      <c r="GJT43" s="33"/>
      <c r="GJU43" s="33"/>
      <c r="GJV43" s="33"/>
      <c r="GJW43" s="33"/>
      <c r="GJX43" s="33"/>
      <c r="GJY43" s="33"/>
      <c r="GJZ43" s="33"/>
      <c r="GKA43" s="33"/>
      <c r="GKB43" s="33"/>
      <c r="GKC43" s="33"/>
      <c r="GKD43" s="33"/>
      <c r="GKE43" s="33"/>
      <c r="GKF43" s="33"/>
      <c r="GKG43" s="33"/>
      <c r="GKH43" s="33"/>
      <c r="GKI43" s="33"/>
      <c r="GKJ43" s="33"/>
      <c r="GKK43" s="33"/>
      <c r="GKL43" s="33"/>
      <c r="GKM43" s="33"/>
      <c r="GKN43" s="33"/>
      <c r="GKO43" s="33"/>
      <c r="GKP43" s="33"/>
      <c r="GKQ43" s="33"/>
      <c r="GKR43" s="33"/>
      <c r="GKS43" s="33"/>
      <c r="GKT43" s="33"/>
      <c r="GKU43" s="33"/>
      <c r="GKV43" s="33"/>
      <c r="GKW43" s="33"/>
      <c r="GKX43" s="33"/>
      <c r="GKY43" s="33"/>
      <c r="GKZ43" s="33"/>
      <c r="GLA43" s="33"/>
      <c r="GLB43" s="33"/>
      <c r="GLC43" s="33"/>
      <c r="GLD43" s="33"/>
      <c r="GLE43" s="33"/>
      <c r="GLF43" s="33"/>
      <c r="GLG43" s="33"/>
      <c r="GLH43" s="33"/>
      <c r="GLI43" s="33"/>
      <c r="GLJ43" s="33"/>
      <c r="GLK43" s="33"/>
      <c r="GLL43" s="33"/>
      <c r="GLM43" s="33"/>
      <c r="GLN43" s="33"/>
      <c r="GLO43" s="33"/>
      <c r="GLP43" s="33"/>
      <c r="GLQ43" s="33"/>
      <c r="GLR43" s="33"/>
      <c r="GLS43" s="33"/>
      <c r="GLT43" s="33"/>
      <c r="GLU43" s="33"/>
      <c r="GLV43" s="33"/>
      <c r="GLW43" s="33"/>
      <c r="GLX43" s="33"/>
      <c r="GLY43" s="33"/>
      <c r="GLZ43" s="33"/>
      <c r="GMA43" s="33"/>
      <c r="GMB43" s="33"/>
      <c r="GMC43" s="33"/>
      <c r="GMD43" s="33"/>
      <c r="GME43" s="33"/>
      <c r="GMF43" s="33"/>
      <c r="GMG43" s="33"/>
      <c r="GMH43" s="33"/>
      <c r="GMI43" s="33"/>
      <c r="GMJ43" s="33"/>
      <c r="GMK43" s="33"/>
      <c r="GML43" s="33"/>
      <c r="GMM43" s="33"/>
      <c r="GMN43" s="33"/>
      <c r="GMO43" s="33"/>
      <c r="GMP43" s="33"/>
      <c r="GMQ43" s="33"/>
      <c r="GMR43" s="33"/>
      <c r="GMS43" s="33"/>
      <c r="GMT43" s="33"/>
      <c r="GMU43" s="33"/>
      <c r="GMV43" s="33"/>
      <c r="GMW43" s="33"/>
      <c r="GMX43" s="33"/>
      <c r="GMY43" s="33"/>
      <c r="GMZ43" s="33"/>
      <c r="GNA43" s="33"/>
      <c r="GNB43" s="33"/>
      <c r="GNC43" s="33"/>
      <c r="GND43" s="33"/>
      <c r="GNE43" s="33"/>
      <c r="GNF43" s="33"/>
      <c r="GNG43" s="33"/>
      <c r="GNH43" s="33"/>
      <c r="GNI43" s="33"/>
      <c r="GNJ43" s="33"/>
      <c r="GNK43" s="33"/>
      <c r="GNL43" s="33"/>
      <c r="GNM43" s="33"/>
      <c r="GNN43" s="33"/>
      <c r="GNO43" s="33"/>
      <c r="GNP43" s="33"/>
      <c r="GNQ43" s="33"/>
      <c r="GNR43" s="33"/>
      <c r="GNS43" s="33"/>
      <c r="GNT43" s="33"/>
      <c r="GNU43" s="33"/>
      <c r="GNV43" s="33"/>
      <c r="GNW43" s="33"/>
      <c r="GNX43" s="33"/>
      <c r="GNY43" s="33"/>
      <c r="GNZ43" s="33"/>
      <c r="GOA43" s="33"/>
      <c r="GOB43" s="33"/>
      <c r="GOC43" s="33"/>
      <c r="GOD43" s="33"/>
      <c r="GOE43" s="33"/>
      <c r="GOF43" s="33"/>
      <c r="GOG43" s="33"/>
      <c r="GOH43" s="33"/>
      <c r="GOI43" s="33"/>
      <c r="GOJ43" s="33"/>
      <c r="GOK43" s="33"/>
      <c r="GOL43" s="33"/>
      <c r="GOM43" s="33"/>
      <c r="GON43" s="33"/>
      <c r="GOO43" s="33"/>
      <c r="GOP43" s="33"/>
      <c r="GOQ43" s="33"/>
      <c r="GOR43" s="33"/>
      <c r="GOS43" s="33"/>
      <c r="GOT43" s="33"/>
      <c r="GOU43" s="33"/>
      <c r="GOV43" s="33"/>
      <c r="GOW43" s="33"/>
      <c r="GOX43" s="33"/>
      <c r="GOY43" s="33"/>
      <c r="GOZ43" s="33"/>
      <c r="GPA43" s="33"/>
      <c r="GPB43" s="33"/>
      <c r="GPC43" s="33"/>
      <c r="GPD43" s="33"/>
      <c r="GPE43" s="33"/>
      <c r="GPF43" s="33"/>
      <c r="GPG43" s="33"/>
      <c r="GPH43" s="33"/>
      <c r="GPI43" s="33"/>
      <c r="GPJ43" s="33"/>
      <c r="GPK43" s="33"/>
      <c r="GPL43" s="33"/>
      <c r="GPM43" s="33"/>
      <c r="GPN43" s="33"/>
      <c r="GPO43" s="33"/>
      <c r="GPP43" s="33"/>
      <c r="GPQ43" s="33"/>
      <c r="GPR43" s="33"/>
      <c r="GPS43" s="33"/>
      <c r="GPT43" s="33"/>
      <c r="GPU43" s="33"/>
      <c r="GPV43" s="33"/>
      <c r="GPW43" s="33"/>
      <c r="GPX43" s="33"/>
      <c r="GPY43" s="33"/>
      <c r="GPZ43" s="33"/>
      <c r="GQA43" s="33"/>
      <c r="GQB43" s="33"/>
      <c r="GQC43" s="33"/>
      <c r="GQD43" s="33"/>
      <c r="GQE43" s="33"/>
      <c r="GQF43" s="33"/>
      <c r="GQG43" s="33"/>
      <c r="GQH43" s="33"/>
      <c r="GQI43" s="33"/>
      <c r="GQJ43" s="33"/>
      <c r="GQK43" s="33"/>
      <c r="GQL43" s="33"/>
      <c r="GQM43" s="33"/>
      <c r="GQN43" s="33"/>
      <c r="GQO43" s="33"/>
      <c r="GQP43" s="33"/>
      <c r="GQQ43" s="33"/>
      <c r="GQR43" s="33"/>
      <c r="GQS43" s="33"/>
      <c r="GQT43" s="33"/>
      <c r="GQU43" s="33"/>
      <c r="GQV43" s="33"/>
      <c r="GQW43" s="33"/>
      <c r="GQX43" s="33"/>
      <c r="GQY43" s="33"/>
      <c r="GQZ43" s="33"/>
      <c r="GRA43" s="33"/>
      <c r="GRB43" s="33"/>
      <c r="GRC43" s="33"/>
      <c r="GRD43" s="33"/>
      <c r="GRE43" s="33"/>
      <c r="GRF43" s="33"/>
      <c r="GRG43" s="33"/>
      <c r="GRH43" s="33"/>
      <c r="GRI43" s="33"/>
      <c r="GRJ43" s="33"/>
      <c r="GRK43" s="33"/>
      <c r="GRL43" s="33"/>
      <c r="GRM43" s="33"/>
      <c r="GRN43" s="33"/>
      <c r="GRO43" s="33"/>
      <c r="GRP43" s="33"/>
      <c r="GRQ43" s="33"/>
      <c r="GRR43" s="33"/>
      <c r="GRS43" s="33"/>
      <c r="GRT43" s="33"/>
      <c r="GRU43" s="33"/>
      <c r="GRV43" s="33"/>
      <c r="GRW43" s="33"/>
      <c r="GRX43" s="33"/>
      <c r="GRY43" s="33"/>
      <c r="GRZ43" s="33"/>
      <c r="GSA43" s="33"/>
      <c r="GSB43" s="33"/>
      <c r="GSC43" s="33"/>
      <c r="GSD43" s="33"/>
      <c r="GSE43" s="33"/>
      <c r="GSF43" s="33"/>
      <c r="GSG43" s="33"/>
      <c r="GSH43" s="33"/>
      <c r="GSI43" s="33"/>
      <c r="GSJ43" s="33"/>
      <c r="GSK43" s="33"/>
      <c r="GSL43" s="33"/>
      <c r="GSM43" s="33"/>
      <c r="GSN43" s="33"/>
      <c r="GSO43" s="33"/>
      <c r="GSP43" s="33"/>
      <c r="GSQ43" s="33"/>
      <c r="GSR43" s="33"/>
      <c r="GSS43" s="33"/>
      <c r="GST43" s="33"/>
      <c r="GSU43" s="33"/>
      <c r="GSV43" s="33"/>
      <c r="GSW43" s="33"/>
      <c r="GSX43" s="33"/>
      <c r="GSY43" s="33"/>
      <c r="GSZ43" s="33"/>
      <c r="GTA43" s="33"/>
      <c r="GTB43" s="33"/>
      <c r="GTC43" s="33"/>
      <c r="GTD43" s="33"/>
      <c r="GTE43" s="33"/>
      <c r="GTF43" s="33"/>
      <c r="GTG43" s="33"/>
      <c r="GTH43" s="33"/>
      <c r="GTI43" s="33"/>
      <c r="GTJ43" s="33"/>
      <c r="GTK43" s="33"/>
      <c r="GTL43" s="33"/>
      <c r="GTM43" s="33"/>
      <c r="GTN43" s="33"/>
      <c r="GTO43" s="33"/>
      <c r="GTP43" s="33"/>
      <c r="GTQ43" s="33"/>
      <c r="GTR43" s="33"/>
      <c r="GTS43" s="33"/>
      <c r="GTT43" s="33"/>
      <c r="GTU43" s="33"/>
      <c r="GTV43" s="33"/>
      <c r="GTW43" s="33"/>
      <c r="GTX43" s="33"/>
      <c r="GTY43" s="33"/>
      <c r="GTZ43" s="33"/>
      <c r="GUA43" s="33"/>
      <c r="GUB43" s="33"/>
      <c r="GUC43" s="33"/>
      <c r="GUD43" s="33"/>
      <c r="GUE43" s="33"/>
      <c r="GUF43" s="33"/>
      <c r="GUG43" s="33"/>
      <c r="GUH43" s="33"/>
      <c r="GUI43" s="33"/>
      <c r="GUJ43" s="33"/>
      <c r="GUK43" s="33"/>
      <c r="GUL43" s="33"/>
      <c r="GUM43" s="33"/>
      <c r="GUN43" s="33"/>
      <c r="GUO43" s="33"/>
      <c r="GUP43" s="33"/>
      <c r="GUQ43" s="33"/>
      <c r="GUR43" s="33"/>
      <c r="GUS43" s="33"/>
      <c r="GUT43" s="33"/>
      <c r="GUU43" s="33"/>
      <c r="GUV43" s="33"/>
      <c r="GUW43" s="33"/>
      <c r="GUX43" s="33"/>
      <c r="GUY43" s="33"/>
      <c r="GUZ43" s="33"/>
      <c r="GVA43" s="33"/>
      <c r="GVB43" s="33"/>
      <c r="GVC43" s="33"/>
      <c r="GVD43" s="33"/>
      <c r="GVE43" s="33"/>
      <c r="GVF43" s="33"/>
      <c r="GVG43" s="33"/>
      <c r="GVH43" s="33"/>
      <c r="GVI43" s="33"/>
      <c r="GVJ43" s="33"/>
      <c r="GVK43" s="33"/>
      <c r="GVL43" s="33"/>
      <c r="GVM43" s="33"/>
      <c r="GVN43" s="33"/>
      <c r="GVO43" s="33"/>
      <c r="GVP43" s="33"/>
      <c r="GVQ43" s="33"/>
      <c r="GVR43" s="33"/>
      <c r="GVS43" s="33"/>
      <c r="GVT43" s="33"/>
      <c r="GVU43" s="33"/>
      <c r="GVV43" s="33"/>
      <c r="GVW43" s="33"/>
      <c r="GVX43" s="33"/>
      <c r="GVY43" s="33"/>
      <c r="GVZ43" s="33"/>
      <c r="GWA43" s="33"/>
      <c r="GWB43" s="33"/>
      <c r="GWC43" s="33"/>
      <c r="GWD43" s="33"/>
      <c r="GWE43" s="33"/>
      <c r="GWF43" s="33"/>
      <c r="GWG43" s="33"/>
      <c r="GWH43" s="33"/>
      <c r="GWI43" s="33"/>
      <c r="GWJ43" s="33"/>
      <c r="GWK43" s="33"/>
      <c r="GWL43" s="33"/>
      <c r="GWM43" s="33"/>
      <c r="GWN43" s="33"/>
      <c r="GWO43" s="33"/>
      <c r="GWP43" s="33"/>
      <c r="GWQ43" s="33"/>
      <c r="GWR43" s="33"/>
      <c r="GWS43" s="33"/>
      <c r="GWT43" s="33"/>
      <c r="GWU43" s="33"/>
      <c r="GWV43" s="33"/>
      <c r="GWW43" s="33"/>
      <c r="GWX43" s="33"/>
      <c r="GWY43" s="33"/>
      <c r="GWZ43" s="33"/>
      <c r="GXA43" s="33"/>
      <c r="GXB43" s="33"/>
      <c r="GXC43" s="33"/>
      <c r="GXD43" s="33"/>
      <c r="GXE43" s="33"/>
      <c r="GXF43" s="33"/>
      <c r="GXG43" s="33"/>
      <c r="GXH43" s="33"/>
      <c r="GXI43" s="33"/>
      <c r="GXJ43" s="33"/>
      <c r="GXK43" s="33"/>
      <c r="GXL43" s="33"/>
      <c r="GXM43" s="33"/>
      <c r="GXN43" s="33"/>
      <c r="GXO43" s="33"/>
      <c r="GXP43" s="33"/>
      <c r="GXQ43" s="33"/>
      <c r="GXR43" s="33"/>
      <c r="GXS43" s="33"/>
      <c r="GXT43" s="33"/>
      <c r="GXU43" s="33"/>
      <c r="GXV43" s="33"/>
      <c r="GXW43" s="33"/>
      <c r="GXX43" s="33"/>
      <c r="GXY43" s="33"/>
      <c r="GXZ43" s="33"/>
      <c r="GYA43" s="33"/>
      <c r="GYB43" s="33"/>
      <c r="GYC43" s="33"/>
      <c r="GYD43" s="33"/>
      <c r="GYE43" s="33"/>
      <c r="GYF43" s="33"/>
      <c r="GYG43" s="33"/>
      <c r="GYH43" s="33"/>
      <c r="GYI43" s="33"/>
      <c r="GYJ43" s="33"/>
      <c r="GYK43" s="33"/>
      <c r="GYL43" s="33"/>
      <c r="GYM43" s="33"/>
      <c r="GYN43" s="33"/>
      <c r="GYO43" s="33"/>
      <c r="GYP43" s="33"/>
      <c r="GYQ43" s="33"/>
      <c r="GYR43" s="33"/>
      <c r="GYS43" s="33"/>
      <c r="GYT43" s="33"/>
      <c r="GYU43" s="33"/>
      <c r="GYV43" s="33"/>
      <c r="GYW43" s="33"/>
      <c r="GYX43" s="33"/>
      <c r="GYY43" s="33"/>
      <c r="GYZ43" s="33"/>
      <c r="GZA43" s="33"/>
      <c r="GZB43" s="33"/>
      <c r="GZC43" s="33"/>
      <c r="GZD43" s="33"/>
      <c r="GZE43" s="33"/>
      <c r="GZF43" s="33"/>
      <c r="GZG43" s="33"/>
      <c r="GZH43" s="33"/>
      <c r="GZI43" s="33"/>
      <c r="GZJ43" s="33"/>
      <c r="GZK43" s="33"/>
      <c r="GZL43" s="33"/>
      <c r="GZM43" s="33"/>
      <c r="GZN43" s="33"/>
      <c r="GZO43" s="33"/>
      <c r="GZP43" s="33"/>
      <c r="GZQ43" s="33"/>
      <c r="GZR43" s="33"/>
      <c r="GZS43" s="33"/>
      <c r="GZT43" s="33"/>
      <c r="GZU43" s="33"/>
      <c r="GZV43" s="33"/>
      <c r="GZW43" s="33"/>
      <c r="GZX43" s="33"/>
      <c r="GZY43" s="33"/>
      <c r="GZZ43" s="33"/>
      <c r="HAA43" s="33"/>
      <c r="HAB43" s="33"/>
      <c r="HAC43" s="33"/>
      <c r="HAD43" s="33"/>
      <c r="HAE43" s="33"/>
      <c r="HAF43" s="33"/>
      <c r="HAG43" s="33"/>
      <c r="HAH43" s="33"/>
      <c r="HAI43" s="33"/>
      <c r="HAJ43" s="33"/>
      <c r="HAK43" s="33"/>
      <c r="HAL43" s="33"/>
      <c r="HAM43" s="33"/>
      <c r="HAN43" s="33"/>
      <c r="HAO43" s="33"/>
      <c r="HAP43" s="33"/>
      <c r="HAQ43" s="33"/>
      <c r="HAR43" s="33"/>
      <c r="HAS43" s="33"/>
      <c r="HAT43" s="33"/>
      <c r="HAU43" s="33"/>
      <c r="HAV43" s="33"/>
      <c r="HAW43" s="33"/>
      <c r="HAX43" s="33"/>
      <c r="HAY43" s="33"/>
      <c r="HAZ43" s="33"/>
      <c r="HBA43" s="33"/>
      <c r="HBB43" s="33"/>
      <c r="HBC43" s="33"/>
      <c r="HBD43" s="33"/>
      <c r="HBE43" s="33"/>
      <c r="HBF43" s="33"/>
      <c r="HBG43" s="33"/>
      <c r="HBH43" s="33"/>
      <c r="HBI43" s="33"/>
      <c r="HBJ43" s="33"/>
      <c r="HBK43" s="33"/>
      <c r="HBL43" s="33"/>
      <c r="HBM43" s="33"/>
      <c r="HBN43" s="33"/>
      <c r="HBO43" s="33"/>
      <c r="HBP43" s="33"/>
      <c r="HBQ43" s="33"/>
      <c r="HBR43" s="33"/>
      <c r="HBS43" s="33"/>
      <c r="HBT43" s="33"/>
      <c r="HBU43" s="33"/>
      <c r="HBV43" s="33"/>
      <c r="HBW43" s="33"/>
      <c r="HBX43" s="33"/>
      <c r="HBY43" s="33"/>
      <c r="HBZ43" s="33"/>
      <c r="HCA43" s="33"/>
      <c r="HCB43" s="33"/>
      <c r="HCC43" s="33"/>
      <c r="HCD43" s="33"/>
      <c r="HCE43" s="33"/>
      <c r="HCF43" s="33"/>
      <c r="HCG43" s="33"/>
      <c r="HCH43" s="33"/>
      <c r="HCI43" s="33"/>
      <c r="HCJ43" s="33"/>
      <c r="HCK43" s="33"/>
      <c r="HCL43" s="33"/>
      <c r="HCM43" s="33"/>
      <c r="HCN43" s="33"/>
      <c r="HCO43" s="33"/>
      <c r="HCP43" s="33"/>
      <c r="HCQ43" s="33"/>
      <c r="HCR43" s="33"/>
      <c r="HCS43" s="33"/>
      <c r="HCT43" s="33"/>
      <c r="HCU43" s="33"/>
      <c r="HCV43" s="33"/>
      <c r="HCW43" s="33"/>
      <c r="HCX43" s="33"/>
      <c r="HCY43" s="33"/>
      <c r="HCZ43" s="33"/>
      <c r="HDA43" s="33"/>
      <c r="HDB43" s="33"/>
      <c r="HDC43" s="33"/>
      <c r="HDD43" s="33"/>
      <c r="HDE43" s="33"/>
      <c r="HDF43" s="33"/>
      <c r="HDG43" s="33"/>
      <c r="HDH43" s="33"/>
      <c r="HDI43" s="33"/>
      <c r="HDJ43" s="33"/>
      <c r="HDK43" s="33"/>
      <c r="HDL43" s="33"/>
      <c r="HDM43" s="33"/>
      <c r="HDN43" s="33"/>
      <c r="HDO43" s="33"/>
      <c r="HDP43" s="33"/>
      <c r="HDQ43" s="33"/>
      <c r="HDR43" s="33"/>
      <c r="HDS43" s="33"/>
      <c r="HDT43" s="33"/>
      <c r="HDU43" s="33"/>
      <c r="HDV43" s="33"/>
      <c r="HDW43" s="33"/>
      <c r="HDX43" s="33"/>
      <c r="HDY43" s="33"/>
      <c r="HDZ43" s="33"/>
      <c r="HEA43" s="33"/>
      <c r="HEB43" s="33"/>
      <c r="HEC43" s="33"/>
      <c r="HED43" s="33"/>
      <c r="HEE43" s="33"/>
      <c r="HEF43" s="33"/>
      <c r="HEG43" s="33"/>
      <c r="HEH43" s="33"/>
      <c r="HEI43" s="33"/>
      <c r="HEJ43" s="33"/>
      <c r="HEK43" s="33"/>
      <c r="HEL43" s="33"/>
      <c r="HEM43" s="33"/>
      <c r="HEN43" s="33"/>
      <c r="HEO43" s="33"/>
      <c r="HEP43" s="33"/>
      <c r="HEQ43" s="33"/>
      <c r="HER43" s="33"/>
      <c r="HES43" s="33"/>
      <c r="HET43" s="33"/>
      <c r="HEU43" s="33"/>
      <c r="HEV43" s="33"/>
      <c r="HEW43" s="33"/>
      <c r="HEX43" s="33"/>
      <c r="HEY43" s="33"/>
      <c r="HEZ43" s="33"/>
      <c r="HFA43" s="33"/>
      <c r="HFB43" s="33"/>
      <c r="HFC43" s="33"/>
      <c r="HFD43" s="33"/>
      <c r="HFE43" s="33"/>
      <c r="HFF43" s="33"/>
      <c r="HFG43" s="33"/>
      <c r="HFH43" s="33"/>
      <c r="HFI43" s="33"/>
      <c r="HFJ43" s="33"/>
      <c r="HFK43" s="33"/>
      <c r="HFL43" s="33"/>
      <c r="HFM43" s="33"/>
      <c r="HFN43" s="33"/>
      <c r="HFO43" s="33"/>
      <c r="HFP43" s="33"/>
      <c r="HFQ43" s="33"/>
      <c r="HFR43" s="33"/>
      <c r="HFS43" s="33"/>
      <c r="HFT43" s="33"/>
      <c r="HFU43" s="33"/>
      <c r="HFV43" s="33"/>
      <c r="HFW43" s="33"/>
      <c r="HFX43" s="33"/>
      <c r="HFY43" s="33"/>
      <c r="HFZ43" s="33"/>
      <c r="HGA43" s="33"/>
      <c r="HGB43" s="33"/>
      <c r="HGC43" s="33"/>
      <c r="HGD43" s="33"/>
      <c r="HGE43" s="33"/>
      <c r="HGF43" s="33"/>
      <c r="HGG43" s="33"/>
      <c r="HGH43" s="33"/>
      <c r="HGI43" s="33"/>
      <c r="HGJ43" s="33"/>
      <c r="HGK43" s="33"/>
      <c r="HGL43" s="33"/>
      <c r="HGM43" s="33"/>
      <c r="HGN43" s="33"/>
      <c r="HGO43" s="33"/>
      <c r="HGP43" s="33"/>
      <c r="HGQ43" s="33"/>
      <c r="HGR43" s="33"/>
      <c r="HGS43" s="33"/>
      <c r="HGT43" s="33"/>
      <c r="HGU43" s="33"/>
      <c r="HGV43" s="33"/>
      <c r="HGW43" s="33"/>
      <c r="HGX43" s="33"/>
      <c r="HGY43" s="33"/>
      <c r="HGZ43" s="33"/>
      <c r="HHA43" s="33"/>
      <c r="HHB43" s="33"/>
      <c r="HHC43" s="33"/>
      <c r="HHD43" s="33"/>
      <c r="HHE43" s="33"/>
      <c r="HHF43" s="33"/>
      <c r="HHG43" s="33"/>
      <c r="HHH43" s="33"/>
      <c r="HHI43" s="33"/>
      <c r="HHJ43" s="33"/>
      <c r="HHK43" s="33"/>
      <c r="HHL43" s="33"/>
      <c r="HHM43" s="33"/>
      <c r="HHN43" s="33"/>
      <c r="HHO43" s="33"/>
      <c r="HHP43" s="33"/>
      <c r="HHQ43" s="33"/>
      <c r="HHR43" s="33"/>
      <c r="HHS43" s="33"/>
      <c r="HHT43" s="33"/>
      <c r="HHU43" s="33"/>
      <c r="HHV43" s="33"/>
      <c r="HHW43" s="33"/>
      <c r="HHX43" s="33"/>
      <c r="HHY43" s="33"/>
      <c r="HHZ43" s="33"/>
      <c r="HIA43" s="33"/>
      <c r="HIB43" s="33"/>
      <c r="HIC43" s="33"/>
      <c r="HID43" s="33"/>
      <c r="HIE43" s="33"/>
      <c r="HIF43" s="33"/>
      <c r="HIG43" s="33"/>
      <c r="HIH43" s="33"/>
      <c r="HII43" s="33"/>
      <c r="HIJ43" s="33"/>
      <c r="HIK43" s="33"/>
      <c r="HIL43" s="33"/>
      <c r="HIM43" s="33"/>
      <c r="HIN43" s="33"/>
      <c r="HIO43" s="33"/>
      <c r="HIP43" s="33"/>
      <c r="HIQ43" s="33"/>
      <c r="HIR43" s="33"/>
      <c r="HIS43" s="33"/>
      <c r="HIT43" s="33"/>
      <c r="HIU43" s="33"/>
      <c r="HIV43" s="33"/>
      <c r="HIW43" s="33"/>
      <c r="HIX43" s="33"/>
      <c r="HIY43" s="33"/>
      <c r="HIZ43" s="33"/>
      <c r="HJA43" s="33"/>
      <c r="HJB43" s="33"/>
      <c r="HJC43" s="33"/>
      <c r="HJD43" s="33"/>
      <c r="HJE43" s="33"/>
      <c r="HJF43" s="33"/>
      <c r="HJG43" s="33"/>
      <c r="HJH43" s="33"/>
      <c r="HJI43" s="33"/>
      <c r="HJJ43" s="33"/>
      <c r="HJK43" s="33"/>
      <c r="HJL43" s="33"/>
      <c r="HJM43" s="33"/>
      <c r="HJN43" s="33"/>
      <c r="HJO43" s="33"/>
      <c r="HJP43" s="33"/>
      <c r="HJQ43" s="33"/>
      <c r="HJR43" s="33"/>
      <c r="HJS43" s="33"/>
      <c r="HJT43" s="33"/>
      <c r="HJU43" s="33"/>
      <c r="HJV43" s="33"/>
      <c r="HJW43" s="33"/>
      <c r="HJX43" s="33"/>
      <c r="HJY43" s="33"/>
      <c r="HJZ43" s="33"/>
      <c r="HKA43" s="33"/>
      <c r="HKB43" s="33"/>
      <c r="HKC43" s="33"/>
      <c r="HKD43" s="33"/>
      <c r="HKE43" s="33"/>
      <c r="HKF43" s="33"/>
      <c r="HKG43" s="33"/>
      <c r="HKH43" s="33"/>
      <c r="HKI43" s="33"/>
      <c r="HKJ43" s="33"/>
      <c r="HKK43" s="33"/>
      <c r="HKL43" s="33"/>
      <c r="HKM43" s="33"/>
      <c r="HKN43" s="33"/>
      <c r="HKO43" s="33"/>
      <c r="HKP43" s="33"/>
      <c r="HKQ43" s="33"/>
      <c r="HKR43" s="33"/>
      <c r="HKS43" s="33"/>
      <c r="HKT43" s="33"/>
      <c r="HKU43" s="33"/>
      <c r="HKV43" s="33"/>
      <c r="HKW43" s="33"/>
      <c r="HKX43" s="33"/>
      <c r="HKY43" s="33"/>
      <c r="HKZ43" s="33"/>
      <c r="HLA43" s="33"/>
      <c r="HLB43" s="33"/>
      <c r="HLC43" s="33"/>
      <c r="HLD43" s="33"/>
      <c r="HLE43" s="33"/>
      <c r="HLF43" s="33"/>
      <c r="HLG43" s="33"/>
      <c r="HLH43" s="33"/>
      <c r="HLI43" s="33"/>
      <c r="HLJ43" s="33"/>
      <c r="HLK43" s="33"/>
      <c r="HLL43" s="33"/>
      <c r="HLM43" s="33"/>
      <c r="HLN43" s="33"/>
      <c r="HLO43" s="33"/>
      <c r="HLP43" s="33"/>
      <c r="HLQ43" s="33"/>
      <c r="HLR43" s="33"/>
      <c r="HLS43" s="33"/>
      <c r="HLT43" s="33"/>
      <c r="HLU43" s="33"/>
      <c r="HLV43" s="33"/>
      <c r="HLW43" s="33"/>
      <c r="HLX43" s="33"/>
      <c r="HLY43" s="33"/>
      <c r="HLZ43" s="33"/>
      <c r="HMA43" s="33"/>
      <c r="HMB43" s="33"/>
      <c r="HMC43" s="33"/>
      <c r="HMD43" s="33"/>
      <c r="HME43" s="33"/>
      <c r="HMF43" s="33"/>
      <c r="HMG43" s="33"/>
      <c r="HMH43" s="33"/>
      <c r="HMI43" s="33"/>
      <c r="HMJ43" s="33"/>
      <c r="HMK43" s="33"/>
      <c r="HML43" s="33"/>
      <c r="HMM43" s="33"/>
      <c r="HMN43" s="33"/>
      <c r="HMO43" s="33"/>
      <c r="HMP43" s="33"/>
      <c r="HMQ43" s="33"/>
      <c r="HMR43" s="33"/>
      <c r="HMS43" s="33"/>
      <c r="HMT43" s="33"/>
      <c r="HMU43" s="33"/>
      <c r="HMV43" s="33"/>
      <c r="HMW43" s="33"/>
      <c r="HMX43" s="33"/>
      <c r="HMY43" s="33"/>
      <c r="HMZ43" s="33"/>
      <c r="HNA43" s="33"/>
      <c r="HNB43" s="33"/>
      <c r="HNC43" s="33"/>
      <c r="HND43" s="33"/>
      <c r="HNE43" s="33"/>
      <c r="HNF43" s="33"/>
      <c r="HNG43" s="33"/>
      <c r="HNH43" s="33"/>
      <c r="HNI43" s="33"/>
      <c r="HNJ43" s="33"/>
      <c r="HNK43" s="33"/>
      <c r="HNL43" s="33"/>
      <c r="HNM43" s="33"/>
      <c r="HNN43" s="33"/>
      <c r="HNO43" s="33"/>
      <c r="HNP43" s="33"/>
      <c r="HNQ43" s="33"/>
      <c r="HNR43" s="33"/>
      <c r="HNS43" s="33"/>
      <c r="HNT43" s="33"/>
      <c r="HNU43" s="33"/>
      <c r="HNV43" s="33"/>
      <c r="HNW43" s="33"/>
      <c r="HNX43" s="33"/>
      <c r="HNY43" s="33"/>
      <c r="HNZ43" s="33"/>
      <c r="HOA43" s="33"/>
      <c r="HOB43" s="33"/>
      <c r="HOC43" s="33"/>
      <c r="HOD43" s="33"/>
      <c r="HOE43" s="33"/>
      <c r="HOF43" s="33"/>
      <c r="HOG43" s="33"/>
      <c r="HOH43" s="33"/>
      <c r="HOI43" s="33"/>
      <c r="HOJ43" s="33"/>
      <c r="HOK43" s="33"/>
      <c r="HOL43" s="33"/>
      <c r="HOM43" s="33"/>
      <c r="HON43" s="33"/>
      <c r="HOO43" s="33"/>
      <c r="HOP43" s="33"/>
      <c r="HOQ43" s="33"/>
      <c r="HOR43" s="33"/>
      <c r="HOS43" s="33"/>
      <c r="HOT43" s="33"/>
      <c r="HOU43" s="33"/>
      <c r="HOV43" s="33"/>
      <c r="HOW43" s="33"/>
      <c r="HOX43" s="33"/>
      <c r="HOY43" s="33"/>
      <c r="HOZ43" s="33"/>
      <c r="HPA43" s="33"/>
      <c r="HPB43" s="33"/>
      <c r="HPC43" s="33"/>
      <c r="HPD43" s="33"/>
      <c r="HPE43" s="33"/>
      <c r="HPF43" s="33"/>
      <c r="HPG43" s="33"/>
      <c r="HPH43" s="33"/>
      <c r="HPI43" s="33"/>
      <c r="HPJ43" s="33"/>
      <c r="HPK43" s="33"/>
      <c r="HPL43" s="33"/>
      <c r="HPM43" s="33"/>
      <c r="HPN43" s="33"/>
      <c r="HPO43" s="33"/>
      <c r="HPP43" s="33"/>
      <c r="HPQ43" s="33"/>
      <c r="HPR43" s="33"/>
      <c r="HPS43" s="33"/>
      <c r="HPT43" s="33"/>
      <c r="HPU43" s="33"/>
      <c r="HPV43" s="33"/>
      <c r="HPW43" s="33"/>
      <c r="HPX43" s="33"/>
      <c r="HPY43" s="33"/>
      <c r="HPZ43" s="33"/>
      <c r="HQA43" s="33"/>
      <c r="HQB43" s="33"/>
      <c r="HQC43" s="33"/>
      <c r="HQD43" s="33"/>
      <c r="HQE43" s="33"/>
      <c r="HQF43" s="33"/>
      <c r="HQG43" s="33"/>
      <c r="HQH43" s="33"/>
      <c r="HQI43" s="33"/>
      <c r="HQJ43" s="33"/>
      <c r="HQK43" s="33"/>
      <c r="HQL43" s="33"/>
      <c r="HQM43" s="33"/>
      <c r="HQN43" s="33"/>
      <c r="HQO43" s="33"/>
      <c r="HQP43" s="33"/>
      <c r="HQQ43" s="33"/>
      <c r="HQR43" s="33"/>
      <c r="HQS43" s="33"/>
      <c r="HQT43" s="33"/>
      <c r="HQU43" s="33"/>
      <c r="HQV43" s="33"/>
      <c r="HQW43" s="33"/>
      <c r="HQX43" s="33"/>
      <c r="HQY43" s="33"/>
      <c r="HQZ43" s="33"/>
      <c r="HRA43" s="33"/>
      <c r="HRB43" s="33"/>
      <c r="HRC43" s="33"/>
      <c r="HRD43" s="33"/>
      <c r="HRE43" s="33"/>
      <c r="HRF43" s="33"/>
      <c r="HRG43" s="33"/>
      <c r="HRH43" s="33"/>
      <c r="HRI43" s="33"/>
      <c r="HRJ43" s="33"/>
      <c r="HRK43" s="33"/>
      <c r="HRL43" s="33"/>
      <c r="HRM43" s="33"/>
      <c r="HRN43" s="33"/>
      <c r="HRO43" s="33"/>
      <c r="HRP43" s="33"/>
      <c r="HRQ43" s="33"/>
      <c r="HRR43" s="33"/>
      <c r="HRS43" s="33"/>
      <c r="HRT43" s="33"/>
      <c r="HRU43" s="33"/>
      <c r="HRV43" s="33"/>
      <c r="HRW43" s="33"/>
      <c r="HRX43" s="33"/>
      <c r="HRY43" s="33"/>
      <c r="HRZ43" s="33"/>
      <c r="HSA43" s="33"/>
      <c r="HSB43" s="33"/>
      <c r="HSC43" s="33"/>
      <c r="HSD43" s="33"/>
      <c r="HSE43" s="33"/>
      <c r="HSF43" s="33"/>
      <c r="HSG43" s="33"/>
      <c r="HSH43" s="33"/>
      <c r="HSI43" s="33"/>
      <c r="HSJ43" s="33"/>
      <c r="HSK43" s="33"/>
      <c r="HSL43" s="33"/>
      <c r="HSM43" s="33"/>
      <c r="HSN43" s="33"/>
      <c r="HSO43" s="33"/>
      <c r="HSP43" s="33"/>
      <c r="HSQ43" s="33"/>
      <c r="HSR43" s="33"/>
      <c r="HSS43" s="33"/>
      <c r="HST43" s="33"/>
      <c r="HSU43" s="33"/>
      <c r="HSV43" s="33"/>
      <c r="HSW43" s="33"/>
      <c r="HSX43" s="33"/>
      <c r="HSY43" s="33"/>
      <c r="HSZ43" s="33"/>
      <c r="HTA43" s="33"/>
      <c r="HTB43" s="33"/>
      <c r="HTC43" s="33"/>
      <c r="HTD43" s="33"/>
      <c r="HTE43" s="33"/>
      <c r="HTF43" s="33"/>
      <c r="HTG43" s="33"/>
      <c r="HTH43" s="33"/>
      <c r="HTI43" s="33"/>
      <c r="HTJ43" s="33"/>
      <c r="HTK43" s="33"/>
      <c r="HTL43" s="33"/>
      <c r="HTM43" s="33"/>
      <c r="HTN43" s="33"/>
      <c r="HTO43" s="33"/>
      <c r="HTP43" s="33"/>
      <c r="HTQ43" s="33"/>
      <c r="HTR43" s="33"/>
      <c r="HTS43" s="33"/>
      <c r="HTT43" s="33"/>
      <c r="HTU43" s="33"/>
      <c r="HTV43" s="33"/>
      <c r="HTW43" s="33"/>
      <c r="HTX43" s="33"/>
      <c r="HTY43" s="33"/>
      <c r="HTZ43" s="33"/>
      <c r="HUA43" s="33"/>
      <c r="HUB43" s="33"/>
      <c r="HUC43" s="33"/>
      <c r="HUD43" s="33"/>
      <c r="HUE43" s="33"/>
      <c r="HUF43" s="33"/>
      <c r="HUG43" s="33"/>
      <c r="HUH43" s="33"/>
      <c r="HUI43" s="33"/>
      <c r="HUJ43" s="33"/>
      <c r="HUK43" s="33"/>
      <c r="HUL43" s="33"/>
      <c r="HUM43" s="33"/>
      <c r="HUN43" s="33"/>
      <c r="HUO43" s="33"/>
      <c r="HUP43" s="33"/>
      <c r="HUQ43" s="33"/>
      <c r="HUR43" s="33"/>
      <c r="HUS43" s="33"/>
      <c r="HUT43" s="33"/>
      <c r="HUU43" s="33"/>
      <c r="HUV43" s="33"/>
      <c r="HUW43" s="33"/>
      <c r="HUX43" s="33"/>
      <c r="HUY43" s="33"/>
      <c r="HUZ43" s="33"/>
      <c r="HVA43" s="33"/>
      <c r="HVB43" s="33"/>
      <c r="HVC43" s="33"/>
      <c r="HVD43" s="33"/>
      <c r="HVE43" s="33"/>
      <c r="HVF43" s="33"/>
      <c r="HVG43" s="33"/>
      <c r="HVH43" s="33"/>
      <c r="HVI43" s="33"/>
      <c r="HVJ43" s="33"/>
      <c r="HVK43" s="33"/>
      <c r="HVL43" s="33"/>
      <c r="HVM43" s="33"/>
      <c r="HVN43" s="33"/>
      <c r="HVO43" s="33"/>
      <c r="HVP43" s="33"/>
      <c r="HVQ43" s="33"/>
      <c r="HVR43" s="33"/>
      <c r="HVS43" s="33"/>
      <c r="HVT43" s="33"/>
      <c r="HVU43" s="33"/>
      <c r="HVV43" s="33"/>
      <c r="HVW43" s="33"/>
      <c r="HVX43" s="33"/>
      <c r="HVY43" s="33"/>
      <c r="HVZ43" s="33"/>
      <c r="HWA43" s="33"/>
      <c r="HWB43" s="33"/>
      <c r="HWC43" s="33"/>
      <c r="HWD43" s="33"/>
      <c r="HWE43" s="33"/>
      <c r="HWF43" s="33"/>
      <c r="HWG43" s="33"/>
      <c r="HWH43" s="33"/>
      <c r="HWI43" s="33"/>
      <c r="HWJ43" s="33"/>
      <c r="HWK43" s="33"/>
      <c r="HWL43" s="33"/>
      <c r="HWM43" s="33"/>
      <c r="HWN43" s="33"/>
      <c r="HWO43" s="33"/>
      <c r="HWP43" s="33"/>
      <c r="HWQ43" s="33"/>
      <c r="HWR43" s="33"/>
      <c r="HWS43" s="33"/>
      <c r="HWT43" s="33"/>
      <c r="HWU43" s="33"/>
      <c r="HWV43" s="33"/>
      <c r="HWW43" s="33"/>
      <c r="HWX43" s="33"/>
      <c r="HWY43" s="33"/>
      <c r="HWZ43" s="33"/>
      <c r="HXA43" s="33"/>
      <c r="HXB43" s="33"/>
      <c r="HXC43" s="33"/>
      <c r="HXD43" s="33"/>
      <c r="HXE43" s="33"/>
      <c r="HXF43" s="33"/>
      <c r="HXG43" s="33"/>
      <c r="HXH43" s="33"/>
      <c r="HXI43" s="33"/>
      <c r="HXJ43" s="33"/>
      <c r="HXK43" s="33"/>
      <c r="HXL43" s="33"/>
      <c r="HXM43" s="33"/>
      <c r="HXN43" s="33"/>
      <c r="HXO43" s="33"/>
      <c r="HXP43" s="33"/>
      <c r="HXQ43" s="33"/>
      <c r="HXR43" s="33"/>
      <c r="HXS43" s="33"/>
      <c r="HXT43" s="33"/>
      <c r="HXU43" s="33"/>
      <c r="HXV43" s="33"/>
      <c r="HXW43" s="33"/>
      <c r="HXX43" s="33"/>
      <c r="HXY43" s="33"/>
      <c r="HXZ43" s="33"/>
      <c r="HYA43" s="33"/>
      <c r="HYB43" s="33"/>
      <c r="HYC43" s="33"/>
      <c r="HYD43" s="33"/>
      <c r="HYE43" s="33"/>
      <c r="HYF43" s="33"/>
      <c r="HYG43" s="33"/>
      <c r="HYH43" s="33"/>
      <c r="HYI43" s="33"/>
      <c r="HYJ43" s="33"/>
      <c r="HYK43" s="33"/>
      <c r="HYL43" s="33"/>
      <c r="HYM43" s="33"/>
      <c r="HYN43" s="33"/>
      <c r="HYO43" s="33"/>
      <c r="HYP43" s="33"/>
      <c r="HYQ43" s="33"/>
      <c r="HYR43" s="33"/>
      <c r="HYS43" s="33"/>
      <c r="HYT43" s="33"/>
      <c r="HYU43" s="33"/>
      <c r="HYV43" s="33"/>
      <c r="HYW43" s="33"/>
      <c r="HYX43" s="33"/>
      <c r="HYY43" s="33"/>
      <c r="HYZ43" s="33"/>
      <c r="HZA43" s="33"/>
      <c r="HZB43" s="33"/>
      <c r="HZC43" s="33"/>
      <c r="HZD43" s="33"/>
      <c r="HZE43" s="33"/>
      <c r="HZF43" s="33"/>
      <c r="HZG43" s="33"/>
      <c r="HZH43" s="33"/>
      <c r="HZI43" s="33"/>
      <c r="HZJ43" s="33"/>
      <c r="HZK43" s="33"/>
      <c r="HZL43" s="33"/>
      <c r="HZM43" s="33"/>
      <c r="HZN43" s="33"/>
      <c r="HZO43" s="33"/>
      <c r="HZP43" s="33"/>
      <c r="HZQ43" s="33"/>
      <c r="HZR43" s="33"/>
      <c r="HZS43" s="33"/>
      <c r="HZT43" s="33"/>
      <c r="HZU43" s="33"/>
      <c r="HZV43" s="33"/>
      <c r="HZW43" s="33"/>
      <c r="HZX43" s="33"/>
      <c r="HZY43" s="33"/>
      <c r="HZZ43" s="33"/>
      <c r="IAA43" s="33"/>
      <c r="IAB43" s="33"/>
      <c r="IAC43" s="33"/>
      <c r="IAD43" s="33"/>
      <c r="IAE43" s="33"/>
      <c r="IAF43" s="33"/>
      <c r="IAG43" s="33"/>
      <c r="IAH43" s="33"/>
      <c r="IAI43" s="33"/>
      <c r="IAJ43" s="33"/>
      <c r="IAK43" s="33"/>
      <c r="IAL43" s="33"/>
      <c r="IAM43" s="33"/>
      <c r="IAN43" s="33"/>
      <c r="IAO43" s="33"/>
      <c r="IAP43" s="33"/>
      <c r="IAQ43" s="33"/>
      <c r="IAR43" s="33"/>
      <c r="IAS43" s="33"/>
      <c r="IAT43" s="33"/>
      <c r="IAU43" s="33"/>
      <c r="IAV43" s="33"/>
      <c r="IAW43" s="33"/>
      <c r="IAX43" s="33"/>
      <c r="IAY43" s="33"/>
      <c r="IAZ43" s="33"/>
      <c r="IBA43" s="33"/>
      <c r="IBB43" s="33"/>
      <c r="IBC43" s="33"/>
      <c r="IBD43" s="33"/>
      <c r="IBE43" s="33"/>
      <c r="IBF43" s="33"/>
      <c r="IBG43" s="33"/>
      <c r="IBH43" s="33"/>
      <c r="IBI43" s="33"/>
      <c r="IBJ43" s="33"/>
      <c r="IBK43" s="33"/>
      <c r="IBL43" s="33"/>
      <c r="IBM43" s="33"/>
      <c r="IBN43" s="33"/>
      <c r="IBO43" s="33"/>
      <c r="IBP43" s="33"/>
      <c r="IBQ43" s="33"/>
      <c r="IBR43" s="33"/>
      <c r="IBS43" s="33"/>
      <c r="IBT43" s="33"/>
      <c r="IBU43" s="33"/>
      <c r="IBV43" s="33"/>
      <c r="IBW43" s="33"/>
      <c r="IBX43" s="33"/>
      <c r="IBY43" s="33"/>
      <c r="IBZ43" s="33"/>
      <c r="ICA43" s="33"/>
      <c r="ICB43" s="33"/>
      <c r="ICC43" s="33"/>
      <c r="ICD43" s="33"/>
      <c r="ICE43" s="33"/>
      <c r="ICF43" s="33"/>
      <c r="ICG43" s="33"/>
      <c r="ICH43" s="33"/>
      <c r="ICI43" s="33"/>
      <c r="ICJ43" s="33"/>
      <c r="ICK43" s="33"/>
      <c r="ICL43" s="33"/>
      <c r="ICM43" s="33"/>
      <c r="ICN43" s="33"/>
      <c r="ICO43" s="33"/>
      <c r="ICP43" s="33"/>
      <c r="ICQ43" s="33"/>
      <c r="ICR43" s="33"/>
      <c r="ICS43" s="33"/>
      <c r="ICT43" s="33"/>
      <c r="ICU43" s="33"/>
      <c r="ICV43" s="33"/>
      <c r="ICW43" s="33"/>
      <c r="ICX43" s="33"/>
      <c r="ICY43" s="33"/>
      <c r="ICZ43" s="33"/>
      <c r="IDA43" s="33"/>
      <c r="IDB43" s="33"/>
      <c r="IDC43" s="33"/>
      <c r="IDD43" s="33"/>
      <c r="IDE43" s="33"/>
      <c r="IDF43" s="33"/>
      <c r="IDG43" s="33"/>
      <c r="IDH43" s="33"/>
      <c r="IDI43" s="33"/>
      <c r="IDJ43" s="33"/>
      <c r="IDK43" s="33"/>
      <c r="IDL43" s="33"/>
      <c r="IDM43" s="33"/>
      <c r="IDN43" s="33"/>
      <c r="IDO43" s="33"/>
      <c r="IDP43" s="33"/>
      <c r="IDQ43" s="33"/>
      <c r="IDR43" s="33"/>
      <c r="IDS43" s="33"/>
      <c r="IDT43" s="33"/>
      <c r="IDU43" s="33"/>
      <c r="IDV43" s="33"/>
      <c r="IDW43" s="33"/>
      <c r="IDX43" s="33"/>
      <c r="IDY43" s="33"/>
      <c r="IDZ43" s="33"/>
      <c r="IEA43" s="33"/>
      <c r="IEB43" s="33"/>
      <c r="IEC43" s="33"/>
      <c r="IED43" s="33"/>
      <c r="IEE43" s="33"/>
      <c r="IEF43" s="33"/>
      <c r="IEG43" s="33"/>
      <c r="IEH43" s="33"/>
      <c r="IEI43" s="33"/>
      <c r="IEJ43" s="33"/>
      <c r="IEK43" s="33"/>
      <c r="IEL43" s="33"/>
      <c r="IEM43" s="33"/>
      <c r="IEN43" s="33"/>
      <c r="IEO43" s="33"/>
      <c r="IEP43" s="33"/>
      <c r="IEQ43" s="33"/>
      <c r="IER43" s="33"/>
      <c r="IES43" s="33"/>
      <c r="IET43" s="33"/>
      <c r="IEU43" s="33"/>
      <c r="IEV43" s="33"/>
      <c r="IEW43" s="33"/>
      <c r="IEX43" s="33"/>
      <c r="IEY43" s="33"/>
      <c r="IEZ43" s="33"/>
      <c r="IFA43" s="33"/>
      <c r="IFB43" s="33"/>
      <c r="IFC43" s="33"/>
      <c r="IFD43" s="33"/>
      <c r="IFE43" s="33"/>
      <c r="IFF43" s="33"/>
      <c r="IFG43" s="33"/>
      <c r="IFH43" s="33"/>
      <c r="IFI43" s="33"/>
      <c r="IFJ43" s="33"/>
      <c r="IFK43" s="33"/>
      <c r="IFL43" s="33"/>
      <c r="IFM43" s="33"/>
      <c r="IFN43" s="33"/>
      <c r="IFO43" s="33"/>
      <c r="IFP43" s="33"/>
      <c r="IFQ43" s="33"/>
      <c r="IFR43" s="33"/>
      <c r="IFS43" s="33"/>
      <c r="IFT43" s="33"/>
      <c r="IFU43" s="33"/>
      <c r="IFV43" s="33"/>
      <c r="IFW43" s="33"/>
      <c r="IFX43" s="33"/>
      <c r="IFY43" s="33"/>
      <c r="IFZ43" s="33"/>
      <c r="IGA43" s="33"/>
      <c r="IGB43" s="33"/>
      <c r="IGC43" s="33"/>
      <c r="IGD43" s="33"/>
      <c r="IGE43" s="33"/>
      <c r="IGF43" s="33"/>
      <c r="IGG43" s="33"/>
      <c r="IGH43" s="33"/>
      <c r="IGI43" s="33"/>
      <c r="IGJ43" s="33"/>
      <c r="IGK43" s="33"/>
      <c r="IGL43" s="33"/>
      <c r="IGM43" s="33"/>
      <c r="IGN43" s="33"/>
      <c r="IGO43" s="33"/>
      <c r="IGP43" s="33"/>
      <c r="IGQ43" s="33"/>
      <c r="IGR43" s="33"/>
      <c r="IGS43" s="33"/>
      <c r="IGT43" s="33"/>
      <c r="IGU43" s="33"/>
      <c r="IGV43" s="33"/>
      <c r="IGW43" s="33"/>
      <c r="IGX43" s="33"/>
      <c r="IGY43" s="33"/>
      <c r="IGZ43" s="33"/>
      <c r="IHA43" s="33"/>
      <c r="IHB43" s="33"/>
      <c r="IHC43" s="33"/>
      <c r="IHD43" s="33"/>
      <c r="IHE43" s="33"/>
      <c r="IHF43" s="33"/>
      <c r="IHG43" s="33"/>
      <c r="IHH43" s="33"/>
      <c r="IHI43" s="33"/>
      <c r="IHJ43" s="33"/>
      <c r="IHK43" s="33"/>
      <c r="IHL43" s="33"/>
      <c r="IHM43" s="33"/>
      <c r="IHN43" s="33"/>
      <c r="IHO43" s="33"/>
      <c r="IHP43" s="33"/>
      <c r="IHQ43" s="33"/>
      <c r="IHR43" s="33"/>
      <c r="IHS43" s="33"/>
      <c r="IHT43" s="33"/>
      <c r="IHU43" s="33"/>
      <c r="IHV43" s="33"/>
      <c r="IHW43" s="33"/>
      <c r="IHX43" s="33"/>
      <c r="IHY43" s="33"/>
      <c r="IHZ43" s="33"/>
      <c r="IIA43" s="33"/>
      <c r="IIB43" s="33"/>
      <c r="IIC43" s="33"/>
      <c r="IID43" s="33"/>
      <c r="IIE43" s="33"/>
      <c r="IIF43" s="33"/>
      <c r="IIG43" s="33"/>
      <c r="IIH43" s="33"/>
      <c r="III43" s="33"/>
      <c r="IIJ43" s="33"/>
      <c r="IIK43" s="33"/>
      <c r="IIL43" s="33"/>
      <c r="IIM43" s="33"/>
      <c r="IIN43" s="33"/>
      <c r="IIO43" s="33"/>
      <c r="IIP43" s="33"/>
      <c r="IIQ43" s="33"/>
      <c r="IIR43" s="33"/>
      <c r="IIS43" s="33"/>
      <c r="IIT43" s="33"/>
      <c r="IIU43" s="33"/>
      <c r="IIV43" s="33"/>
      <c r="IIW43" s="33"/>
      <c r="IIX43" s="33"/>
      <c r="IIY43" s="33"/>
      <c r="IIZ43" s="33"/>
      <c r="IJA43" s="33"/>
      <c r="IJB43" s="33"/>
      <c r="IJC43" s="33"/>
      <c r="IJD43" s="33"/>
      <c r="IJE43" s="33"/>
      <c r="IJF43" s="33"/>
      <c r="IJG43" s="33"/>
      <c r="IJH43" s="33"/>
      <c r="IJI43" s="33"/>
      <c r="IJJ43" s="33"/>
      <c r="IJK43" s="33"/>
      <c r="IJL43" s="33"/>
      <c r="IJM43" s="33"/>
      <c r="IJN43" s="33"/>
      <c r="IJO43" s="33"/>
      <c r="IJP43" s="33"/>
      <c r="IJQ43" s="33"/>
      <c r="IJR43" s="33"/>
      <c r="IJS43" s="33"/>
      <c r="IJT43" s="33"/>
      <c r="IJU43" s="33"/>
      <c r="IJV43" s="33"/>
      <c r="IJW43" s="33"/>
      <c r="IJX43" s="33"/>
      <c r="IJY43" s="33"/>
      <c r="IJZ43" s="33"/>
      <c r="IKA43" s="33"/>
      <c r="IKB43" s="33"/>
      <c r="IKC43" s="33"/>
      <c r="IKD43" s="33"/>
      <c r="IKE43" s="33"/>
      <c r="IKF43" s="33"/>
      <c r="IKG43" s="33"/>
      <c r="IKH43" s="33"/>
      <c r="IKI43" s="33"/>
      <c r="IKJ43" s="33"/>
      <c r="IKK43" s="33"/>
      <c r="IKL43" s="33"/>
      <c r="IKM43" s="33"/>
      <c r="IKN43" s="33"/>
      <c r="IKO43" s="33"/>
      <c r="IKP43" s="33"/>
      <c r="IKQ43" s="33"/>
      <c r="IKR43" s="33"/>
      <c r="IKS43" s="33"/>
      <c r="IKT43" s="33"/>
      <c r="IKU43" s="33"/>
      <c r="IKV43" s="33"/>
      <c r="IKW43" s="33"/>
      <c r="IKX43" s="33"/>
      <c r="IKY43" s="33"/>
      <c r="IKZ43" s="33"/>
      <c r="ILA43" s="33"/>
      <c r="ILB43" s="33"/>
      <c r="ILC43" s="33"/>
      <c r="ILD43" s="33"/>
      <c r="ILE43" s="33"/>
      <c r="ILF43" s="33"/>
      <c r="ILG43" s="33"/>
      <c r="ILH43" s="33"/>
      <c r="ILI43" s="33"/>
      <c r="ILJ43" s="33"/>
      <c r="ILK43" s="33"/>
      <c r="ILL43" s="33"/>
      <c r="ILM43" s="33"/>
      <c r="ILN43" s="33"/>
      <c r="ILO43" s="33"/>
      <c r="ILP43" s="33"/>
      <c r="ILQ43" s="33"/>
      <c r="ILR43" s="33"/>
      <c r="ILS43" s="33"/>
      <c r="ILT43" s="33"/>
      <c r="ILU43" s="33"/>
      <c r="ILV43" s="33"/>
      <c r="ILW43" s="33"/>
      <c r="ILX43" s="33"/>
      <c r="ILY43" s="33"/>
      <c r="ILZ43" s="33"/>
      <c r="IMA43" s="33"/>
      <c r="IMB43" s="33"/>
      <c r="IMC43" s="33"/>
      <c r="IMD43" s="33"/>
      <c r="IME43" s="33"/>
      <c r="IMF43" s="33"/>
      <c r="IMG43" s="33"/>
      <c r="IMH43" s="33"/>
      <c r="IMI43" s="33"/>
      <c r="IMJ43" s="33"/>
      <c r="IMK43" s="33"/>
      <c r="IML43" s="33"/>
      <c r="IMM43" s="33"/>
      <c r="IMN43" s="33"/>
      <c r="IMO43" s="33"/>
      <c r="IMP43" s="33"/>
      <c r="IMQ43" s="33"/>
      <c r="IMR43" s="33"/>
      <c r="IMS43" s="33"/>
      <c r="IMT43" s="33"/>
      <c r="IMU43" s="33"/>
      <c r="IMV43" s="33"/>
      <c r="IMW43" s="33"/>
      <c r="IMX43" s="33"/>
      <c r="IMY43" s="33"/>
      <c r="IMZ43" s="33"/>
      <c r="INA43" s="33"/>
      <c r="INB43" s="33"/>
      <c r="INC43" s="33"/>
      <c r="IND43" s="33"/>
      <c r="INE43" s="33"/>
      <c r="INF43" s="33"/>
      <c r="ING43" s="33"/>
      <c r="INH43" s="33"/>
      <c r="INI43" s="33"/>
      <c r="INJ43" s="33"/>
      <c r="INK43" s="33"/>
      <c r="INL43" s="33"/>
      <c r="INM43" s="33"/>
      <c r="INN43" s="33"/>
      <c r="INO43" s="33"/>
      <c r="INP43" s="33"/>
      <c r="INQ43" s="33"/>
      <c r="INR43" s="33"/>
      <c r="INS43" s="33"/>
      <c r="INT43" s="33"/>
      <c r="INU43" s="33"/>
      <c r="INV43" s="33"/>
      <c r="INW43" s="33"/>
      <c r="INX43" s="33"/>
      <c r="INY43" s="33"/>
      <c r="INZ43" s="33"/>
      <c r="IOA43" s="33"/>
      <c r="IOB43" s="33"/>
      <c r="IOC43" s="33"/>
      <c r="IOD43" s="33"/>
      <c r="IOE43" s="33"/>
      <c r="IOF43" s="33"/>
      <c r="IOG43" s="33"/>
      <c r="IOH43" s="33"/>
      <c r="IOI43" s="33"/>
      <c r="IOJ43" s="33"/>
      <c r="IOK43" s="33"/>
      <c r="IOL43" s="33"/>
      <c r="IOM43" s="33"/>
      <c r="ION43" s="33"/>
      <c r="IOO43" s="33"/>
      <c r="IOP43" s="33"/>
      <c r="IOQ43" s="33"/>
      <c r="IOR43" s="33"/>
      <c r="IOS43" s="33"/>
      <c r="IOT43" s="33"/>
      <c r="IOU43" s="33"/>
      <c r="IOV43" s="33"/>
      <c r="IOW43" s="33"/>
      <c r="IOX43" s="33"/>
      <c r="IOY43" s="33"/>
      <c r="IOZ43" s="33"/>
      <c r="IPA43" s="33"/>
      <c r="IPB43" s="33"/>
      <c r="IPC43" s="33"/>
      <c r="IPD43" s="33"/>
      <c r="IPE43" s="33"/>
      <c r="IPF43" s="33"/>
      <c r="IPG43" s="33"/>
      <c r="IPH43" s="33"/>
      <c r="IPI43" s="33"/>
      <c r="IPJ43" s="33"/>
      <c r="IPK43" s="33"/>
      <c r="IPL43" s="33"/>
      <c r="IPM43" s="33"/>
      <c r="IPN43" s="33"/>
      <c r="IPO43" s="33"/>
      <c r="IPP43" s="33"/>
      <c r="IPQ43" s="33"/>
      <c r="IPR43" s="33"/>
      <c r="IPS43" s="33"/>
      <c r="IPT43" s="33"/>
      <c r="IPU43" s="33"/>
      <c r="IPV43" s="33"/>
      <c r="IPW43" s="33"/>
      <c r="IPX43" s="33"/>
      <c r="IPY43" s="33"/>
      <c r="IPZ43" s="33"/>
      <c r="IQA43" s="33"/>
      <c r="IQB43" s="33"/>
      <c r="IQC43" s="33"/>
      <c r="IQD43" s="33"/>
      <c r="IQE43" s="33"/>
      <c r="IQF43" s="33"/>
      <c r="IQG43" s="33"/>
      <c r="IQH43" s="33"/>
      <c r="IQI43" s="33"/>
      <c r="IQJ43" s="33"/>
      <c r="IQK43" s="33"/>
      <c r="IQL43" s="33"/>
      <c r="IQM43" s="33"/>
      <c r="IQN43" s="33"/>
      <c r="IQO43" s="33"/>
      <c r="IQP43" s="33"/>
      <c r="IQQ43" s="33"/>
      <c r="IQR43" s="33"/>
      <c r="IQS43" s="33"/>
      <c r="IQT43" s="33"/>
      <c r="IQU43" s="33"/>
      <c r="IQV43" s="33"/>
      <c r="IQW43" s="33"/>
      <c r="IQX43" s="33"/>
      <c r="IQY43" s="33"/>
      <c r="IQZ43" s="33"/>
      <c r="IRA43" s="33"/>
      <c r="IRB43" s="33"/>
      <c r="IRC43" s="33"/>
      <c r="IRD43" s="33"/>
      <c r="IRE43" s="33"/>
      <c r="IRF43" s="33"/>
      <c r="IRG43" s="33"/>
      <c r="IRH43" s="33"/>
      <c r="IRI43" s="33"/>
      <c r="IRJ43" s="33"/>
      <c r="IRK43" s="33"/>
      <c r="IRL43" s="33"/>
      <c r="IRM43" s="33"/>
      <c r="IRN43" s="33"/>
      <c r="IRO43" s="33"/>
      <c r="IRP43" s="33"/>
      <c r="IRQ43" s="33"/>
      <c r="IRR43" s="33"/>
      <c r="IRS43" s="33"/>
      <c r="IRT43" s="33"/>
      <c r="IRU43" s="33"/>
      <c r="IRV43" s="33"/>
      <c r="IRW43" s="33"/>
      <c r="IRX43" s="33"/>
      <c r="IRY43" s="33"/>
      <c r="IRZ43" s="33"/>
      <c r="ISA43" s="33"/>
      <c r="ISB43" s="33"/>
      <c r="ISC43" s="33"/>
      <c r="ISD43" s="33"/>
      <c r="ISE43" s="33"/>
      <c r="ISF43" s="33"/>
      <c r="ISG43" s="33"/>
      <c r="ISH43" s="33"/>
      <c r="ISI43" s="33"/>
      <c r="ISJ43" s="33"/>
      <c r="ISK43" s="33"/>
      <c r="ISL43" s="33"/>
      <c r="ISM43" s="33"/>
      <c r="ISN43" s="33"/>
      <c r="ISO43" s="33"/>
      <c r="ISP43" s="33"/>
      <c r="ISQ43" s="33"/>
      <c r="ISR43" s="33"/>
      <c r="ISS43" s="33"/>
      <c r="IST43" s="33"/>
      <c r="ISU43" s="33"/>
      <c r="ISV43" s="33"/>
      <c r="ISW43" s="33"/>
      <c r="ISX43" s="33"/>
      <c r="ISY43" s="33"/>
      <c r="ISZ43" s="33"/>
      <c r="ITA43" s="33"/>
      <c r="ITB43" s="33"/>
      <c r="ITC43" s="33"/>
      <c r="ITD43" s="33"/>
      <c r="ITE43" s="33"/>
      <c r="ITF43" s="33"/>
      <c r="ITG43" s="33"/>
      <c r="ITH43" s="33"/>
      <c r="ITI43" s="33"/>
      <c r="ITJ43" s="33"/>
      <c r="ITK43" s="33"/>
      <c r="ITL43" s="33"/>
      <c r="ITM43" s="33"/>
      <c r="ITN43" s="33"/>
      <c r="ITO43" s="33"/>
      <c r="ITP43" s="33"/>
      <c r="ITQ43" s="33"/>
      <c r="ITR43" s="33"/>
      <c r="ITS43" s="33"/>
      <c r="ITT43" s="33"/>
      <c r="ITU43" s="33"/>
      <c r="ITV43" s="33"/>
      <c r="ITW43" s="33"/>
      <c r="ITX43" s="33"/>
      <c r="ITY43" s="33"/>
      <c r="ITZ43" s="33"/>
      <c r="IUA43" s="33"/>
      <c r="IUB43" s="33"/>
      <c r="IUC43" s="33"/>
      <c r="IUD43" s="33"/>
      <c r="IUE43" s="33"/>
      <c r="IUF43" s="33"/>
      <c r="IUG43" s="33"/>
      <c r="IUH43" s="33"/>
      <c r="IUI43" s="33"/>
      <c r="IUJ43" s="33"/>
      <c r="IUK43" s="33"/>
      <c r="IUL43" s="33"/>
      <c r="IUM43" s="33"/>
      <c r="IUN43" s="33"/>
      <c r="IUO43" s="33"/>
      <c r="IUP43" s="33"/>
      <c r="IUQ43" s="33"/>
      <c r="IUR43" s="33"/>
      <c r="IUS43" s="33"/>
      <c r="IUT43" s="33"/>
      <c r="IUU43" s="33"/>
      <c r="IUV43" s="33"/>
      <c r="IUW43" s="33"/>
      <c r="IUX43" s="33"/>
      <c r="IUY43" s="33"/>
      <c r="IUZ43" s="33"/>
      <c r="IVA43" s="33"/>
      <c r="IVB43" s="33"/>
      <c r="IVC43" s="33"/>
      <c r="IVD43" s="33"/>
      <c r="IVE43" s="33"/>
      <c r="IVF43" s="33"/>
      <c r="IVG43" s="33"/>
      <c r="IVH43" s="33"/>
      <c r="IVI43" s="33"/>
      <c r="IVJ43" s="33"/>
      <c r="IVK43" s="33"/>
      <c r="IVL43" s="33"/>
      <c r="IVM43" s="33"/>
      <c r="IVN43" s="33"/>
      <c r="IVO43" s="33"/>
      <c r="IVP43" s="33"/>
      <c r="IVQ43" s="33"/>
      <c r="IVR43" s="33"/>
      <c r="IVS43" s="33"/>
      <c r="IVT43" s="33"/>
      <c r="IVU43" s="33"/>
      <c r="IVV43" s="33"/>
      <c r="IVW43" s="33"/>
      <c r="IVX43" s="33"/>
      <c r="IVY43" s="33"/>
      <c r="IVZ43" s="33"/>
      <c r="IWA43" s="33"/>
      <c r="IWB43" s="33"/>
      <c r="IWC43" s="33"/>
      <c r="IWD43" s="33"/>
      <c r="IWE43" s="33"/>
      <c r="IWF43" s="33"/>
      <c r="IWG43" s="33"/>
      <c r="IWH43" s="33"/>
      <c r="IWI43" s="33"/>
      <c r="IWJ43" s="33"/>
      <c r="IWK43" s="33"/>
      <c r="IWL43" s="33"/>
      <c r="IWM43" s="33"/>
      <c r="IWN43" s="33"/>
      <c r="IWO43" s="33"/>
      <c r="IWP43" s="33"/>
      <c r="IWQ43" s="33"/>
      <c r="IWR43" s="33"/>
      <c r="IWS43" s="33"/>
      <c r="IWT43" s="33"/>
      <c r="IWU43" s="33"/>
      <c r="IWV43" s="33"/>
      <c r="IWW43" s="33"/>
      <c r="IWX43" s="33"/>
      <c r="IWY43" s="33"/>
      <c r="IWZ43" s="33"/>
      <c r="IXA43" s="33"/>
      <c r="IXB43" s="33"/>
      <c r="IXC43" s="33"/>
      <c r="IXD43" s="33"/>
      <c r="IXE43" s="33"/>
      <c r="IXF43" s="33"/>
      <c r="IXG43" s="33"/>
      <c r="IXH43" s="33"/>
      <c r="IXI43" s="33"/>
      <c r="IXJ43" s="33"/>
      <c r="IXK43" s="33"/>
      <c r="IXL43" s="33"/>
      <c r="IXM43" s="33"/>
      <c r="IXN43" s="33"/>
      <c r="IXO43" s="33"/>
      <c r="IXP43" s="33"/>
      <c r="IXQ43" s="33"/>
      <c r="IXR43" s="33"/>
      <c r="IXS43" s="33"/>
      <c r="IXT43" s="33"/>
      <c r="IXU43" s="33"/>
      <c r="IXV43" s="33"/>
      <c r="IXW43" s="33"/>
      <c r="IXX43" s="33"/>
      <c r="IXY43" s="33"/>
      <c r="IXZ43" s="33"/>
      <c r="IYA43" s="33"/>
      <c r="IYB43" s="33"/>
      <c r="IYC43" s="33"/>
      <c r="IYD43" s="33"/>
      <c r="IYE43" s="33"/>
      <c r="IYF43" s="33"/>
      <c r="IYG43" s="33"/>
      <c r="IYH43" s="33"/>
      <c r="IYI43" s="33"/>
      <c r="IYJ43" s="33"/>
      <c r="IYK43" s="33"/>
      <c r="IYL43" s="33"/>
      <c r="IYM43" s="33"/>
      <c r="IYN43" s="33"/>
      <c r="IYO43" s="33"/>
      <c r="IYP43" s="33"/>
      <c r="IYQ43" s="33"/>
      <c r="IYR43" s="33"/>
      <c r="IYS43" s="33"/>
      <c r="IYT43" s="33"/>
      <c r="IYU43" s="33"/>
      <c r="IYV43" s="33"/>
      <c r="IYW43" s="33"/>
      <c r="IYX43" s="33"/>
      <c r="IYY43" s="33"/>
      <c r="IYZ43" s="33"/>
      <c r="IZA43" s="33"/>
      <c r="IZB43" s="33"/>
      <c r="IZC43" s="33"/>
      <c r="IZD43" s="33"/>
      <c r="IZE43" s="33"/>
      <c r="IZF43" s="33"/>
      <c r="IZG43" s="33"/>
      <c r="IZH43" s="33"/>
      <c r="IZI43" s="33"/>
      <c r="IZJ43" s="33"/>
      <c r="IZK43" s="33"/>
      <c r="IZL43" s="33"/>
      <c r="IZM43" s="33"/>
      <c r="IZN43" s="33"/>
      <c r="IZO43" s="33"/>
      <c r="IZP43" s="33"/>
      <c r="IZQ43" s="33"/>
      <c r="IZR43" s="33"/>
      <c r="IZS43" s="33"/>
      <c r="IZT43" s="33"/>
      <c r="IZU43" s="33"/>
      <c r="IZV43" s="33"/>
      <c r="IZW43" s="33"/>
      <c r="IZX43" s="33"/>
      <c r="IZY43" s="33"/>
      <c r="IZZ43" s="33"/>
      <c r="JAA43" s="33"/>
      <c r="JAB43" s="33"/>
      <c r="JAC43" s="33"/>
      <c r="JAD43" s="33"/>
      <c r="JAE43" s="33"/>
      <c r="JAF43" s="33"/>
      <c r="JAG43" s="33"/>
      <c r="JAH43" s="33"/>
      <c r="JAI43" s="33"/>
      <c r="JAJ43" s="33"/>
      <c r="JAK43" s="33"/>
      <c r="JAL43" s="33"/>
      <c r="JAM43" s="33"/>
      <c r="JAN43" s="33"/>
      <c r="JAO43" s="33"/>
      <c r="JAP43" s="33"/>
      <c r="JAQ43" s="33"/>
      <c r="JAR43" s="33"/>
      <c r="JAS43" s="33"/>
      <c r="JAT43" s="33"/>
      <c r="JAU43" s="33"/>
      <c r="JAV43" s="33"/>
      <c r="JAW43" s="33"/>
      <c r="JAX43" s="33"/>
      <c r="JAY43" s="33"/>
      <c r="JAZ43" s="33"/>
      <c r="JBA43" s="33"/>
      <c r="JBB43" s="33"/>
      <c r="JBC43" s="33"/>
      <c r="JBD43" s="33"/>
      <c r="JBE43" s="33"/>
      <c r="JBF43" s="33"/>
      <c r="JBG43" s="33"/>
      <c r="JBH43" s="33"/>
      <c r="JBI43" s="33"/>
      <c r="JBJ43" s="33"/>
      <c r="JBK43" s="33"/>
      <c r="JBL43" s="33"/>
      <c r="JBM43" s="33"/>
      <c r="JBN43" s="33"/>
      <c r="JBO43" s="33"/>
      <c r="JBP43" s="33"/>
      <c r="JBQ43" s="33"/>
      <c r="JBR43" s="33"/>
      <c r="JBS43" s="33"/>
      <c r="JBT43" s="33"/>
      <c r="JBU43" s="33"/>
      <c r="JBV43" s="33"/>
      <c r="JBW43" s="33"/>
      <c r="JBX43" s="33"/>
      <c r="JBY43" s="33"/>
      <c r="JBZ43" s="33"/>
      <c r="JCA43" s="33"/>
      <c r="JCB43" s="33"/>
      <c r="JCC43" s="33"/>
      <c r="JCD43" s="33"/>
      <c r="JCE43" s="33"/>
      <c r="JCF43" s="33"/>
      <c r="JCG43" s="33"/>
      <c r="JCH43" s="33"/>
      <c r="JCI43" s="33"/>
      <c r="JCJ43" s="33"/>
      <c r="JCK43" s="33"/>
      <c r="JCL43" s="33"/>
      <c r="JCM43" s="33"/>
      <c r="JCN43" s="33"/>
      <c r="JCO43" s="33"/>
      <c r="JCP43" s="33"/>
      <c r="JCQ43" s="33"/>
      <c r="JCR43" s="33"/>
      <c r="JCS43" s="33"/>
      <c r="JCT43" s="33"/>
      <c r="JCU43" s="33"/>
      <c r="JCV43" s="33"/>
      <c r="JCW43" s="33"/>
      <c r="JCX43" s="33"/>
      <c r="JCY43" s="33"/>
      <c r="JCZ43" s="33"/>
      <c r="JDA43" s="33"/>
      <c r="JDB43" s="33"/>
      <c r="JDC43" s="33"/>
      <c r="JDD43" s="33"/>
      <c r="JDE43" s="33"/>
      <c r="JDF43" s="33"/>
      <c r="JDG43" s="33"/>
      <c r="JDH43" s="33"/>
      <c r="JDI43" s="33"/>
      <c r="JDJ43" s="33"/>
      <c r="JDK43" s="33"/>
      <c r="JDL43" s="33"/>
      <c r="JDM43" s="33"/>
      <c r="JDN43" s="33"/>
      <c r="JDO43" s="33"/>
      <c r="JDP43" s="33"/>
      <c r="JDQ43" s="33"/>
      <c r="JDR43" s="33"/>
      <c r="JDS43" s="33"/>
      <c r="JDT43" s="33"/>
      <c r="JDU43" s="33"/>
      <c r="JDV43" s="33"/>
      <c r="JDW43" s="33"/>
      <c r="JDX43" s="33"/>
      <c r="JDY43" s="33"/>
      <c r="JDZ43" s="33"/>
      <c r="JEA43" s="33"/>
      <c r="JEB43" s="33"/>
      <c r="JEC43" s="33"/>
      <c r="JED43" s="33"/>
      <c r="JEE43" s="33"/>
      <c r="JEF43" s="33"/>
      <c r="JEG43" s="33"/>
      <c r="JEH43" s="33"/>
      <c r="JEI43" s="33"/>
      <c r="JEJ43" s="33"/>
      <c r="JEK43" s="33"/>
      <c r="JEL43" s="33"/>
      <c r="JEM43" s="33"/>
      <c r="JEN43" s="33"/>
      <c r="JEO43" s="33"/>
      <c r="JEP43" s="33"/>
      <c r="JEQ43" s="33"/>
      <c r="JER43" s="33"/>
      <c r="JES43" s="33"/>
      <c r="JET43" s="33"/>
      <c r="JEU43" s="33"/>
      <c r="JEV43" s="33"/>
      <c r="JEW43" s="33"/>
      <c r="JEX43" s="33"/>
      <c r="JEY43" s="33"/>
      <c r="JEZ43" s="33"/>
      <c r="JFA43" s="33"/>
      <c r="JFB43" s="33"/>
      <c r="JFC43" s="33"/>
      <c r="JFD43" s="33"/>
      <c r="JFE43" s="33"/>
      <c r="JFF43" s="33"/>
      <c r="JFG43" s="33"/>
      <c r="JFH43" s="33"/>
      <c r="JFI43" s="33"/>
      <c r="JFJ43" s="33"/>
      <c r="JFK43" s="33"/>
      <c r="JFL43" s="33"/>
      <c r="JFM43" s="33"/>
      <c r="JFN43" s="33"/>
      <c r="JFO43" s="33"/>
      <c r="JFP43" s="33"/>
      <c r="JFQ43" s="33"/>
      <c r="JFR43" s="33"/>
      <c r="JFS43" s="33"/>
      <c r="JFT43" s="33"/>
      <c r="JFU43" s="33"/>
      <c r="JFV43" s="33"/>
      <c r="JFW43" s="33"/>
      <c r="JFX43" s="33"/>
      <c r="JFY43" s="33"/>
      <c r="JFZ43" s="33"/>
      <c r="JGA43" s="33"/>
      <c r="JGB43" s="33"/>
      <c r="JGC43" s="33"/>
      <c r="JGD43" s="33"/>
      <c r="JGE43" s="33"/>
      <c r="JGF43" s="33"/>
      <c r="JGG43" s="33"/>
      <c r="JGH43" s="33"/>
      <c r="JGI43" s="33"/>
      <c r="JGJ43" s="33"/>
      <c r="JGK43" s="33"/>
      <c r="JGL43" s="33"/>
      <c r="JGM43" s="33"/>
      <c r="JGN43" s="33"/>
      <c r="JGO43" s="33"/>
      <c r="JGP43" s="33"/>
      <c r="JGQ43" s="33"/>
      <c r="JGR43" s="33"/>
      <c r="JGS43" s="33"/>
      <c r="JGT43" s="33"/>
      <c r="JGU43" s="33"/>
      <c r="JGV43" s="33"/>
      <c r="JGW43" s="33"/>
      <c r="JGX43" s="33"/>
      <c r="JGY43" s="33"/>
      <c r="JGZ43" s="33"/>
      <c r="JHA43" s="33"/>
      <c r="JHB43" s="33"/>
      <c r="JHC43" s="33"/>
      <c r="JHD43" s="33"/>
      <c r="JHE43" s="33"/>
      <c r="JHF43" s="33"/>
      <c r="JHG43" s="33"/>
      <c r="JHH43" s="33"/>
      <c r="JHI43" s="33"/>
      <c r="JHJ43" s="33"/>
      <c r="JHK43" s="33"/>
      <c r="JHL43" s="33"/>
      <c r="JHM43" s="33"/>
      <c r="JHN43" s="33"/>
      <c r="JHO43" s="33"/>
      <c r="JHP43" s="33"/>
      <c r="JHQ43" s="33"/>
      <c r="JHR43" s="33"/>
      <c r="JHS43" s="33"/>
      <c r="JHT43" s="33"/>
      <c r="JHU43" s="33"/>
      <c r="JHV43" s="33"/>
      <c r="JHW43" s="33"/>
      <c r="JHX43" s="33"/>
      <c r="JHY43" s="33"/>
      <c r="JHZ43" s="33"/>
      <c r="JIA43" s="33"/>
      <c r="JIB43" s="33"/>
      <c r="JIC43" s="33"/>
      <c r="JID43" s="33"/>
      <c r="JIE43" s="33"/>
      <c r="JIF43" s="33"/>
      <c r="JIG43" s="33"/>
      <c r="JIH43" s="33"/>
      <c r="JII43" s="33"/>
      <c r="JIJ43" s="33"/>
      <c r="JIK43" s="33"/>
      <c r="JIL43" s="33"/>
      <c r="JIM43" s="33"/>
      <c r="JIN43" s="33"/>
      <c r="JIO43" s="33"/>
      <c r="JIP43" s="33"/>
      <c r="JIQ43" s="33"/>
      <c r="JIR43" s="33"/>
      <c r="JIS43" s="33"/>
      <c r="JIT43" s="33"/>
      <c r="JIU43" s="33"/>
      <c r="JIV43" s="33"/>
      <c r="JIW43" s="33"/>
      <c r="JIX43" s="33"/>
      <c r="JIY43" s="33"/>
      <c r="JIZ43" s="33"/>
      <c r="JJA43" s="33"/>
      <c r="JJB43" s="33"/>
      <c r="JJC43" s="33"/>
      <c r="JJD43" s="33"/>
      <c r="JJE43" s="33"/>
      <c r="JJF43" s="33"/>
      <c r="JJG43" s="33"/>
      <c r="JJH43" s="33"/>
      <c r="JJI43" s="33"/>
      <c r="JJJ43" s="33"/>
      <c r="JJK43" s="33"/>
      <c r="JJL43" s="33"/>
      <c r="JJM43" s="33"/>
      <c r="JJN43" s="33"/>
      <c r="JJO43" s="33"/>
      <c r="JJP43" s="33"/>
      <c r="JJQ43" s="33"/>
      <c r="JJR43" s="33"/>
      <c r="JJS43" s="33"/>
      <c r="JJT43" s="33"/>
      <c r="JJU43" s="33"/>
      <c r="JJV43" s="33"/>
      <c r="JJW43" s="33"/>
      <c r="JJX43" s="33"/>
      <c r="JJY43" s="33"/>
      <c r="JJZ43" s="33"/>
      <c r="JKA43" s="33"/>
      <c r="JKB43" s="33"/>
      <c r="JKC43" s="33"/>
      <c r="JKD43" s="33"/>
      <c r="JKE43" s="33"/>
      <c r="JKF43" s="33"/>
      <c r="JKG43" s="33"/>
      <c r="JKH43" s="33"/>
      <c r="JKI43" s="33"/>
      <c r="JKJ43" s="33"/>
      <c r="JKK43" s="33"/>
      <c r="JKL43" s="33"/>
      <c r="JKM43" s="33"/>
      <c r="JKN43" s="33"/>
      <c r="JKO43" s="33"/>
      <c r="JKP43" s="33"/>
      <c r="JKQ43" s="33"/>
      <c r="JKR43" s="33"/>
      <c r="JKS43" s="33"/>
      <c r="JKT43" s="33"/>
      <c r="JKU43" s="33"/>
      <c r="JKV43" s="33"/>
      <c r="JKW43" s="33"/>
      <c r="JKX43" s="33"/>
      <c r="JKY43" s="33"/>
      <c r="JKZ43" s="33"/>
      <c r="JLA43" s="33"/>
      <c r="JLB43" s="33"/>
      <c r="JLC43" s="33"/>
      <c r="JLD43" s="33"/>
      <c r="JLE43" s="33"/>
      <c r="JLF43" s="33"/>
      <c r="JLG43" s="33"/>
      <c r="JLH43" s="33"/>
      <c r="JLI43" s="33"/>
      <c r="JLJ43" s="33"/>
      <c r="JLK43" s="33"/>
      <c r="JLL43" s="33"/>
      <c r="JLM43" s="33"/>
      <c r="JLN43" s="33"/>
      <c r="JLO43" s="33"/>
      <c r="JLP43" s="33"/>
      <c r="JLQ43" s="33"/>
      <c r="JLR43" s="33"/>
      <c r="JLS43" s="33"/>
      <c r="JLT43" s="33"/>
      <c r="JLU43" s="33"/>
      <c r="JLV43" s="33"/>
      <c r="JLW43" s="33"/>
      <c r="JLX43" s="33"/>
      <c r="JLY43" s="33"/>
      <c r="JLZ43" s="33"/>
      <c r="JMA43" s="33"/>
      <c r="JMB43" s="33"/>
      <c r="JMC43" s="33"/>
      <c r="JMD43" s="33"/>
      <c r="JME43" s="33"/>
      <c r="JMF43" s="33"/>
      <c r="JMG43" s="33"/>
      <c r="JMH43" s="33"/>
      <c r="JMI43" s="33"/>
      <c r="JMJ43" s="33"/>
      <c r="JMK43" s="33"/>
      <c r="JML43" s="33"/>
      <c r="JMM43" s="33"/>
      <c r="JMN43" s="33"/>
      <c r="JMO43" s="33"/>
      <c r="JMP43" s="33"/>
      <c r="JMQ43" s="33"/>
      <c r="JMR43" s="33"/>
      <c r="JMS43" s="33"/>
      <c r="JMT43" s="33"/>
      <c r="JMU43" s="33"/>
      <c r="JMV43" s="33"/>
      <c r="JMW43" s="33"/>
      <c r="JMX43" s="33"/>
      <c r="JMY43" s="33"/>
      <c r="JMZ43" s="33"/>
      <c r="JNA43" s="33"/>
      <c r="JNB43" s="33"/>
      <c r="JNC43" s="33"/>
      <c r="JND43" s="33"/>
      <c r="JNE43" s="33"/>
      <c r="JNF43" s="33"/>
      <c r="JNG43" s="33"/>
      <c r="JNH43" s="33"/>
      <c r="JNI43" s="33"/>
      <c r="JNJ43" s="33"/>
      <c r="JNK43" s="33"/>
      <c r="JNL43" s="33"/>
      <c r="JNM43" s="33"/>
      <c r="JNN43" s="33"/>
      <c r="JNO43" s="33"/>
      <c r="JNP43" s="33"/>
      <c r="JNQ43" s="33"/>
      <c r="JNR43" s="33"/>
      <c r="JNS43" s="33"/>
      <c r="JNT43" s="33"/>
      <c r="JNU43" s="33"/>
      <c r="JNV43" s="33"/>
      <c r="JNW43" s="33"/>
      <c r="JNX43" s="33"/>
      <c r="JNY43" s="33"/>
      <c r="JNZ43" s="33"/>
      <c r="JOA43" s="33"/>
      <c r="JOB43" s="33"/>
      <c r="JOC43" s="33"/>
      <c r="JOD43" s="33"/>
      <c r="JOE43" s="33"/>
      <c r="JOF43" s="33"/>
      <c r="JOG43" s="33"/>
      <c r="JOH43" s="33"/>
      <c r="JOI43" s="33"/>
      <c r="JOJ43" s="33"/>
      <c r="JOK43" s="33"/>
      <c r="JOL43" s="33"/>
      <c r="JOM43" s="33"/>
      <c r="JON43" s="33"/>
      <c r="JOO43" s="33"/>
      <c r="JOP43" s="33"/>
      <c r="JOQ43" s="33"/>
      <c r="JOR43" s="33"/>
      <c r="JOS43" s="33"/>
      <c r="JOT43" s="33"/>
      <c r="JOU43" s="33"/>
      <c r="JOV43" s="33"/>
      <c r="JOW43" s="33"/>
      <c r="JOX43" s="33"/>
      <c r="JOY43" s="33"/>
      <c r="JOZ43" s="33"/>
      <c r="JPA43" s="33"/>
      <c r="JPB43" s="33"/>
      <c r="JPC43" s="33"/>
      <c r="JPD43" s="33"/>
      <c r="JPE43" s="33"/>
      <c r="JPF43" s="33"/>
      <c r="JPG43" s="33"/>
      <c r="JPH43" s="33"/>
      <c r="JPI43" s="33"/>
      <c r="JPJ43" s="33"/>
      <c r="JPK43" s="33"/>
      <c r="JPL43" s="33"/>
      <c r="JPM43" s="33"/>
      <c r="JPN43" s="33"/>
      <c r="JPO43" s="33"/>
      <c r="JPP43" s="33"/>
      <c r="JPQ43" s="33"/>
      <c r="JPR43" s="33"/>
      <c r="JPS43" s="33"/>
      <c r="JPT43" s="33"/>
      <c r="JPU43" s="33"/>
      <c r="JPV43" s="33"/>
      <c r="JPW43" s="33"/>
      <c r="JPX43" s="33"/>
      <c r="JPY43" s="33"/>
      <c r="JPZ43" s="33"/>
      <c r="JQA43" s="33"/>
      <c r="JQB43" s="33"/>
      <c r="JQC43" s="33"/>
      <c r="JQD43" s="33"/>
      <c r="JQE43" s="33"/>
      <c r="JQF43" s="33"/>
      <c r="JQG43" s="33"/>
      <c r="JQH43" s="33"/>
      <c r="JQI43" s="33"/>
      <c r="JQJ43" s="33"/>
      <c r="JQK43" s="33"/>
      <c r="JQL43" s="33"/>
      <c r="JQM43" s="33"/>
      <c r="JQN43" s="33"/>
      <c r="JQO43" s="33"/>
      <c r="JQP43" s="33"/>
      <c r="JQQ43" s="33"/>
      <c r="JQR43" s="33"/>
      <c r="JQS43" s="33"/>
      <c r="JQT43" s="33"/>
      <c r="JQU43" s="33"/>
      <c r="JQV43" s="33"/>
      <c r="JQW43" s="33"/>
      <c r="JQX43" s="33"/>
      <c r="JQY43" s="33"/>
      <c r="JQZ43" s="33"/>
      <c r="JRA43" s="33"/>
      <c r="JRB43" s="33"/>
      <c r="JRC43" s="33"/>
      <c r="JRD43" s="33"/>
      <c r="JRE43" s="33"/>
      <c r="JRF43" s="33"/>
      <c r="JRG43" s="33"/>
      <c r="JRH43" s="33"/>
      <c r="JRI43" s="33"/>
      <c r="JRJ43" s="33"/>
      <c r="JRK43" s="33"/>
      <c r="JRL43" s="33"/>
      <c r="JRM43" s="33"/>
      <c r="JRN43" s="33"/>
      <c r="JRO43" s="33"/>
      <c r="JRP43" s="33"/>
      <c r="JRQ43" s="33"/>
      <c r="JRR43" s="33"/>
      <c r="JRS43" s="33"/>
      <c r="JRT43" s="33"/>
      <c r="JRU43" s="33"/>
      <c r="JRV43" s="33"/>
      <c r="JRW43" s="33"/>
      <c r="JRX43" s="33"/>
      <c r="JRY43" s="33"/>
      <c r="JRZ43" s="33"/>
      <c r="JSA43" s="33"/>
      <c r="JSB43" s="33"/>
      <c r="JSC43" s="33"/>
      <c r="JSD43" s="33"/>
      <c r="JSE43" s="33"/>
      <c r="JSF43" s="33"/>
      <c r="JSG43" s="33"/>
      <c r="JSH43" s="33"/>
      <c r="JSI43" s="33"/>
      <c r="JSJ43" s="33"/>
      <c r="JSK43" s="33"/>
      <c r="JSL43" s="33"/>
      <c r="JSM43" s="33"/>
      <c r="JSN43" s="33"/>
      <c r="JSO43" s="33"/>
      <c r="JSP43" s="33"/>
      <c r="JSQ43" s="33"/>
      <c r="JSR43" s="33"/>
      <c r="JSS43" s="33"/>
      <c r="JST43" s="33"/>
      <c r="JSU43" s="33"/>
      <c r="JSV43" s="33"/>
      <c r="JSW43" s="33"/>
      <c r="JSX43" s="33"/>
      <c r="JSY43" s="33"/>
      <c r="JSZ43" s="33"/>
      <c r="JTA43" s="33"/>
      <c r="JTB43" s="33"/>
      <c r="JTC43" s="33"/>
      <c r="JTD43" s="33"/>
      <c r="JTE43" s="33"/>
      <c r="JTF43" s="33"/>
      <c r="JTG43" s="33"/>
      <c r="JTH43" s="33"/>
      <c r="JTI43" s="33"/>
      <c r="JTJ43" s="33"/>
      <c r="JTK43" s="33"/>
      <c r="JTL43" s="33"/>
      <c r="JTM43" s="33"/>
      <c r="JTN43" s="33"/>
      <c r="JTO43" s="33"/>
      <c r="JTP43" s="33"/>
      <c r="JTQ43" s="33"/>
      <c r="JTR43" s="33"/>
      <c r="JTS43" s="33"/>
      <c r="JTT43" s="33"/>
      <c r="JTU43" s="33"/>
      <c r="JTV43" s="33"/>
      <c r="JTW43" s="33"/>
      <c r="JTX43" s="33"/>
      <c r="JTY43" s="33"/>
      <c r="JTZ43" s="33"/>
      <c r="JUA43" s="33"/>
      <c r="JUB43" s="33"/>
      <c r="JUC43" s="33"/>
      <c r="JUD43" s="33"/>
      <c r="JUE43" s="33"/>
      <c r="JUF43" s="33"/>
      <c r="JUG43" s="33"/>
      <c r="JUH43" s="33"/>
      <c r="JUI43" s="33"/>
      <c r="JUJ43" s="33"/>
      <c r="JUK43" s="33"/>
      <c r="JUL43" s="33"/>
      <c r="JUM43" s="33"/>
      <c r="JUN43" s="33"/>
      <c r="JUO43" s="33"/>
      <c r="JUP43" s="33"/>
      <c r="JUQ43" s="33"/>
      <c r="JUR43" s="33"/>
      <c r="JUS43" s="33"/>
      <c r="JUT43" s="33"/>
      <c r="JUU43" s="33"/>
      <c r="JUV43" s="33"/>
      <c r="JUW43" s="33"/>
      <c r="JUX43" s="33"/>
      <c r="JUY43" s="33"/>
      <c r="JUZ43" s="33"/>
      <c r="JVA43" s="33"/>
      <c r="JVB43" s="33"/>
      <c r="JVC43" s="33"/>
      <c r="JVD43" s="33"/>
      <c r="JVE43" s="33"/>
      <c r="JVF43" s="33"/>
      <c r="JVG43" s="33"/>
      <c r="JVH43" s="33"/>
      <c r="JVI43" s="33"/>
      <c r="JVJ43" s="33"/>
      <c r="JVK43" s="33"/>
      <c r="JVL43" s="33"/>
      <c r="JVM43" s="33"/>
      <c r="JVN43" s="33"/>
      <c r="JVO43" s="33"/>
      <c r="JVP43" s="33"/>
      <c r="JVQ43" s="33"/>
      <c r="JVR43" s="33"/>
      <c r="JVS43" s="33"/>
      <c r="JVT43" s="33"/>
      <c r="JVU43" s="33"/>
      <c r="JVV43" s="33"/>
      <c r="JVW43" s="33"/>
      <c r="JVX43" s="33"/>
      <c r="JVY43" s="33"/>
      <c r="JVZ43" s="33"/>
      <c r="JWA43" s="33"/>
      <c r="JWB43" s="33"/>
      <c r="JWC43" s="33"/>
      <c r="JWD43" s="33"/>
      <c r="JWE43" s="33"/>
      <c r="JWF43" s="33"/>
      <c r="JWG43" s="33"/>
      <c r="JWH43" s="33"/>
      <c r="JWI43" s="33"/>
      <c r="JWJ43" s="33"/>
      <c r="JWK43" s="33"/>
      <c r="JWL43" s="33"/>
      <c r="JWM43" s="33"/>
      <c r="JWN43" s="33"/>
      <c r="JWO43" s="33"/>
      <c r="JWP43" s="33"/>
      <c r="JWQ43" s="33"/>
      <c r="JWR43" s="33"/>
      <c r="JWS43" s="33"/>
      <c r="JWT43" s="33"/>
      <c r="JWU43" s="33"/>
      <c r="JWV43" s="33"/>
      <c r="JWW43" s="33"/>
      <c r="JWX43" s="33"/>
      <c r="JWY43" s="33"/>
      <c r="JWZ43" s="33"/>
      <c r="JXA43" s="33"/>
      <c r="JXB43" s="33"/>
      <c r="JXC43" s="33"/>
      <c r="JXD43" s="33"/>
      <c r="JXE43" s="33"/>
      <c r="JXF43" s="33"/>
      <c r="JXG43" s="33"/>
      <c r="JXH43" s="33"/>
      <c r="JXI43" s="33"/>
      <c r="JXJ43" s="33"/>
      <c r="JXK43" s="33"/>
      <c r="JXL43" s="33"/>
      <c r="JXM43" s="33"/>
      <c r="JXN43" s="33"/>
      <c r="JXO43" s="33"/>
      <c r="JXP43" s="33"/>
      <c r="JXQ43" s="33"/>
      <c r="JXR43" s="33"/>
      <c r="JXS43" s="33"/>
      <c r="JXT43" s="33"/>
      <c r="JXU43" s="33"/>
      <c r="JXV43" s="33"/>
      <c r="JXW43" s="33"/>
      <c r="JXX43" s="33"/>
      <c r="JXY43" s="33"/>
      <c r="JXZ43" s="33"/>
      <c r="JYA43" s="33"/>
      <c r="JYB43" s="33"/>
      <c r="JYC43" s="33"/>
      <c r="JYD43" s="33"/>
      <c r="JYE43" s="33"/>
      <c r="JYF43" s="33"/>
      <c r="JYG43" s="33"/>
      <c r="JYH43" s="33"/>
      <c r="JYI43" s="33"/>
      <c r="JYJ43" s="33"/>
      <c r="JYK43" s="33"/>
      <c r="JYL43" s="33"/>
      <c r="JYM43" s="33"/>
      <c r="JYN43" s="33"/>
      <c r="JYO43" s="33"/>
      <c r="JYP43" s="33"/>
      <c r="JYQ43" s="33"/>
      <c r="JYR43" s="33"/>
      <c r="JYS43" s="33"/>
      <c r="JYT43" s="33"/>
      <c r="JYU43" s="33"/>
      <c r="JYV43" s="33"/>
      <c r="JYW43" s="33"/>
      <c r="JYX43" s="33"/>
      <c r="JYY43" s="33"/>
      <c r="JYZ43" s="33"/>
      <c r="JZA43" s="33"/>
      <c r="JZB43" s="33"/>
      <c r="JZC43" s="33"/>
      <c r="JZD43" s="33"/>
      <c r="JZE43" s="33"/>
      <c r="JZF43" s="33"/>
      <c r="JZG43" s="33"/>
      <c r="JZH43" s="33"/>
      <c r="JZI43" s="33"/>
      <c r="JZJ43" s="33"/>
      <c r="JZK43" s="33"/>
      <c r="JZL43" s="33"/>
      <c r="JZM43" s="33"/>
      <c r="JZN43" s="33"/>
      <c r="JZO43" s="33"/>
      <c r="JZP43" s="33"/>
      <c r="JZQ43" s="33"/>
      <c r="JZR43" s="33"/>
      <c r="JZS43" s="33"/>
      <c r="JZT43" s="33"/>
      <c r="JZU43" s="33"/>
      <c r="JZV43" s="33"/>
      <c r="JZW43" s="33"/>
      <c r="JZX43" s="33"/>
      <c r="JZY43" s="33"/>
      <c r="JZZ43" s="33"/>
      <c r="KAA43" s="33"/>
      <c r="KAB43" s="33"/>
      <c r="KAC43" s="33"/>
      <c r="KAD43" s="33"/>
      <c r="KAE43" s="33"/>
      <c r="KAF43" s="33"/>
      <c r="KAG43" s="33"/>
      <c r="KAH43" s="33"/>
      <c r="KAI43" s="33"/>
      <c r="KAJ43" s="33"/>
      <c r="KAK43" s="33"/>
      <c r="KAL43" s="33"/>
      <c r="KAM43" s="33"/>
      <c r="KAN43" s="33"/>
      <c r="KAO43" s="33"/>
      <c r="KAP43" s="33"/>
      <c r="KAQ43" s="33"/>
      <c r="KAR43" s="33"/>
      <c r="KAS43" s="33"/>
      <c r="KAT43" s="33"/>
      <c r="KAU43" s="33"/>
      <c r="KAV43" s="33"/>
      <c r="KAW43" s="33"/>
      <c r="KAX43" s="33"/>
      <c r="KAY43" s="33"/>
      <c r="KAZ43" s="33"/>
      <c r="KBA43" s="33"/>
      <c r="KBB43" s="33"/>
      <c r="KBC43" s="33"/>
      <c r="KBD43" s="33"/>
      <c r="KBE43" s="33"/>
      <c r="KBF43" s="33"/>
      <c r="KBG43" s="33"/>
      <c r="KBH43" s="33"/>
      <c r="KBI43" s="33"/>
      <c r="KBJ43" s="33"/>
      <c r="KBK43" s="33"/>
      <c r="KBL43" s="33"/>
      <c r="KBM43" s="33"/>
      <c r="KBN43" s="33"/>
      <c r="KBO43" s="33"/>
      <c r="KBP43" s="33"/>
      <c r="KBQ43" s="33"/>
      <c r="KBR43" s="33"/>
      <c r="KBS43" s="33"/>
      <c r="KBT43" s="33"/>
      <c r="KBU43" s="33"/>
      <c r="KBV43" s="33"/>
      <c r="KBW43" s="33"/>
      <c r="KBX43" s="33"/>
      <c r="KBY43" s="33"/>
      <c r="KBZ43" s="33"/>
      <c r="KCA43" s="33"/>
      <c r="KCB43" s="33"/>
      <c r="KCC43" s="33"/>
      <c r="KCD43" s="33"/>
      <c r="KCE43" s="33"/>
      <c r="KCF43" s="33"/>
      <c r="KCG43" s="33"/>
      <c r="KCH43" s="33"/>
      <c r="KCI43" s="33"/>
      <c r="KCJ43" s="33"/>
      <c r="KCK43" s="33"/>
      <c r="KCL43" s="33"/>
      <c r="KCM43" s="33"/>
      <c r="KCN43" s="33"/>
      <c r="KCO43" s="33"/>
      <c r="KCP43" s="33"/>
      <c r="KCQ43" s="33"/>
      <c r="KCR43" s="33"/>
      <c r="KCS43" s="33"/>
      <c r="KCT43" s="33"/>
      <c r="KCU43" s="33"/>
      <c r="KCV43" s="33"/>
      <c r="KCW43" s="33"/>
      <c r="KCX43" s="33"/>
      <c r="KCY43" s="33"/>
      <c r="KCZ43" s="33"/>
      <c r="KDA43" s="33"/>
      <c r="KDB43" s="33"/>
      <c r="KDC43" s="33"/>
      <c r="KDD43" s="33"/>
      <c r="KDE43" s="33"/>
      <c r="KDF43" s="33"/>
      <c r="KDG43" s="33"/>
      <c r="KDH43" s="33"/>
      <c r="KDI43" s="33"/>
      <c r="KDJ43" s="33"/>
      <c r="KDK43" s="33"/>
      <c r="KDL43" s="33"/>
      <c r="KDM43" s="33"/>
      <c r="KDN43" s="33"/>
      <c r="KDO43" s="33"/>
      <c r="KDP43" s="33"/>
      <c r="KDQ43" s="33"/>
      <c r="KDR43" s="33"/>
      <c r="KDS43" s="33"/>
      <c r="KDT43" s="33"/>
      <c r="KDU43" s="33"/>
      <c r="KDV43" s="33"/>
      <c r="KDW43" s="33"/>
      <c r="KDX43" s="33"/>
      <c r="KDY43" s="33"/>
      <c r="KDZ43" s="33"/>
      <c r="KEA43" s="33"/>
      <c r="KEB43" s="33"/>
      <c r="KEC43" s="33"/>
      <c r="KED43" s="33"/>
      <c r="KEE43" s="33"/>
      <c r="KEF43" s="33"/>
      <c r="KEG43" s="33"/>
      <c r="KEH43" s="33"/>
      <c r="KEI43" s="33"/>
      <c r="KEJ43" s="33"/>
      <c r="KEK43" s="33"/>
      <c r="KEL43" s="33"/>
      <c r="KEM43" s="33"/>
      <c r="KEN43" s="33"/>
      <c r="KEO43" s="33"/>
      <c r="KEP43" s="33"/>
      <c r="KEQ43" s="33"/>
      <c r="KER43" s="33"/>
      <c r="KES43" s="33"/>
      <c r="KET43" s="33"/>
      <c r="KEU43" s="33"/>
      <c r="KEV43" s="33"/>
      <c r="KEW43" s="33"/>
      <c r="KEX43" s="33"/>
      <c r="KEY43" s="33"/>
      <c r="KEZ43" s="33"/>
      <c r="KFA43" s="33"/>
      <c r="KFB43" s="33"/>
      <c r="KFC43" s="33"/>
      <c r="KFD43" s="33"/>
      <c r="KFE43" s="33"/>
      <c r="KFF43" s="33"/>
      <c r="KFG43" s="33"/>
      <c r="KFH43" s="33"/>
      <c r="KFI43" s="33"/>
      <c r="KFJ43" s="33"/>
      <c r="KFK43" s="33"/>
      <c r="KFL43" s="33"/>
      <c r="KFM43" s="33"/>
      <c r="KFN43" s="33"/>
      <c r="KFO43" s="33"/>
      <c r="KFP43" s="33"/>
      <c r="KFQ43" s="33"/>
      <c r="KFR43" s="33"/>
      <c r="KFS43" s="33"/>
      <c r="KFT43" s="33"/>
      <c r="KFU43" s="33"/>
      <c r="KFV43" s="33"/>
      <c r="KFW43" s="33"/>
      <c r="KFX43" s="33"/>
      <c r="KFY43" s="33"/>
      <c r="KFZ43" s="33"/>
      <c r="KGA43" s="33"/>
      <c r="KGB43" s="33"/>
      <c r="KGC43" s="33"/>
      <c r="KGD43" s="33"/>
      <c r="KGE43" s="33"/>
      <c r="KGF43" s="33"/>
      <c r="KGG43" s="33"/>
      <c r="KGH43" s="33"/>
      <c r="KGI43" s="33"/>
      <c r="KGJ43" s="33"/>
      <c r="KGK43" s="33"/>
      <c r="KGL43" s="33"/>
      <c r="KGM43" s="33"/>
      <c r="KGN43" s="33"/>
      <c r="KGO43" s="33"/>
      <c r="KGP43" s="33"/>
      <c r="KGQ43" s="33"/>
      <c r="KGR43" s="33"/>
      <c r="KGS43" s="33"/>
      <c r="KGT43" s="33"/>
      <c r="KGU43" s="33"/>
      <c r="KGV43" s="33"/>
      <c r="KGW43" s="33"/>
      <c r="KGX43" s="33"/>
      <c r="KGY43" s="33"/>
      <c r="KGZ43" s="33"/>
      <c r="KHA43" s="33"/>
      <c r="KHB43" s="33"/>
      <c r="KHC43" s="33"/>
      <c r="KHD43" s="33"/>
      <c r="KHE43" s="33"/>
      <c r="KHF43" s="33"/>
      <c r="KHG43" s="33"/>
      <c r="KHH43" s="33"/>
      <c r="KHI43" s="33"/>
      <c r="KHJ43" s="33"/>
      <c r="KHK43" s="33"/>
      <c r="KHL43" s="33"/>
      <c r="KHM43" s="33"/>
      <c r="KHN43" s="33"/>
      <c r="KHO43" s="33"/>
      <c r="KHP43" s="33"/>
      <c r="KHQ43" s="33"/>
      <c r="KHR43" s="33"/>
      <c r="KHS43" s="33"/>
      <c r="KHT43" s="33"/>
      <c r="KHU43" s="33"/>
      <c r="KHV43" s="33"/>
      <c r="KHW43" s="33"/>
      <c r="KHX43" s="33"/>
      <c r="KHY43" s="33"/>
      <c r="KHZ43" s="33"/>
      <c r="KIA43" s="33"/>
      <c r="KIB43" s="33"/>
      <c r="KIC43" s="33"/>
      <c r="KID43" s="33"/>
      <c r="KIE43" s="33"/>
      <c r="KIF43" s="33"/>
      <c r="KIG43" s="33"/>
      <c r="KIH43" s="33"/>
      <c r="KII43" s="33"/>
      <c r="KIJ43" s="33"/>
      <c r="KIK43" s="33"/>
      <c r="KIL43" s="33"/>
      <c r="KIM43" s="33"/>
      <c r="KIN43" s="33"/>
      <c r="KIO43" s="33"/>
      <c r="KIP43" s="33"/>
      <c r="KIQ43" s="33"/>
      <c r="KIR43" s="33"/>
      <c r="KIS43" s="33"/>
      <c r="KIT43" s="33"/>
      <c r="KIU43" s="33"/>
      <c r="KIV43" s="33"/>
      <c r="KIW43" s="33"/>
      <c r="KIX43" s="33"/>
      <c r="KIY43" s="33"/>
      <c r="KIZ43" s="33"/>
      <c r="KJA43" s="33"/>
      <c r="KJB43" s="33"/>
      <c r="KJC43" s="33"/>
      <c r="KJD43" s="33"/>
      <c r="KJE43" s="33"/>
      <c r="KJF43" s="33"/>
      <c r="KJG43" s="33"/>
      <c r="KJH43" s="33"/>
      <c r="KJI43" s="33"/>
      <c r="KJJ43" s="33"/>
      <c r="KJK43" s="33"/>
      <c r="KJL43" s="33"/>
      <c r="KJM43" s="33"/>
      <c r="KJN43" s="33"/>
      <c r="KJO43" s="33"/>
      <c r="KJP43" s="33"/>
      <c r="KJQ43" s="33"/>
      <c r="KJR43" s="33"/>
      <c r="KJS43" s="33"/>
      <c r="KJT43" s="33"/>
      <c r="KJU43" s="33"/>
      <c r="KJV43" s="33"/>
      <c r="KJW43" s="33"/>
      <c r="KJX43" s="33"/>
      <c r="KJY43" s="33"/>
      <c r="KJZ43" s="33"/>
      <c r="KKA43" s="33"/>
      <c r="KKB43" s="33"/>
      <c r="KKC43" s="33"/>
      <c r="KKD43" s="33"/>
      <c r="KKE43" s="33"/>
      <c r="KKF43" s="33"/>
      <c r="KKG43" s="33"/>
      <c r="KKH43" s="33"/>
      <c r="KKI43" s="33"/>
      <c r="KKJ43" s="33"/>
      <c r="KKK43" s="33"/>
      <c r="KKL43" s="33"/>
      <c r="KKM43" s="33"/>
      <c r="KKN43" s="33"/>
      <c r="KKO43" s="33"/>
      <c r="KKP43" s="33"/>
      <c r="KKQ43" s="33"/>
      <c r="KKR43" s="33"/>
      <c r="KKS43" s="33"/>
      <c r="KKT43" s="33"/>
      <c r="KKU43" s="33"/>
      <c r="KKV43" s="33"/>
      <c r="KKW43" s="33"/>
      <c r="KKX43" s="33"/>
      <c r="KKY43" s="33"/>
      <c r="KKZ43" s="33"/>
      <c r="KLA43" s="33"/>
      <c r="KLB43" s="33"/>
      <c r="KLC43" s="33"/>
      <c r="KLD43" s="33"/>
      <c r="KLE43" s="33"/>
      <c r="KLF43" s="33"/>
      <c r="KLG43" s="33"/>
      <c r="KLH43" s="33"/>
      <c r="KLI43" s="33"/>
      <c r="KLJ43" s="33"/>
      <c r="KLK43" s="33"/>
      <c r="KLL43" s="33"/>
      <c r="KLM43" s="33"/>
      <c r="KLN43" s="33"/>
      <c r="KLO43" s="33"/>
      <c r="KLP43" s="33"/>
      <c r="KLQ43" s="33"/>
      <c r="KLR43" s="33"/>
      <c r="KLS43" s="33"/>
      <c r="KLT43" s="33"/>
      <c r="KLU43" s="33"/>
      <c r="KLV43" s="33"/>
      <c r="KLW43" s="33"/>
      <c r="KLX43" s="33"/>
      <c r="KLY43" s="33"/>
      <c r="KLZ43" s="33"/>
      <c r="KMA43" s="33"/>
      <c r="KMB43" s="33"/>
      <c r="KMC43" s="33"/>
      <c r="KMD43" s="33"/>
      <c r="KME43" s="33"/>
      <c r="KMF43" s="33"/>
      <c r="KMG43" s="33"/>
      <c r="KMH43" s="33"/>
      <c r="KMI43" s="33"/>
      <c r="KMJ43" s="33"/>
      <c r="KMK43" s="33"/>
      <c r="KML43" s="33"/>
      <c r="KMM43" s="33"/>
      <c r="KMN43" s="33"/>
      <c r="KMO43" s="33"/>
      <c r="KMP43" s="33"/>
      <c r="KMQ43" s="33"/>
      <c r="KMR43" s="33"/>
      <c r="KMS43" s="33"/>
      <c r="KMT43" s="33"/>
      <c r="KMU43" s="33"/>
      <c r="KMV43" s="33"/>
      <c r="KMW43" s="33"/>
      <c r="KMX43" s="33"/>
      <c r="KMY43" s="33"/>
      <c r="KMZ43" s="33"/>
      <c r="KNA43" s="33"/>
      <c r="KNB43" s="33"/>
      <c r="KNC43" s="33"/>
      <c r="KND43" s="33"/>
      <c r="KNE43" s="33"/>
      <c r="KNF43" s="33"/>
      <c r="KNG43" s="33"/>
      <c r="KNH43" s="33"/>
      <c r="KNI43" s="33"/>
      <c r="KNJ43" s="33"/>
      <c r="KNK43" s="33"/>
      <c r="KNL43" s="33"/>
      <c r="KNM43" s="33"/>
      <c r="KNN43" s="33"/>
      <c r="KNO43" s="33"/>
      <c r="KNP43" s="33"/>
      <c r="KNQ43" s="33"/>
      <c r="KNR43" s="33"/>
      <c r="KNS43" s="33"/>
      <c r="KNT43" s="33"/>
      <c r="KNU43" s="33"/>
      <c r="KNV43" s="33"/>
      <c r="KNW43" s="33"/>
      <c r="KNX43" s="33"/>
      <c r="KNY43" s="33"/>
      <c r="KNZ43" s="33"/>
      <c r="KOA43" s="33"/>
      <c r="KOB43" s="33"/>
      <c r="KOC43" s="33"/>
      <c r="KOD43" s="33"/>
      <c r="KOE43" s="33"/>
      <c r="KOF43" s="33"/>
      <c r="KOG43" s="33"/>
      <c r="KOH43" s="33"/>
      <c r="KOI43" s="33"/>
      <c r="KOJ43" s="33"/>
      <c r="KOK43" s="33"/>
      <c r="KOL43" s="33"/>
      <c r="KOM43" s="33"/>
      <c r="KON43" s="33"/>
      <c r="KOO43" s="33"/>
      <c r="KOP43" s="33"/>
      <c r="KOQ43" s="33"/>
      <c r="KOR43" s="33"/>
      <c r="KOS43" s="33"/>
      <c r="KOT43" s="33"/>
      <c r="KOU43" s="33"/>
      <c r="KOV43" s="33"/>
      <c r="KOW43" s="33"/>
      <c r="KOX43" s="33"/>
      <c r="KOY43" s="33"/>
      <c r="KOZ43" s="33"/>
      <c r="KPA43" s="33"/>
      <c r="KPB43" s="33"/>
      <c r="KPC43" s="33"/>
      <c r="KPD43" s="33"/>
      <c r="KPE43" s="33"/>
      <c r="KPF43" s="33"/>
      <c r="KPG43" s="33"/>
      <c r="KPH43" s="33"/>
      <c r="KPI43" s="33"/>
      <c r="KPJ43" s="33"/>
      <c r="KPK43" s="33"/>
      <c r="KPL43" s="33"/>
      <c r="KPM43" s="33"/>
      <c r="KPN43" s="33"/>
      <c r="KPO43" s="33"/>
      <c r="KPP43" s="33"/>
      <c r="KPQ43" s="33"/>
      <c r="KPR43" s="33"/>
      <c r="KPS43" s="33"/>
      <c r="KPT43" s="33"/>
      <c r="KPU43" s="33"/>
      <c r="KPV43" s="33"/>
      <c r="KPW43" s="33"/>
      <c r="KPX43" s="33"/>
      <c r="KPY43" s="33"/>
      <c r="KPZ43" s="33"/>
      <c r="KQA43" s="33"/>
      <c r="KQB43" s="33"/>
      <c r="KQC43" s="33"/>
      <c r="KQD43" s="33"/>
      <c r="KQE43" s="33"/>
      <c r="KQF43" s="33"/>
      <c r="KQG43" s="33"/>
      <c r="KQH43" s="33"/>
      <c r="KQI43" s="33"/>
      <c r="KQJ43" s="33"/>
      <c r="KQK43" s="33"/>
      <c r="KQL43" s="33"/>
      <c r="KQM43" s="33"/>
      <c r="KQN43" s="33"/>
      <c r="KQO43" s="33"/>
      <c r="KQP43" s="33"/>
      <c r="KQQ43" s="33"/>
      <c r="KQR43" s="33"/>
      <c r="KQS43" s="33"/>
      <c r="KQT43" s="33"/>
      <c r="KQU43" s="33"/>
      <c r="KQV43" s="33"/>
      <c r="KQW43" s="33"/>
      <c r="KQX43" s="33"/>
      <c r="KQY43" s="33"/>
      <c r="KQZ43" s="33"/>
      <c r="KRA43" s="33"/>
      <c r="KRB43" s="33"/>
      <c r="KRC43" s="33"/>
      <c r="KRD43" s="33"/>
      <c r="KRE43" s="33"/>
      <c r="KRF43" s="33"/>
      <c r="KRG43" s="33"/>
      <c r="KRH43" s="33"/>
      <c r="KRI43" s="33"/>
      <c r="KRJ43" s="33"/>
      <c r="KRK43" s="33"/>
      <c r="KRL43" s="33"/>
      <c r="KRM43" s="33"/>
      <c r="KRN43" s="33"/>
      <c r="KRO43" s="33"/>
      <c r="KRP43" s="33"/>
      <c r="KRQ43" s="33"/>
      <c r="KRR43" s="33"/>
      <c r="KRS43" s="33"/>
      <c r="KRT43" s="33"/>
      <c r="KRU43" s="33"/>
      <c r="KRV43" s="33"/>
      <c r="KRW43" s="33"/>
      <c r="KRX43" s="33"/>
      <c r="KRY43" s="33"/>
      <c r="KRZ43" s="33"/>
      <c r="KSA43" s="33"/>
      <c r="KSB43" s="33"/>
      <c r="KSC43" s="33"/>
      <c r="KSD43" s="33"/>
      <c r="KSE43" s="33"/>
      <c r="KSF43" s="33"/>
      <c r="KSG43" s="33"/>
      <c r="KSH43" s="33"/>
      <c r="KSI43" s="33"/>
      <c r="KSJ43" s="33"/>
      <c r="KSK43" s="33"/>
      <c r="KSL43" s="33"/>
      <c r="KSM43" s="33"/>
      <c r="KSN43" s="33"/>
      <c r="KSO43" s="33"/>
      <c r="KSP43" s="33"/>
      <c r="KSQ43" s="33"/>
      <c r="KSR43" s="33"/>
      <c r="KSS43" s="33"/>
      <c r="KST43" s="33"/>
      <c r="KSU43" s="33"/>
      <c r="KSV43" s="33"/>
      <c r="KSW43" s="33"/>
      <c r="KSX43" s="33"/>
      <c r="KSY43" s="33"/>
      <c r="KSZ43" s="33"/>
      <c r="KTA43" s="33"/>
      <c r="KTB43" s="33"/>
      <c r="KTC43" s="33"/>
      <c r="KTD43" s="33"/>
      <c r="KTE43" s="33"/>
      <c r="KTF43" s="33"/>
      <c r="KTG43" s="33"/>
      <c r="KTH43" s="33"/>
      <c r="KTI43" s="33"/>
      <c r="KTJ43" s="33"/>
      <c r="KTK43" s="33"/>
      <c r="KTL43" s="33"/>
      <c r="KTM43" s="33"/>
      <c r="KTN43" s="33"/>
      <c r="KTO43" s="33"/>
      <c r="KTP43" s="33"/>
      <c r="KTQ43" s="33"/>
      <c r="KTR43" s="33"/>
      <c r="KTS43" s="33"/>
      <c r="KTT43" s="33"/>
      <c r="KTU43" s="33"/>
      <c r="KTV43" s="33"/>
      <c r="KTW43" s="33"/>
      <c r="KTX43" s="33"/>
      <c r="KTY43" s="33"/>
      <c r="KTZ43" s="33"/>
      <c r="KUA43" s="33"/>
      <c r="KUB43" s="33"/>
      <c r="KUC43" s="33"/>
      <c r="KUD43" s="33"/>
      <c r="KUE43" s="33"/>
      <c r="KUF43" s="33"/>
      <c r="KUG43" s="33"/>
      <c r="KUH43" s="33"/>
      <c r="KUI43" s="33"/>
      <c r="KUJ43" s="33"/>
      <c r="KUK43" s="33"/>
      <c r="KUL43" s="33"/>
      <c r="KUM43" s="33"/>
      <c r="KUN43" s="33"/>
      <c r="KUO43" s="33"/>
      <c r="KUP43" s="33"/>
      <c r="KUQ43" s="33"/>
      <c r="KUR43" s="33"/>
      <c r="KUS43" s="33"/>
      <c r="KUT43" s="33"/>
      <c r="KUU43" s="33"/>
      <c r="KUV43" s="33"/>
      <c r="KUW43" s="33"/>
      <c r="KUX43" s="33"/>
      <c r="KUY43" s="33"/>
      <c r="KUZ43" s="33"/>
      <c r="KVA43" s="33"/>
      <c r="KVB43" s="33"/>
      <c r="KVC43" s="33"/>
      <c r="KVD43" s="33"/>
      <c r="KVE43" s="33"/>
      <c r="KVF43" s="33"/>
      <c r="KVG43" s="33"/>
      <c r="KVH43" s="33"/>
      <c r="KVI43" s="33"/>
      <c r="KVJ43" s="33"/>
      <c r="KVK43" s="33"/>
      <c r="KVL43" s="33"/>
      <c r="KVM43" s="33"/>
      <c r="KVN43" s="33"/>
      <c r="KVO43" s="33"/>
      <c r="KVP43" s="33"/>
      <c r="KVQ43" s="33"/>
      <c r="KVR43" s="33"/>
      <c r="KVS43" s="33"/>
      <c r="KVT43" s="33"/>
      <c r="KVU43" s="33"/>
      <c r="KVV43" s="33"/>
      <c r="KVW43" s="33"/>
      <c r="KVX43" s="33"/>
      <c r="KVY43" s="33"/>
      <c r="KVZ43" s="33"/>
      <c r="KWA43" s="33"/>
      <c r="KWB43" s="33"/>
      <c r="KWC43" s="33"/>
      <c r="KWD43" s="33"/>
      <c r="KWE43" s="33"/>
      <c r="KWF43" s="33"/>
      <c r="KWG43" s="33"/>
      <c r="KWH43" s="33"/>
      <c r="KWI43" s="33"/>
      <c r="KWJ43" s="33"/>
      <c r="KWK43" s="33"/>
      <c r="KWL43" s="33"/>
      <c r="KWM43" s="33"/>
      <c r="KWN43" s="33"/>
      <c r="KWO43" s="33"/>
      <c r="KWP43" s="33"/>
      <c r="KWQ43" s="33"/>
      <c r="KWR43" s="33"/>
      <c r="KWS43" s="33"/>
      <c r="KWT43" s="33"/>
      <c r="KWU43" s="33"/>
      <c r="KWV43" s="33"/>
      <c r="KWW43" s="33"/>
      <c r="KWX43" s="33"/>
      <c r="KWY43" s="33"/>
      <c r="KWZ43" s="33"/>
      <c r="KXA43" s="33"/>
      <c r="KXB43" s="33"/>
      <c r="KXC43" s="33"/>
      <c r="KXD43" s="33"/>
      <c r="KXE43" s="33"/>
      <c r="KXF43" s="33"/>
      <c r="KXG43" s="33"/>
      <c r="KXH43" s="33"/>
      <c r="KXI43" s="33"/>
      <c r="KXJ43" s="33"/>
      <c r="KXK43" s="33"/>
      <c r="KXL43" s="33"/>
      <c r="KXM43" s="33"/>
      <c r="KXN43" s="33"/>
      <c r="KXO43" s="33"/>
      <c r="KXP43" s="33"/>
      <c r="KXQ43" s="33"/>
      <c r="KXR43" s="33"/>
      <c r="KXS43" s="33"/>
      <c r="KXT43" s="33"/>
      <c r="KXU43" s="33"/>
      <c r="KXV43" s="33"/>
      <c r="KXW43" s="33"/>
      <c r="KXX43" s="33"/>
      <c r="KXY43" s="33"/>
      <c r="KXZ43" s="33"/>
      <c r="KYA43" s="33"/>
      <c r="KYB43" s="33"/>
      <c r="KYC43" s="33"/>
      <c r="KYD43" s="33"/>
      <c r="KYE43" s="33"/>
      <c r="KYF43" s="33"/>
      <c r="KYG43" s="33"/>
      <c r="KYH43" s="33"/>
      <c r="KYI43" s="33"/>
      <c r="KYJ43" s="33"/>
      <c r="KYK43" s="33"/>
      <c r="KYL43" s="33"/>
      <c r="KYM43" s="33"/>
      <c r="KYN43" s="33"/>
      <c r="KYO43" s="33"/>
      <c r="KYP43" s="33"/>
      <c r="KYQ43" s="33"/>
      <c r="KYR43" s="33"/>
      <c r="KYS43" s="33"/>
      <c r="KYT43" s="33"/>
      <c r="KYU43" s="33"/>
      <c r="KYV43" s="33"/>
      <c r="KYW43" s="33"/>
      <c r="KYX43" s="33"/>
      <c r="KYY43" s="33"/>
      <c r="KYZ43" s="33"/>
      <c r="KZA43" s="33"/>
      <c r="KZB43" s="33"/>
      <c r="KZC43" s="33"/>
      <c r="KZD43" s="33"/>
      <c r="KZE43" s="33"/>
      <c r="KZF43" s="33"/>
      <c r="KZG43" s="33"/>
      <c r="KZH43" s="33"/>
      <c r="KZI43" s="33"/>
      <c r="KZJ43" s="33"/>
      <c r="KZK43" s="33"/>
      <c r="KZL43" s="33"/>
      <c r="KZM43" s="33"/>
      <c r="KZN43" s="33"/>
      <c r="KZO43" s="33"/>
      <c r="KZP43" s="33"/>
      <c r="KZQ43" s="33"/>
      <c r="KZR43" s="33"/>
      <c r="KZS43" s="33"/>
      <c r="KZT43" s="33"/>
      <c r="KZU43" s="33"/>
      <c r="KZV43" s="33"/>
      <c r="KZW43" s="33"/>
      <c r="KZX43" s="33"/>
      <c r="KZY43" s="33"/>
      <c r="KZZ43" s="33"/>
      <c r="LAA43" s="33"/>
      <c r="LAB43" s="33"/>
      <c r="LAC43" s="33"/>
      <c r="LAD43" s="33"/>
      <c r="LAE43" s="33"/>
      <c r="LAF43" s="33"/>
      <c r="LAG43" s="33"/>
      <c r="LAH43" s="33"/>
      <c r="LAI43" s="33"/>
      <c r="LAJ43" s="33"/>
      <c r="LAK43" s="33"/>
      <c r="LAL43" s="33"/>
      <c r="LAM43" s="33"/>
      <c r="LAN43" s="33"/>
      <c r="LAO43" s="33"/>
      <c r="LAP43" s="33"/>
      <c r="LAQ43" s="33"/>
      <c r="LAR43" s="33"/>
      <c r="LAS43" s="33"/>
      <c r="LAT43" s="33"/>
      <c r="LAU43" s="33"/>
      <c r="LAV43" s="33"/>
      <c r="LAW43" s="33"/>
      <c r="LAX43" s="33"/>
      <c r="LAY43" s="33"/>
      <c r="LAZ43" s="33"/>
      <c r="LBA43" s="33"/>
      <c r="LBB43" s="33"/>
      <c r="LBC43" s="33"/>
      <c r="LBD43" s="33"/>
      <c r="LBE43" s="33"/>
      <c r="LBF43" s="33"/>
      <c r="LBG43" s="33"/>
      <c r="LBH43" s="33"/>
      <c r="LBI43" s="33"/>
      <c r="LBJ43" s="33"/>
      <c r="LBK43" s="33"/>
      <c r="LBL43" s="33"/>
      <c r="LBM43" s="33"/>
      <c r="LBN43" s="33"/>
      <c r="LBO43" s="33"/>
      <c r="LBP43" s="33"/>
      <c r="LBQ43" s="33"/>
      <c r="LBR43" s="33"/>
      <c r="LBS43" s="33"/>
      <c r="LBT43" s="33"/>
      <c r="LBU43" s="33"/>
      <c r="LBV43" s="33"/>
      <c r="LBW43" s="33"/>
      <c r="LBX43" s="33"/>
      <c r="LBY43" s="33"/>
      <c r="LBZ43" s="33"/>
      <c r="LCA43" s="33"/>
      <c r="LCB43" s="33"/>
      <c r="LCC43" s="33"/>
      <c r="LCD43" s="33"/>
      <c r="LCE43" s="33"/>
      <c r="LCF43" s="33"/>
      <c r="LCG43" s="33"/>
      <c r="LCH43" s="33"/>
      <c r="LCI43" s="33"/>
      <c r="LCJ43" s="33"/>
      <c r="LCK43" s="33"/>
      <c r="LCL43" s="33"/>
      <c r="LCM43" s="33"/>
      <c r="LCN43" s="33"/>
      <c r="LCO43" s="33"/>
      <c r="LCP43" s="33"/>
      <c r="LCQ43" s="33"/>
      <c r="LCR43" s="33"/>
      <c r="LCS43" s="33"/>
      <c r="LCT43" s="33"/>
      <c r="LCU43" s="33"/>
      <c r="LCV43" s="33"/>
      <c r="LCW43" s="33"/>
      <c r="LCX43" s="33"/>
      <c r="LCY43" s="33"/>
      <c r="LCZ43" s="33"/>
      <c r="LDA43" s="33"/>
      <c r="LDB43" s="33"/>
      <c r="LDC43" s="33"/>
      <c r="LDD43" s="33"/>
      <c r="LDE43" s="33"/>
      <c r="LDF43" s="33"/>
      <c r="LDG43" s="33"/>
      <c r="LDH43" s="33"/>
      <c r="LDI43" s="33"/>
      <c r="LDJ43" s="33"/>
      <c r="LDK43" s="33"/>
      <c r="LDL43" s="33"/>
      <c r="LDM43" s="33"/>
      <c r="LDN43" s="33"/>
      <c r="LDO43" s="33"/>
      <c r="LDP43" s="33"/>
      <c r="LDQ43" s="33"/>
      <c r="LDR43" s="33"/>
      <c r="LDS43" s="33"/>
      <c r="LDT43" s="33"/>
      <c r="LDU43" s="33"/>
      <c r="LDV43" s="33"/>
      <c r="LDW43" s="33"/>
      <c r="LDX43" s="33"/>
      <c r="LDY43" s="33"/>
      <c r="LDZ43" s="33"/>
      <c r="LEA43" s="33"/>
      <c r="LEB43" s="33"/>
      <c r="LEC43" s="33"/>
      <c r="LED43" s="33"/>
      <c r="LEE43" s="33"/>
      <c r="LEF43" s="33"/>
      <c r="LEG43" s="33"/>
      <c r="LEH43" s="33"/>
      <c r="LEI43" s="33"/>
      <c r="LEJ43" s="33"/>
      <c r="LEK43" s="33"/>
      <c r="LEL43" s="33"/>
      <c r="LEM43" s="33"/>
      <c r="LEN43" s="33"/>
      <c r="LEO43" s="33"/>
      <c r="LEP43" s="33"/>
      <c r="LEQ43" s="33"/>
      <c r="LER43" s="33"/>
      <c r="LES43" s="33"/>
      <c r="LET43" s="33"/>
      <c r="LEU43" s="33"/>
      <c r="LEV43" s="33"/>
      <c r="LEW43" s="33"/>
      <c r="LEX43" s="33"/>
      <c r="LEY43" s="33"/>
      <c r="LEZ43" s="33"/>
      <c r="LFA43" s="33"/>
      <c r="LFB43" s="33"/>
      <c r="LFC43" s="33"/>
      <c r="LFD43" s="33"/>
      <c r="LFE43" s="33"/>
      <c r="LFF43" s="33"/>
      <c r="LFG43" s="33"/>
      <c r="LFH43" s="33"/>
      <c r="LFI43" s="33"/>
      <c r="LFJ43" s="33"/>
      <c r="LFK43" s="33"/>
      <c r="LFL43" s="33"/>
      <c r="LFM43" s="33"/>
      <c r="LFN43" s="33"/>
      <c r="LFO43" s="33"/>
      <c r="LFP43" s="33"/>
      <c r="LFQ43" s="33"/>
      <c r="LFR43" s="33"/>
      <c r="LFS43" s="33"/>
      <c r="LFT43" s="33"/>
      <c r="LFU43" s="33"/>
      <c r="LFV43" s="33"/>
      <c r="LFW43" s="33"/>
      <c r="LFX43" s="33"/>
      <c r="LFY43" s="33"/>
      <c r="LFZ43" s="33"/>
      <c r="LGA43" s="33"/>
      <c r="LGB43" s="33"/>
      <c r="LGC43" s="33"/>
      <c r="LGD43" s="33"/>
      <c r="LGE43" s="33"/>
      <c r="LGF43" s="33"/>
      <c r="LGG43" s="33"/>
      <c r="LGH43" s="33"/>
      <c r="LGI43" s="33"/>
      <c r="LGJ43" s="33"/>
      <c r="LGK43" s="33"/>
      <c r="LGL43" s="33"/>
      <c r="LGM43" s="33"/>
      <c r="LGN43" s="33"/>
      <c r="LGO43" s="33"/>
      <c r="LGP43" s="33"/>
      <c r="LGQ43" s="33"/>
      <c r="LGR43" s="33"/>
      <c r="LGS43" s="33"/>
      <c r="LGT43" s="33"/>
      <c r="LGU43" s="33"/>
      <c r="LGV43" s="33"/>
      <c r="LGW43" s="33"/>
      <c r="LGX43" s="33"/>
      <c r="LGY43" s="33"/>
      <c r="LGZ43" s="33"/>
      <c r="LHA43" s="33"/>
      <c r="LHB43" s="33"/>
      <c r="LHC43" s="33"/>
      <c r="LHD43" s="33"/>
      <c r="LHE43" s="33"/>
      <c r="LHF43" s="33"/>
      <c r="LHG43" s="33"/>
      <c r="LHH43" s="33"/>
      <c r="LHI43" s="33"/>
      <c r="LHJ43" s="33"/>
      <c r="LHK43" s="33"/>
      <c r="LHL43" s="33"/>
      <c r="LHM43" s="33"/>
      <c r="LHN43" s="33"/>
      <c r="LHO43" s="33"/>
      <c r="LHP43" s="33"/>
      <c r="LHQ43" s="33"/>
      <c r="LHR43" s="33"/>
      <c r="LHS43" s="33"/>
      <c r="LHT43" s="33"/>
      <c r="LHU43" s="33"/>
      <c r="LHV43" s="33"/>
      <c r="LHW43" s="33"/>
      <c r="LHX43" s="33"/>
      <c r="LHY43" s="33"/>
      <c r="LHZ43" s="33"/>
      <c r="LIA43" s="33"/>
      <c r="LIB43" s="33"/>
      <c r="LIC43" s="33"/>
      <c r="LID43" s="33"/>
      <c r="LIE43" s="33"/>
      <c r="LIF43" s="33"/>
      <c r="LIG43" s="33"/>
      <c r="LIH43" s="33"/>
      <c r="LII43" s="33"/>
      <c r="LIJ43" s="33"/>
      <c r="LIK43" s="33"/>
      <c r="LIL43" s="33"/>
      <c r="LIM43" s="33"/>
      <c r="LIN43" s="33"/>
      <c r="LIO43" s="33"/>
      <c r="LIP43" s="33"/>
      <c r="LIQ43" s="33"/>
      <c r="LIR43" s="33"/>
      <c r="LIS43" s="33"/>
      <c r="LIT43" s="33"/>
      <c r="LIU43" s="33"/>
      <c r="LIV43" s="33"/>
      <c r="LIW43" s="33"/>
      <c r="LIX43" s="33"/>
      <c r="LIY43" s="33"/>
      <c r="LIZ43" s="33"/>
      <c r="LJA43" s="33"/>
      <c r="LJB43" s="33"/>
      <c r="LJC43" s="33"/>
      <c r="LJD43" s="33"/>
      <c r="LJE43" s="33"/>
      <c r="LJF43" s="33"/>
      <c r="LJG43" s="33"/>
      <c r="LJH43" s="33"/>
      <c r="LJI43" s="33"/>
      <c r="LJJ43" s="33"/>
      <c r="LJK43" s="33"/>
      <c r="LJL43" s="33"/>
      <c r="LJM43" s="33"/>
      <c r="LJN43" s="33"/>
      <c r="LJO43" s="33"/>
      <c r="LJP43" s="33"/>
      <c r="LJQ43" s="33"/>
      <c r="LJR43" s="33"/>
      <c r="LJS43" s="33"/>
      <c r="LJT43" s="33"/>
      <c r="LJU43" s="33"/>
      <c r="LJV43" s="33"/>
      <c r="LJW43" s="33"/>
      <c r="LJX43" s="33"/>
      <c r="LJY43" s="33"/>
      <c r="LJZ43" s="33"/>
      <c r="LKA43" s="33"/>
      <c r="LKB43" s="33"/>
      <c r="LKC43" s="33"/>
      <c r="LKD43" s="33"/>
      <c r="LKE43" s="33"/>
      <c r="LKF43" s="33"/>
      <c r="LKG43" s="33"/>
      <c r="LKH43" s="33"/>
      <c r="LKI43" s="33"/>
      <c r="LKJ43" s="33"/>
      <c r="LKK43" s="33"/>
      <c r="LKL43" s="33"/>
      <c r="LKM43" s="33"/>
      <c r="LKN43" s="33"/>
      <c r="LKO43" s="33"/>
      <c r="LKP43" s="33"/>
      <c r="LKQ43" s="33"/>
      <c r="LKR43" s="33"/>
      <c r="LKS43" s="33"/>
      <c r="LKT43" s="33"/>
      <c r="LKU43" s="33"/>
      <c r="LKV43" s="33"/>
      <c r="LKW43" s="33"/>
      <c r="LKX43" s="33"/>
      <c r="LKY43" s="33"/>
      <c r="LKZ43" s="33"/>
      <c r="LLA43" s="33"/>
      <c r="LLB43" s="33"/>
      <c r="LLC43" s="33"/>
      <c r="LLD43" s="33"/>
      <c r="LLE43" s="33"/>
      <c r="LLF43" s="33"/>
      <c r="LLG43" s="33"/>
      <c r="LLH43" s="33"/>
      <c r="LLI43" s="33"/>
      <c r="LLJ43" s="33"/>
      <c r="LLK43" s="33"/>
      <c r="LLL43" s="33"/>
      <c r="LLM43" s="33"/>
      <c r="LLN43" s="33"/>
      <c r="LLO43" s="33"/>
      <c r="LLP43" s="33"/>
      <c r="LLQ43" s="33"/>
      <c r="LLR43" s="33"/>
      <c r="LLS43" s="33"/>
      <c r="LLT43" s="33"/>
      <c r="LLU43" s="33"/>
      <c r="LLV43" s="33"/>
      <c r="LLW43" s="33"/>
      <c r="LLX43" s="33"/>
      <c r="LLY43" s="33"/>
      <c r="LLZ43" s="33"/>
      <c r="LMA43" s="33"/>
      <c r="LMB43" s="33"/>
      <c r="LMC43" s="33"/>
      <c r="LMD43" s="33"/>
      <c r="LME43" s="33"/>
      <c r="LMF43" s="33"/>
      <c r="LMG43" s="33"/>
      <c r="LMH43" s="33"/>
      <c r="LMI43" s="33"/>
      <c r="LMJ43" s="33"/>
      <c r="LMK43" s="33"/>
      <c r="LML43" s="33"/>
      <c r="LMM43" s="33"/>
      <c r="LMN43" s="33"/>
      <c r="LMO43" s="33"/>
      <c r="LMP43" s="33"/>
      <c r="LMQ43" s="33"/>
      <c r="LMR43" s="33"/>
      <c r="LMS43" s="33"/>
      <c r="LMT43" s="33"/>
      <c r="LMU43" s="33"/>
      <c r="LMV43" s="33"/>
      <c r="LMW43" s="33"/>
      <c r="LMX43" s="33"/>
      <c r="LMY43" s="33"/>
      <c r="LMZ43" s="33"/>
      <c r="LNA43" s="33"/>
      <c r="LNB43" s="33"/>
      <c r="LNC43" s="33"/>
      <c r="LND43" s="33"/>
      <c r="LNE43" s="33"/>
      <c r="LNF43" s="33"/>
      <c r="LNG43" s="33"/>
      <c r="LNH43" s="33"/>
      <c r="LNI43" s="33"/>
      <c r="LNJ43" s="33"/>
      <c r="LNK43" s="33"/>
      <c r="LNL43" s="33"/>
      <c r="LNM43" s="33"/>
      <c r="LNN43" s="33"/>
      <c r="LNO43" s="33"/>
      <c r="LNP43" s="33"/>
      <c r="LNQ43" s="33"/>
      <c r="LNR43" s="33"/>
      <c r="LNS43" s="33"/>
      <c r="LNT43" s="33"/>
      <c r="LNU43" s="33"/>
      <c r="LNV43" s="33"/>
      <c r="LNW43" s="33"/>
      <c r="LNX43" s="33"/>
      <c r="LNY43" s="33"/>
      <c r="LNZ43" s="33"/>
      <c r="LOA43" s="33"/>
      <c r="LOB43" s="33"/>
      <c r="LOC43" s="33"/>
      <c r="LOD43" s="33"/>
      <c r="LOE43" s="33"/>
      <c r="LOF43" s="33"/>
      <c r="LOG43" s="33"/>
      <c r="LOH43" s="33"/>
      <c r="LOI43" s="33"/>
      <c r="LOJ43" s="33"/>
      <c r="LOK43" s="33"/>
      <c r="LOL43" s="33"/>
      <c r="LOM43" s="33"/>
      <c r="LON43" s="33"/>
      <c r="LOO43" s="33"/>
      <c r="LOP43" s="33"/>
      <c r="LOQ43" s="33"/>
      <c r="LOR43" s="33"/>
      <c r="LOS43" s="33"/>
      <c r="LOT43" s="33"/>
      <c r="LOU43" s="33"/>
      <c r="LOV43" s="33"/>
      <c r="LOW43" s="33"/>
      <c r="LOX43" s="33"/>
      <c r="LOY43" s="33"/>
      <c r="LOZ43" s="33"/>
      <c r="LPA43" s="33"/>
      <c r="LPB43" s="33"/>
      <c r="LPC43" s="33"/>
      <c r="LPD43" s="33"/>
      <c r="LPE43" s="33"/>
      <c r="LPF43" s="33"/>
      <c r="LPG43" s="33"/>
      <c r="LPH43" s="33"/>
      <c r="LPI43" s="33"/>
      <c r="LPJ43" s="33"/>
      <c r="LPK43" s="33"/>
      <c r="LPL43" s="33"/>
      <c r="LPM43" s="33"/>
      <c r="LPN43" s="33"/>
      <c r="LPO43" s="33"/>
      <c r="LPP43" s="33"/>
      <c r="LPQ43" s="33"/>
      <c r="LPR43" s="33"/>
      <c r="LPS43" s="33"/>
      <c r="LPT43" s="33"/>
      <c r="LPU43" s="33"/>
      <c r="LPV43" s="33"/>
      <c r="LPW43" s="33"/>
      <c r="LPX43" s="33"/>
      <c r="LPY43" s="33"/>
      <c r="LPZ43" s="33"/>
      <c r="LQA43" s="33"/>
      <c r="LQB43" s="33"/>
      <c r="LQC43" s="33"/>
      <c r="LQD43" s="33"/>
      <c r="LQE43" s="33"/>
      <c r="LQF43" s="33"/>
      <c r="LQG43" s="33"/>
      <c r="LQH43" s="33"/>
      <c r="LQI43" s="33"/>
      <c r="LQJ43" s="33"/>
      <c r="LQK43" s="33"/>
      <c r="LQL43" s="33"/>
      <c r="LQM43" s="33"/>
      <c r="LQN43" s="33"/>
      <c r="LQO43" s="33"/>
      <c r="LQP43" s="33"/>
      <c r="LQQ43" s="33"/>
      <c r="LQR43" s="33"/>
      <c r="LQS43" s="33"/>
      <c r="LQT43" s="33"/>
      <c r="LQU43" s="33"/>
      <c r="LQV43" s="33"/>
      <c r="LQW43" s="33"/>
      <c r="LQX43" s="33"/>
      <c r="LQY43" s="33"/>
      <c r="LQZ43" s="33"/>
      <c r="LRA43" s="33"/>
      <c r="LRB43" s="33"/>
      <c r="LRC43" s="33"/>
      <c r="LRD43" s="33"/>
      <c r="LRE43" s="33"/>
      <c r="LRF43" s="33"/>
      <c r="LRG43" s="33"/>
      <c r="LRH43" s="33"/>
      <c r="LRI43" s="33"/>
      <c r="LRJ43" s="33"/>
      <c r="LRK43" s="33"/>
      <c r="LRL43" s="33"/>
      <c r="LRM43" s="33"/>
      <c r="LRN43" s="33"/>
      <c r="LRO43" s="33"/>
      <c r="LRP43" s="33"/>
      <c r="LRQ43" s="33"/>
      <c r="LRR43" s="33"/>
      <c r="LRS43" s="33"/>
      <c r="LRT43" s="33"/>
      <c r="LRU43" s="33"/>
      <c r="LRV43" s="33"/>
      <c r="LRW43" s="33"/>
      <c r="LRX43" s="33"/>
      <c r="LRY43" s="33"/>
      <c r="LRZ43" s="33"/>
      <c r="LSA43" s="33"/>
      <c r="LSB43" s="33"/>
      <c r="LSC43" s="33"/>
      <c r="LSD43" s="33"/>
      <c r="LSE43" s="33"/>
      <c r="LSF43" s="33"/>
      <c r="LSG43" s="33"/>
      <c r="LSH43" s="33"/>
      <c r="LSI43" s="33"/>
      <c r="LSJ43" s="33"/>
      <c r="LSK43" s="33"/>
      <c r="LSL43" s="33"/>
      <c r="LSM43" s="33"/>
      <c r="LSN43" s="33"/>
      <c r="LSO43" s="33"/>
      <c r="LSP43" s="33"/>
      <c r="LSQ43" s="33"/>
      <c r="LSR43" s="33"/>
      <c r="LSS43" s="33"/>
      <c r="LST43" s="33"/>
      <c r="LSU43" s="33"/>
      <c r="LSV43" s="33"/>
      <c r="LSW43" s="33"/>
      <c r="LSX43" s="33"/>
      <c r="LSY43" s="33"/>
      <c r="LSZ43" s="33"/>
      <c r="LTA43" s="33"/>
      <c r="LTB43" s="33"/>
      <c r="LTC43" s="33"/>
      <c r="LTD43" s="33"/>
      <c r="LTE43" s="33"/>
      <c r="LTF43" s="33"/>
      <c r="LTG43" s="33"/>
      <c r="LTH43" s="33"/>
      <c r="LTI43" s="33"/>
      <c r="LTJ43" s="33"/>
      <c r="LTK43" s="33"/>
      <c r="LTL43" s="33"/>
      <c r="LTM43" s="33"/>
      <c r="LTN43" s="33"/>
      <c r="LTO43" s="33"/>
      <c r="LTP43" s="33"/>
      <c r="LTQ43" s="33"/>
      <c r="LTR43" s="33"/>
      <c r="LTS43" s="33"/>
      <c r="LTT43" s="33"/>
      <c r="LTU43" s="33"/>
      <c r="LTV43" s="33"/>
      <c r="LTW43" s="33"/>
      <c r="LTX43" s="33"/>
      <c r="LTY43" s="33"/>
      <c r="LTZ43" s="33"/>
      <c r="LUA43" s="33"/>
      <c r="LUB43" s="33"/>
      <c r="LUC43" s="33"/>
      <c r="LUD43" s="33"/>
      <c r="LUE43" s="33"/>
      <c r="LUF43" s="33"/>
      <c r="LUG43" s="33"/>
      <c r="LUH43" s="33"/>
      <c r="LUI43" s="33"/>
      <c r="LUJ43" s="33"/>
      <c r="LUK43" s="33"/>
      <c r="LUL43" s="33"/>
      <c r="LUM43" s="33"/>
      <c r="LUN43" s="33"/>
      <c r="LUO43" s="33"/>
      <c r="LUP43" s="33"/>
      <c r="LUQ43" s="33"/>
      <c r="LUR43" s="33"/>
      <c r="LUS43" s="33"/>
      <c r="LUT43" s="33"/>
      <c r="LUU43" s="33"/>
      <c r="LUV43" s="33"/>
      <c r="LUW43" s="33"/>
      <c r="LUX43" s="33"/>
      <c r="LUY43" s="33"/>
      <c r="LUZ43" s="33"/>
      <c r="LVA43" s="33"/>
      <c r="LVB43" s="33"/>
      <c r="LVC43" s="33"/>
      <c r="LVD43" s="33"/>
      <c r="LVE43" s="33"/>
      <c r="LVF43" s="33"/>
      <c r="LVG43" s="33"/>
      <c r="LVH43" s="33"/>
      <c r="LVI43" s="33"/>
      <c r="LVJ43" s="33"/>
      <c r="LVK43" s="33"/>
      <c r="LVL43" s="33"/>
      <c r="LVM43" s="33"/>
      <c r="LVN43" s="33"/>
      <c r="LVO43" s="33"/>
      <c r="LVP43" s="33"/>
      <c r="LVQ43" s="33"/>
      <c r="LVR43" s="33"/>
      <c r="LVS43" s="33"/>
      <c r="LVT43" s="33"/>
      <c r="LVU43" s="33"/>
      <c r="LVV43" s="33"/>
      <c r="LVW43" s="33"/>
      <c r="LVX43" s="33"/>
      <c r="LVY43" s="33"/>
      <c r="LVZ43" s="33"/>
      <c r="LWA43" s="33"/>
      <c r="LWB43" s="33"/>
      <c r="LWC43" s="33"/>
      <c r="LWD43" s="33"/>
      <c r="LWE43" s="33"/>
      <c r="LWF43" s="33"/>
      <c r="LWG43" s="33"/>
      <c r="LWH43" s="33"/>
      <c r="LWI43" s="33"/>
      <c r="LWJ43" s="33"/>
      <c r="LWK43" s="33"/>
      <c r="LWL43" s="33"/>
      <c r="LWM43" s="33"/>
      <c r="LWN43" s="33"/>
      <c r="LWO43" s="33"/>
      <c r="LWP43" s="33"/>
      <c r="LWQ43" s="33"/>
      <c r="LWR43" s="33"/>
      <c r="LWS43" s="33"/>
      <c r="LWT43" s="33"/>
      <c r="LWU43" s="33"/>
      <c r="LWV43" s="33"/>
      <c r="LWW43" s="33"/>
      <c r="LWX43" s="33"/>
      <c r="LWY43" s="33"/>
      <c r="LWZ43" s="33"/>
      <c r="LXA43" s="33"/>
      <c r="LXB43" s="33"/>
      <c r="LXC43" s="33"/>
      <c r="LXD43" s="33"/>
      <c r="LXE43" s="33"/>
      <c r="LXF43" s="33"/>
      <c r="LXG43" s="33"/>
      <c r="LXH43" s="33"/>
      <c r="LXI43" s="33"/>
      <c r="LXJ43" s="33"/>
      <c r="LXK43" s="33"/>
      <c r="LXL43" s="33"/>
      <c r="LXM43" s="33"/>
      <c r="LXN43" s="33"/>
      <c r="LXO43" s="33"/>
      <c r="LXP43" s="33"/>
      <c r="LXQ43" s="33"/>
      <c r="LXR43" s="33"/>
      <c r="LXS43" s="33"/>
      <c r="LXT43" s="33"/>
      <c r="LXU43" s="33"/>
      <c r="LXV43" s="33"/>
      <c r="LXW43" s="33"/>
      <c r="LXX43" s="33"/>
      <c r="LXY43" s="33"/>
      <c r="LXZ43" s="33"/>
      <c r="LYA43" s="33"/>
      <c r="LYB43" s="33"/>
      <c r="LYC43" s="33"/>
      <c r="LYD43" s="33"/>
      <c r="LYE43" s="33"/>
      <c r="LYF43" s="33"/>
      <c r="LYG43" s="33"/>
      <c r="LYH43" s="33"/>
      <c r="LYI43" s="33"/>
      <c r="LYJ43" s="33"/>
      <c r="LYK43" s="33"/>
      <c r="LYL43" s="33"/>
      <c r="LYM43" s="33"/>
      <c r="LYN43" s="33"/>
      <c r="LYO43" s="33"/>
      <c r="LYP43" s="33"/>
      <c r="LYQ43" s="33"/>
      <c r="LYR43" s="33"/>
      <c r="LYS43" s="33"/>
      <c r="LYT43" s="33"/>
      <c r="LYU43" s="33"/>
      <c r="LYV43" s="33"/>
      <c r="LYW43" s="33"/>
      <c r="LYX43" s="33"/>
      <c r="LYY43" s="33"/>
      <c r="LYZ43" s="33"/>
      <c r="LZA43" s="33"/>
      <c r="LZB43" s="33"/>
      <c r="LZC43" s="33"/>
      <c r="LZD43" s="33"/>
      <c r="LZE43" s="33"/>
      <c r="LZF43" s="33"/>
      <c r="LZG43" s="33"/>
      <c r="LZH43" s="33"/>
      <c r="LZI43" s="33"/>
      <c r="LZJ43" s="33"/>
      <c r="LZK43" s="33"/>
      <c r="LZL43" s="33"/>
      <c r="LZM43" s="33"/>
      <c r="LZN43" s="33"/>
      <c r="LZO43" s="33"/>
      <c r="LZP43" s="33"/>
      <c r="LZQ43" s="33"/>
      <c r="LZR43" s="33"/>
      <c r="LZS43" s="33"/>
      <c r="LZT43" s="33"/>
      <c r="LZU43" s="33"/>
      <c r="LZV43" s="33"/>
      <c r="LZW43" s="33"/>
      <c r="LZX43" s="33"/>
      <c r="LZY43" s="33"/>
      <c r="LZZ43" s="33"/>
      <c r="MAA43" s="33"/>
      <c r="MAB43" s="33"/>
      <c r="MAC43" s="33"/>
      <c r="MAD43" s="33"/>
      <c r="MAE43" s="33"/>
      <c r="MAF43" s="33"/>
      <c r="MAG43" s="33"/>
      <c r="MAH43" s="33"/>
      <c r="MAI43" s="33"/>
      <c r="MAJ43" s="33"/>
      <c r="MAK43" s="33"/>
      <c r="MAL43" s="33"/>
      <c r="MAM43" s="33"/>
      <c r="MAN43" s="33"/>
      <c r="MAO43" s="33"/>
      <c r="MAP43" s="33"/>
      <c r="MAQ43" s="33"/>
      <c r="MAR43" s="33"/>
      <c r="MAS43" s="33"/>
      <c r="MAT43" s="33"/>
      <c r="MAU43" s="33"/>
      <c r="MAV43" s="33"/>
      <c r="MAW43" s="33"/>
      <c r="MAX43" s="33"/>
      <c r="MAY43" s="33"/>
      <c r="MAZ43" s="33"/>
      <c r="MBA43" s="33"/>
      <c r="MBB43" s="33"/>
      <c r="MBC43" s="33"/>
      <c r="MBD43" s="33"/>
      <c r="MBE43" s="33"/>
      <c r="MBF43" s="33"/>
      <c r="MBG43" s="33"/>
      <c r="MBH43" s="33"/>
      <c r="MBI43" s="33"/>
      <c r="MBJ43" s="33"/>
      <c r="MBK43" s="33"/>
      <c r="MBL43" s="33"/>
      <c r="MBM43" s="33"/>
      <c r="MBN43" s="33"/>
      <c r="MBO43" s="33"/>
      <c r="MBP43" s="33"/>
      <c r="MBQ43" s="33"/>
      <c r="MBR43" s="33"/>
      <c r="MBS43" s="33"/>
      <c r="MBT43" s="33"/>
      <c r="MBU43" s="33"/>
      <c r="MBV43" s="33"/>
      <c r="MBW43" s="33"/>
      <c r="MBX43" s="33"/>
      <c r="MBY43" s="33"/>
      <c r="MBZ43" s="33"/>
      <c r="MCA43" s="33"/>
      <c r="MCB43" s="33"/>
      <c r="MCC43" s="33"/>
      <c r="MCD43" s="33"/>
      <c r="MCE43" s="33"/>
      <c r="MCF43" s="33"/>
      <c r="MCG43" s="33"/>
      <c r="MCH43" s="33"/>
      <c r="MCI43" s="33"/>
      <c r="MCJ43" s="33"/>
      <c r="MCK43" s="33"/>
      <c r="MCL43" s="33"/>
      <c r="MCM43" s="33"/>
      <c r="MCN43" s="33"/>
      <c r="MCO43" s="33"/>
      <c r="MCP43" s="33"/>
      <c r="MCQ43" s="33"/>
      <c r="MCR43" s="33"/>
      <c r="MCS43" s="33"/>
      <c r="MCT43" s="33"/>
      <c r="MCU43" s="33"/>
      <c r="MCV43" s="33"/>
      <c r="MCW43" s="33"/>
      <c r="MCX43" s="33"/>
      <c r="MCY43" s="33"/>
      <c r="MCZ43" s="33"/>
      <c r="MDA43" s="33"/>
      <c r="MDB43" s="33"/>
      <c r="MDC43" s="33"/>
      <c r="MDD43" s="33"/>
      <c r="MDE43" s="33"/>
      <c r="MDF43" s="33"/>
      <c r="MDG43" s="33"/>
      <c r="MDH43" s="33"/>
      <c r="MDI43" s="33"/>
      <c r="MDJ43" s="33"/>
      <c r="MDK43" s="33"/>
      <c r="MDL43" s="33"/>
      <c r="MDM43" s="33"/>
      <c r="MDN43" s="33"/>
      <c r="MDO43" s="33"/>
      <c r="MDP43" s="33"/>
      <c r="MDQ43" s="33"/>
      <c r="MDR43" s="33"/>
      <c r="MDS43" s="33"/>
      <c r="MDT43" s="33"/>
      <c r="MDU43" s="33"/>
      <c r="MDV43" s="33"/>
      <c r="MDW43" s="33"/>
      <c r="MDX43" s="33"/>
      <c r="MDY43" s="33"/>
      <c r="MDZ43" s="33"/>
      <c r="MEA43" s="33"/>
      <c r="MEB43" s="33"/>
      <c r="MEC43" s="33"/>
      <c r="MED43" s="33"/>
      <c r="MEE43" s="33"/>
      <c r="MEF43" s="33"/>
      <c r="MEG43" s="33"/>
      <c r="MEH43" s="33"/>
      <c r="MEI43" s="33"/>
      <c r="MEJ43" s="33"/>
      <c r="MEK43" s="33"/>
      <c r="MEL43" s="33"/>
      <c r="MEM43" s="33"/>
      <c r="MEN43" s="33"/>
      <c r="MEO43" s="33"/>
      <c r="MEP43" s="33"/>
      <c r="MEQ43" s="33"/>
      <c r="MER43" s="33"/>
      <c r="MES43" s="33"/>
      <c r="MET43" s="33"/>
      <c r="MEU43" s="33"/>
      <c r="MEV43" s="33"/>
      <c r="MEW43" s="33"/>
      <c r="MEX43" s="33"/>
      <c r="MEY43" s="33"/>
      <c r="MEZ43" s="33"/>
      <c r="MFA43" s="33"/>
      <c r="MFB43" s="33"/>
      <c r="MFC43" s="33"/>
      <c r="MFD43" s="33"/>
      <c r="MFE43" s="33"/>
      <c r="MFF43" s="33"/>
      <c r="MFG43" s="33"/>
      <c r="MFH43" s="33"/>
      <c r="MFI43" s="33"/>
      <c r="MFJ43" s="33"/>
      <c r="MFK43" s="33"/>
      <c r="MFL43" s="33"/>
      <c r="MFM43" s="33"/>
      <c r="MFN43" s="33"/>
      <c r="MFO43" s="33"/>
      <c r="MFP43" s="33"/>
      <c r="MFQ43" s="33"/>
      <c r="MFR43" s="33"/>
      <c r="MFS43" s="33"/>
      <c r="MFT43" s="33"/>
      <c r="MFU43" s="33"/>
      <c r="MFV43" s="33"/>
      <c r="MFW43" s="33"/>
      <c r="MFX43" s="33"/>
      <c r="MFY43" s="33"/>
      <c r="MFZ43" s="33"/>
      <c r="MGA43" s="33"/>
      <c r="MGB43" s="33"/>
      <c r="MGC43" s="33"/>
      <c r="MGD43" s="33"/>
      <c r="MGE43" s="33"/>
      <c r="MGF43" s="33"/>
      <c r="MGG43" s="33"/>
      <c r="MGH43" s="33"/>
      <c r="MGI43" s="33"/>
      <c r="MGJ43" s="33"/>
      <c r="MGK43" s="33"/>
      <c r="MGL43" s="33"/>
      <c r="MGM43" s="33"/>
      <c r="MGN43" s="33"/>
      <c r="MGO43" s="33"/>
      <c r="MGP43" s="33"/>
      <c r="MGQ43" s="33"/>
      <c r="MGR43" s="33"/>
      <c r="MGS43" s="33"/>
      <c r="MGT43" s="33"/>
      <c r="MGU43" s="33"/>
      <c r="MGV43" s="33"/>
      <c r="MGW43" s="33"/>
      <c r="MGX43" s="33"/>
      <c r="MGY43" s="33"/>
      <c r="MGZ43" s="33"/>
      <c r="MHA43" s="33"/>
      <c r="MHB43" s="33"/>
      <c r="MHC43" s="33"/>
      <c r="MHD43" s="33"/>
      <c r="MHE43" s="33"/>
      <c r="MHF43" s="33"/>
      <c r="MHG43" s="33"/>
      <c r="MHH43" s="33"/>
      <c r="MHI43" s="33"/>
      <c r="MHJ43" s="33"/>
      <c r="MHK43" s="33"/>
      <c r="MHL43" s="33"/>
      <c r="MHM43" s="33"/>
      <c r="MHN43" s="33"/>
      <c r="MHO43" s="33"/>
      <c r="MHP43" s="33"/>
      <c r="MHQ43" s="33"/>
      <c r="MHR43" s="33"/>
      <c r="MHS43" s="33"/>
      <c r="MHT43" s="33"/>
      <c r="MHU43" s="33"/>
      <c r="MHV43" s="33"/>
      <c r="MHW43" s="33"/>
      <c r="MHX43" s="33"/>
      <c r="MHY43" s="33"/>
      <c r="MHZ43" s="33"/>
      <c r="MIA43" s="33"/>
      <c r="MIB43" s="33"/>
      <c r="MIC43" s="33"/>
      <c r="MID43" s="33"/>
      <c r="MIE43" s="33"/>
      <c r="MIF43" s="33"/>
      <c r="MIG43" s="33"/>
      <c r="MIH43" s="33"/>
      <c r="MII43" s="33"/>
      <c r="MIJ43" s="33"/>
      <c r="MIK43" s="33"/>
      <c r="MIL43" s="33"/>
      <c r="MIM43" s="33"/>
      <c r="MIN43" s="33"/>
      <c r="MIO43" s="33"/>
      <c r="MIP43" s="33"/>
      <c r="MIQ43" s="33"/>
      <c r="MIR43" s="33"/>
      <c r="MIS43" s="33"/>
      <c r="MIT43" s="33"/>
      <c r="MIU43" s="33"/>
      <c r="MIV43" s="33"/>
      <c r="MIW43" s="33"/>
      <c r="MIX43" s="33"/>
      <c r="MIY43" s="33"/>
      <c r="MIZ43" s="33"/>
      <c r="MJA43" s="33"/>
      <c r="MJB43" s="33"/>
      <c r="MJC43" s="33"/>
      <c r="MJD43" s="33"/>
      <c r="MJE43" s="33"/>
      <c r="MJF43" s="33"/>
      <c r="MJG43" s="33"/>
      <c r="MJH43" s="33"/>
      <c r="MJI43" s="33"/>
      <c r="MJJ43" s="33"/>
      <c r="MJK43" s="33"/>
      <c r="MJL43" s="33"/>
      <c r="MJM43" s="33"/>
      <c r="MJN43" s="33"/>
      <c r="MJO43" s="33"/>
      <c r="MJP43" s="33"/>
      <c r="MJQ43" s="33"/>
      <c r="MJR43" s="33"/>
      <c r="MJS43" s="33"/>
      <c r="MJT43" s="33"/>
      <c r="MJU43" s="33"/>
      <c r="MJV43" s="33"/>
      <c r="MJW43" s="33"/>
      <c r="MJX43" s="33"/>
      <c r="MJY43" s="33"/>
      <c r="MJZ43" s="33"/>
      <c r="MKA43" s="33"/>
      <c r="MKB43" s="33"/>
      <c r="MKC43" s="33"/>
      <c r="MKD43" s="33"/>
      <c r="MKE43" s="33"/>
      <c r="MKF43" s="33"/>
      <c r="MKG43" s="33"/>
      <c r="MKH43" s="33"/>
      <c r="MKI43" s="33"/>
      <c r="MKJ43" s="33"/>
      <c r="MKK43" s="33"/>
      <c r="MKL43" s="33"/>
      <c r="MKM43" s="33"/>
      <c r="MKN43" s="33"/>
      <c r="MKO43" s="33"/>
      <c r="MKP43" s="33"/>
      <c r="MKQ43" s="33"/>
      <c r="MKR43" s="33"/>
      <c r="MKS43" s="33"/>
      <c r="MKT43" s="33"/>
      <c r="MKU43" s="33"/>
      <c r="MKV43" s="33"/>
      <c r="MKW43" s="33"/>
      <c r="MKX43" s="33"/>
      <c r="MKY43" s="33"/>
      <c r="MKZ43" s="33"/>
      <c r="MLA43" s="33"/>
      <c r="MLB43" s="33"/>
      <c r="MLC43" s="33"/>
      <c r="MLD43" s="33"/>
      <c r="MLE43" s="33"/>
      <c r="MLF43" s="33"/>
      <c r="MLG43" s="33"/>
      <c r="MLH43" s="33"/>
      <c r="MLI43" s="33"/>
      <c r="MLJ43" s="33"/>
      <c r="MLK43" s="33"/>
      <c r="MLL43" s="33"/>
      <c r="MLM43" s="33"/>
      <c r="MLN43" s="33"/>
      <c r="MLO43" s="33"/>
      <c r="MLP43" s="33"/>
      <c r="MLQ43" s="33"/>
      <c r="MLR43" s="33"/>
      <c r="MLS43" s="33"/>
      <c r="MLT43" s="33"/>
      <c r="MLU43" s="33"/>
      <c r="MLV43" s="33"/>
      <c r="MLW43" s="33"/>
      <c r="MLX43" s="33"/>
      <c r="MLY43" s="33"/>
      <c r="MLZ43" s="33"/>
      <c r="MMA43" s="33"/>
      <c r="MMB43" s="33"/>
      <c r="MMC43" s="33"/>
      <c r="MMD43" s="33"/>
      <c r="MME43" s="33"/>
      <c r="MMF43" s="33"/>
      <c r="MMG43" s="33"/>
      <c r="MMH43" s="33"/>
      <c r="MMI43" s="33"/>
      <c r="MMJ43" s="33"/>
      <c r="MMK43" s="33"/>
      <c r="MML43" s="33"/>
      <c r="MMM43" s="33"/>
      <c r="MMN43" s="33"/>
      <c r="MMO43" s="33"/>
      <c r="MMP43" s="33"/>
      <c r="MMQ43" s="33"/>
      <c r="MMR43" s="33"/>
      <c r="MMS43" s="33"/>
      <c r="MMT43" s="33"/>
      <c r="MMU43" s="33"/>
      <c r="MMV43" s="33"/>
      <c r="MMW43" s="33"/>
      <c r="MMX43" s="33"/>
      <c r="MMY43" s="33"/>
      <c r="MMZ43" s="33"/>
      <c r="MNA43" s="33"/>
      <c r="MNB43" s="33"/>
      <c r="MNC43" s="33"/>
      <c r="MND43" s="33"/>
      <c r="MNE43" s="33"/>
      <c r="MNF43" s="33"/>
      <c r="MNG43" s="33"/>
      <c r="MNH43" s="33"/>
      <c r="MNI43" s="33"/>
      <c r="MNJ43" s="33"/>
      <c r="MNK43" s="33"/>
      <c r="MNL43" s="33"/>
      <c r="MNM43" s="33"/>
      <c r="MNN43" s="33"/>
      <c r="MNO43" s="33"/>
      <c r="MNP43" s="33"/>
      <c r="MNQ43" s="33"/>
      <c r="MNR43" s="33"/>
      <c r="MNS43" s="33"/>
      <c r="MNT43" s="33"/>
      <c r="MNU43" s="33"/>
      <c r="MNV43" s="33"/>
      <c r="MNW43" s="33"/>
      <c r="MNX43" s="33"/>
      <c r="MNY43" s="33"/>
      <c r="MNZ43" s="33"/>
      <c r="MOA43" s="33"/>
      <c r="MOB43" s="33"/>
      <c r="MOC43" s="33"/>
      <c r="MOD43" s="33"/>
      <c r="MOE43" s="33"/>
      <c r="MOF43" s="33"/>
      <c r="MOG43" s="33"/>
      <c r="MOH43" s="33"/>
      <c r="MOI43" s="33"/>
      <c r="MOJ43" s="33"/>
      <c r="MOK43" s="33"/>
      <c r="MOL43" s="33"/>
      <c r="MOM43" s="33"/>
      <c r="MON43" s="33"/>
      <c r="MOO43" s="33"/>
      <c r="MOP43" s="33"/>
      <c r="MOQ43" s="33"/>
      <c r="MOR43" s="33"/>
      <c r="MOS43" s="33"/>
      <c r="MOT43" s="33"/>
      <c r="MOU43" s="33"/>
      <c r="MOV43" s="33"/>
      <c r="MOW43" s="33"/>
      <c r="MOX43" s="33"/>
      <c r="MOY43" s="33"/>
      <c r="MOZ43" s="33"/>
      <c r="MPA43" s="33"/>
      <c r="MPB43" s="33"/>
      <c r="MPC43" s="33"/>
      <c r="MPD43" s="33"/>
      <c r="MPE43" s="33"/>
      <c r="MPF43" s="33"/>
      <c r="MPG43" s="33"/>
      <c r="MPH43" s="33"/>
      <c r="MPI43" s="33"/>
      <c r="MPJ43" s="33"/>
      <c r="MPK43" s="33"/>
      <c r="MPL43" s="33"/>
      <c r="MPM43" s="33"/>
      <c r="MPN43" s="33"/>
      <c r="MPO43" s="33"/>
      <c r="MPP43" s="33"/>
      <c r="MPQ43" s="33"/>
      <c r="MPR43" s="33"/>
      <c r="MPS43" s="33"/>
      <c r="MPT43" s="33"/>
      <c r="MPU43" s="33"/>
      <c r="MPV43" s="33"/>
      <c r="MPW43" s="33"/>
      <c r="MPX43" s="33"/>
      <c r="MPY43" s="33"/>
      <c r="MPZ43" s="33"/>
      <c r="MQA43" s="33"/>
      <c r="MQB43" s="33"/>
      <c r="MQC43" s="33"/>
      <c r="MQD43" s="33"/>
      <c r="MQE43" s="33"/>
      <c r="MQF43" s="33"/>
      <c r="MQG43" s="33"/>
      <c r="MQH43" s="33"/>
      <c r="MQI43" s="33"/>
      <c r="MQJ43" s="33"/>
      <c r="MQK43" s="33"/>
      <c r="MQL43" s="33"/>
      <c r="MQM43" s="33"/>
      <c r="MQN43" s="33"/>
      <c r="MQO43" s="33"/>
      <c r="MQP43" s="33"/>
      <c r="MQQ43" s="33"/>
      <c r="MQR43" s="33"/>
      <c r="MQS43" s="33"/>
      <c r="MQT43" s="33"/>
      <c r="MQU43" s="33"/>
      <c r="MQV43" s="33"/>
      <c r="MQW43" s="33"/>
      <c r="MQX43" s="33"/>
      <c r="MQY43" s="33"/>
      <c r="MQZ43" s="33"/>
      <c r="MRA43" s="33"/>
      <c r="MRB43" s="33"/>
      <c r="MRC43" s="33"/>
      <c r="MRD43" s="33"/>
      <c r="MRE43" s="33"/>
      <c r="MRF43" s="33"/>
      <c r="MRG43" s="33"/>
      <c r="MRH43" s="33"/>
      <c r="MRI43" s="33"/>
      <c r="MRJ43" s="33"/>
      <c r="MRK43" s="33"/>
      <c r="MRL43" s="33"/>
      <c r="MRM43" s="33"/>
      <c r="MRN43" s="33"/>
      <c r="MRO43" s="33"/>
      <c r="MRP43" s="33"/>
      <c r="MRQ43" s="33"/>
      <c r="MRR43" s="33"/>
      <c r="MRS43" s="33"/>
      <c r="MRT43" s="33"/>
      <c r="MRU43" s="33"/>
      <c r="MRV43" s="33"/>
      <c r="MRW43" s="33"/>
      <c r="MRX43" s="33"/>
      <c r="MRY43" s="33"/>
      <c r="MRZ43" s="33"/>
      <c r="MSA43" s="33"/>
      <c r="MSB43" s="33"/>
      <c r="MSC43" s="33"/>
      <c r="MSD43" s="33"/>
      <c r="MSE43" s="33"/>
      <c r="MSF43" s="33"/>
      <c r="MSG43" s="33"/>
      <c r="MSH43" s="33"/>
      <c r="MSI43" s="33"/>
      <c r="MSJ43" s="33"/>
      <c r="MSK43" s="33"/>
      <c r="MSL43" s="33"/>
      <c r="MSM43" s="33"/>
      <c r="MSN43" s="33"/>
      <c r="MSO43" s="33"/>
      <c r="MSP43" s="33"/>
      <c r="MSQ43" s="33"/>
      <c r="MSR43" s="33"/>
      <c r="MSS43" s="33"/>
      <c r="MST43" s="33"/>
      <c r="MSU43" s="33"/>
      <c r="MSV43" s="33"/>
      <c r="MSW43" s="33"/>
      <c r="MSX43" s="33"/>
      <c r="MSY43" s="33"/>
      <c r="MSZ43" s="33"/>
      <c r="MTA43" s="33"/>
      <c r="MTB43" s="33"/>
      <c r="MTC43" s="33"/>
      <c r="MTD43" s="33"/>
      <c r="MTE43" s="33"/>
      <c r="MTF43" s="33"/>
      <c r="MTG43" s="33"/>
      <c r="MTH43" s="33"/>
      <c r="MTI43" s="33"/>
      <c r="MTJ43" s="33"/>
      <c r="MTK43" s="33"/>
      <c r="MTL43" s="33"/>
      <c r="MTM43" s="33"/>
      <c r="MTN43" s="33"/>
      <c r="MTO43" s="33"/>
      <c r="MTP43" s="33"/>
      <c r="MTQ43" s="33"/>
      <c r="MTR43" s="33"/>
      <c r="MTS43" s="33"/>
      <c r="MTT43" s="33"/>
      <c r="MTU43" s="33"/>
      <c r="MTV43" s="33"/>
      <c r="MTW43" s="33"/>
      <c r="MTX43" s="33"/>
      <c r="MTY43" s="33"/>
      <c r="MTZ43" s="33"/>
      <c r="MUA43" s="33"/>
      <c r="MUB43" s="33"/>
      <c r="MUC43" s="33"/>
      <c r="MUD43" s="33"/>
      <c r="MUE43" s="33"/>
      <c r="MUF43" s="33"/>
      <c r="MUG43" s="33"/>
      <c r="MUH43" s="33"/>
      <c r="MUI43" s="33"/>
      <c r="MUJ43" s="33"/>
      <c r="MUK43" s="33"/>
      <c r="MUL43" s="33"/>
      <c r="MUM43" s="33"/>
      <c r="MUN43" s="33"/>
      <c r="MUO43" s="33"/>
      <c r="MUP43" s="33"/>
      <c r="MUQ43" s="33"/>
      <c r="MUR43" s="33"/>
      <c r="MUS43" s="33"/>
      <c r="MUT43" s="33"/>
      <c r="MUU43" s="33"/>
      <c r="MUV43" s="33"/>
      <c r="MUW43" s="33"/>
      <c r="MUX43" s="33"/>
      <c r="MUY43" s="33"/>
      <c r="MUZ43" s="33"/>
      <c r="MVA43" s="33"/>
      <c r="MVB43" s="33"/>
      <c r="MVC43" s="33"/>
      <c r="MVD43" s="33"/>
      <c r="MVE43" s="33"/>
      <c r="MVF43" s="33"/>
      <c r="MVG43" s="33"/>
      <c r="MVH43" s="33"/>
      <c r="MVI43" s="33"/>
      <c r="MVJ43" s="33"/>
      <c r="MVK43" s="33"/>
      <c r="MVL43" s="33"/>
      <c r="MVM43" s="33"/>
      <c r="MVN43" s="33"/>
      <c r="MVO43" s="33"/>
      <c r="MVP43" s="33"/>
      <c r="MVQ43" s="33"/>
      <c r="MVR43" s="33"/>
      <c r="MVS43" s="33"/>
      <c r="MVT43" s="33"/>
      <c r="MVU43" s="33"/>
      <c r="MVV43" s="33"/>
      <c r="MVW43" s="33"/>
      <c r="MVX43" s="33"/>
      <c r="MVY43" s="33"/>
      <c r="MVZ43" s="33"/>
      <c r="MWA43" s="33"/>
      <c r="MWB43" s="33"/>
      <c r="MWC43" s="33"/>
      <c r="MWD43" s="33"/>
      <c r="MWE43" s="33"/>
      <c r="MWF43" s="33"/>
      <c r="MWG43" s="33"/>
      <c r="MWH43" s="33"/>
      <c r="MWI43" s="33"/>
      <c r="MWJ43" s="33"/>
      <c r="MWK43" s="33"/>
      <c r="MWL43" s="33"/>
      <c r="MWM43" s="33"/>
      <c r="MWN43" s="33"/>
      <c r="MWO43" s="33"/>
      <c r="MWP43" s="33"/>
      <c r="MWQ43" s="33"/>
      <c r="MWR43" s="33"/>
      <c r="MWS43" s="33"/>
      <c r="MWT43" s="33"/>
      <c r="MWU43" s="33"/>
      <c r="MWV43" s="33"/>
      <c r="MWW43" s="33"/>
      <c r="MWX43" s="33"/>
      <c r="MWY43" s="33"/>
      <c r="MWZ43" s="33"/>
      <c r="MXA43" s="33"/>
      <c r="MXB43" s="33"/>
      <c r="MXC43" s="33"/>
      <c r="MXD43" s="33"/>
      <c r="MXE43" s="33"/>
      <c r="MXF43" s="33"/>
      <c r="MXG43" s="33"/>
      <c r="MXH43" s="33"/>
      <c r="MXI43" s="33"/>
      <c r="MXJ43" s="33"/>
      <c r="MXK43" s="33"/>
      <c r="MXL43" s="33"/>
      <c r="MXM43" s="33"/>
      <c r="MXN43" s="33"/>
      <c r="MXO43" s="33"/>
      <c r="MXP43" s="33"/>
      <c r="MXQ43" s="33"/>
      <c r="MXR43" s="33"/>
      <c r="MXS43" s="33"/>
      <c r="MXT43" s="33"/>
      <c r="MXU43" s="33"/>
      <c r="MXV43" s="33"/>
      <c r="MXW43" s="33"/>
      <c r="MXX43" s="33"/>
      <c r="MXY43" s="33"/>
      <c r="MXZ43" s="33"/>
      <c r="MYA43" s="33"/>
      <c r="MYB43" s="33"/>
      <c r="MYC43" s="33"/>
      <c r="MYD43" s="33"/>
      <c r="MYE43" s="33"/>
      <c r="MYF43" s="33"/>
      <c r="MYG43" s="33"/>
      <c r="MYH43" s="33"/>
      <c r="MYI43" s="33"/>
      <c r="MYJ43" s="33"/>
      <c r="MYK43" s="33"/>
      <c r="MYL43" s="33"/>
      <c r="MYM43" s="33"/>
      <c r="MYN43" s="33"/>
      <c r="MYO43" s="33"/>
      <c r="MYP43" s="33"/>
      <c r="MYQ43" s="33"/>
      <c r="MYR43" s="33"/>
      <c r="MYS43" s="33"/>
      <c r="MYT43" s="33"/>
      <c r="MYU43" s="33"/>
      <c r="MYV43" s="33"/>
      <c r="MYW43" s="33"/>
      <c r="MYX43" s="33"/>
      <c r="MYY43" s="33"/>
      <c r="MYZ43" s="33"/>
      <c r="MZA43" s="33"/>
      <c r="MZB43" s="33"/>
      <c r="MZC43" s="33"/>
      <c r="MZD43" s="33"/>
      <c r="MZE43" s="33"/>
      <c r="MZF43" s="33"/>
      <c r="MZG43" s="33"/>
      <c r="MZH43" s="33"/>
      <c r="MZI43" s="33"/>
      <c r="MZJ43" s="33"/>
      <c r="MZK43" s="33"/>
      <c r="MZL43" s="33"/>
      <c r="MZM43" s="33"/>
      <c r="MZN43" s="33"/>
      <c r="MZO43" s="33"/>
      <c r="MZP43" s="33"/>
      <c r="MZQ43" s="33"/>
      <c r="MZR43" s="33"/>
      <c r="MZS43" s="33"/>
      <c r="MZT43" s="33"/>
      <c r="MZU43" s="33"/>
      <c r="MZV43" s="33"/>
      <c r="MZW43" s="33"/>
      <c r="MZX43" s="33"/>
      <c r="MZY43" s="33"/>
      <c r="MZZ43" s="33"/>
      <c r="NAA43" s="33"/>
      <c r="NAB43" s="33"/>
      <c r="NAC43" s="33"/>
      <c r="NAD43" s="33"/>
      <c r="NAE43" s="33"/>
      <c r="NAF43" s="33"/>
      <c r="NAG43" s="33"/>
      <c r="NAH43" s="33"/>
      <c r="NAI43" s="33"/>
      <c r="NAJ43" s="33"/>
      <c r="NAK43" s="33"/>
      <c r="NAL43" s="33"/>
      <c r="NAM43" s="33"/>
      <c r="NAN43" s="33"/>
      <c r="NAO43" s="33"/>
      <c r="NAP43" s="33"/>
      <c r="NAQ43" s="33"/>
      <c r="NAR43" s="33"/>
      <c r="NAS43" s="33"/>
      <c r="NAT43" s="33"/>
      <c r="NAU43" s="33"/>
      <c r="NAV43" s="33"/>
      <c r="NAW43" s="33"/>
      <c r="NAX43" s="33"/>
      <c r="NAY43" s="33"/>
      <c r="NAZ43" s="33"/>
      <c r="NBA43" s="33"/>
      <c r="NBB43" s="33"/>
      <c r="NBC43" s="33"/>
      <c r="NBD43" s="33"/>
      <c r="NBE43" s="33"/>
      <c r="NBF43" s="33"/>
      <c r="NBG43" s="33"/>
      <c r="NBH43" s="33"/>
      <c r="NBI43" s="33"/>
      <c r="NBJ43" s="33"/>
      <c r="NBK43" s="33"/>
      <c r="NBL43" s="33"/>
      <c r="NBM43" s="33"/>
      <c r="NBN43" s="33"/>
      <c r="NBO43" s="33"/>
      <c r="NBP43" s="33"/>
      <c r="NBQ43" s="33"/>
      <c r="NBR43" s="33"/>
      <c r="NBS43" s="33"/>
      <c r="NBT43" s="33"/>
      <c r="NBU43" s="33"/>
      <c r="NBV43" s="33"/>
      <c r="NBW43" s="33"/>
      <c r="NBX43" s="33"/>
      <c r="NBY43" s="33"/>
      <c r="NBZ43" s="33"/>
      <c r="NCA43" s="33"/>
      <c r="NCB43" s="33"/>
      <c r="NCC43" s="33"/>
      <c r="NCD43" s="33"/>
      <c r="NCE43" s="33"/>
      <c r="NCF43" s="33"/>
      <c r="NCG43" s="33"/>
      <c r="NCH43" s="33"/>
      <c r="NCI43" s="33"/>
      <c r="NCJ43" s="33"/>
      <c r="NCK43" s="33"/>
      <c r="NCL43" s="33"/>
      <c r="NCM43" s="33"/>
      <c r="NCN43" s="33"/>
      <c r="NCO43" s="33"/>
      <c r="NCP43" s="33"/>
      <c r="NCQ43" s="33"/>
      <c r="NCR43" s="33"/>
      <c r="NCS43" s="33"/>
      <c r="NCT43" s="33"/>
      <c r="NCU43" s="33"/>
      <c r="NCV43" s="33"/>
      <c r="NCW43" s="33"/>
      <c r="NCX43" s="33"/>
      <c r="NCY43" s="33"/>
      <c r="NCZ43" s="33"/>
      <c r="NDA43" s="33"/>
      <c r="NDB43" s="33"/>
      <c r="NDC43" s="33"/>
      <c r="NDD43" s="33"/>
      <c r="NDE43" s="33"/>
      <c r="NDF43" s="33"/>
      <c r="NDG43" s="33"/>
      <c r="NDH43" s="33"/>
      <c r="NDI43" s="33"/>
      <c r="NDJ43" s="33"/>
      <c r="NDK43" s="33"/>
      <c r="NDL43" s="33"/>
      <c r="NDM43" s="33"/>
      <c r="NDN43" s="33"/>
      <c r="NDO43" s="33"/>
      <c r="NDP43" s="33"/>
      <c r="NDQ43" s="33"/>
      <c r="NDR43" s="33"/>
      <c r="NDS43" s="33"/>
      <c r="NDT43" s="33"/>
      <c r="NDU43" s="33"/>
      <c r="NDV43" s="33"/>
      <c r="NDW43" s="33"/>
      <c r="NDX43" s="33"/>
      <c r="NDY43" s="33"/>
      <c r="NDZ43" s="33"/>
      <c r="NEA43" s="33"/>
      <c r="NEB43" s="33"/>
      <c r="NEC43" s="33"/>
      <c r="NED43" s="33"/>
      <c r="NEE43" s="33"/>
      <c r="NEF43" s="33"/>
      <c r="NEG43" s="33"/>
      <c r="NEH43" s="33"/>
      <c r="NEI43" s="33"/>
      <c r="NEJ43" s="33"/>
      <c r="NEK43" s="33"/>
      <c r="NEL43" s="33"/>
      <c r="NEM43" s="33"/>
      <c r="NEN43" s="33"/>
      <c r="NEO43" s="33"/>
      <c r="NEP43" s="33"/>
      <c r="NEQ43" s="33"/>
      <c r="NER43" s="33"/>
      <c r="NES43" s="33"/>
      <c r="NET43" s="33"/>
      <c r="NEU43" s="33"/>
      <c r="NEV43" s="33"/>
      <c r="NEW43" s="33"/>
      <c r="NEX43" s="33"/>
      <c r="NEY43" s="33"/>
      <c r="NEZ43" s="33"/>
      <c r="NFA43" s="33"/>
      <c r="NFB43" s="33"/>
      <c r="NFC43" s="33"/>
      <c r="NFD43" s="33"/>
      <c r="NFE43" s="33"/>
      <c r="NFF43" s="33"/>
      <c r="NFG43" s="33"/>
      <c r="NFH43" s="33"/>
      <c r="NFI43" s="33"/>
      <c r="NFJ43" s="33"/>
      <c r="NFK43" s="33"/>
      <c r="NFL43" s="33"/>
      <c r="NFM43" s="33"/>
      <c r="NFN43" s="33"/>
      <c r="NFO43" s="33"/>
      <c r="NFP43" s="33"/>
      <c r="NFQ43" s="33"/>
      <c r="NFR43" s="33"/>
      <c r="NFS43" s="33"/>
      <c r="NFT43" s="33"/>
      <c r="NFU43" s="33"/>
      <c r="NFV43" s="33"/>
      <c r="NFW43" s="33"/>
      <c r="NFX43" s="33"/>
      <c r="NFY43" s="33"/>
      <c r="NFZ43" s="33"/>
      <c r="NGA43" s="33"/>
      <c r="NGB43" s="33"/>
      <c r="NGC43" s="33"/>
      <c r="NGD43" s="33"/>
      <c r="NGE43" s="33"/>
      <c r="NGF43" s="33"/>
      <c r="NGG43" s="33"/>
      <c r="NGH43" s="33"/>
      <c r="NGI43" s="33"/>
      <c r="NGJ43" s="33"/>
      <c r="NGK43" s="33"/>
      <c r="NGL43" s="33"/>
      <c r="NGM43" s="33"/>
      <c r="NGN43" s="33"/>
      <c r="NGO43" s="33"/>
      <c r="NGP43" s="33"/>
      <c r="NGQ43" s="33"/>
      <c r="NGR43" s="33"/>
      <c r="NGS43" s="33"/>
      <c r="NGT43" s="33"/>
      <c r="NGU43" s="33"/>
      <c r="NGV43" s="33"/>
      <c r="NGW43" s="33"/>
      <c r="NGX43" s="33"/>
      <c r="NGY43" s="33"/>
      <c r="NGZ43" s="33"/>
      <c r="NHA43" s="33"/>
      <c r="NHB43" s="33"/>
      <c r="NHC43" s="33"/>
      <c r="NHD43" s="33"/>
      <c r="NHE43" s="33"/>
      <c r="NHF43" s="33"/>
      <c r="NHG43" s="33"/>
      <c r="NHH43" s="33"/>
      <c r="NHI43" s="33"/>
      <c r="NHJ43" s="33"/>
      <c r="NHK43" s="33"/>
      <c r="NHL43" s="33"/>
      <c r="NHM43" s="33"/>
      <c r="NHN43" s="33"/>
      <c r="NHO43" s="33"/>
      <c r="NHP43" s="33"/>
      <c r="NHQ43" s="33"/>
      <c r="NHR43" s="33"/>
      <c r="NHS43" s="33"/>
      <c r="NHT43" s="33"/>
      <c r="NHU43" s="33"/>
      <c r="NHV43" s="33"/>
      <c r="NHW43" s="33"/>
      <c r="NHX43" s="33"/>
      <c r="NHY43" s="33"/>
      <c r="NHZ43" s="33"/>
      <c r="NIA43" s="33"/>
      <c r="NIB43" s="33"/>
      <c r="NIC43" s="33"/>
      <c r="NID43" s="33"/>
      <c r="NIE43" s="33"/>
      <c r="NIF43" s="33"/>
      <c r="NIG43" s="33"/>
      <c r="NIH43" s="33"/>
      <c r="NII43" s="33"/>
      <c r="NIJ43" s="33"/>
      <c r="NIK43" s="33"/>
      <c r="NIL43" s="33"/>
      <c r="NIM43" s="33"/>
      <c r="NIN43" s="33"/>
      <c r="NIO43" s="33"/>
      <c r="NIP43" s="33"/>
      <c r="NIQ43" s="33"/>
      <c r="NIR43" s="33"/>
      <c r="NIS43" s="33"/>
      <c r="NIT43" s="33"/>
      <c r="NIU43" s="33"/>
      <c r="NIV43" s="33"/>
      <c r="NIW43" s="33"/>
      <c r="NIX43" s="33"/>
      <c r="NIY43" s="33"/>
      <c r="NIZ43" s="33"/>
      <c r="NJA43" s="33"/>
      <c r="NJB43" s="33"/>
      <c r="NJC43" s="33"/>
      <c r="NJD43" s="33"/>
      <c r="NJE43" s="33"/>
      <c r="NJF43" s="33"/>
      <c r="NJG43" s="33"/>
      <c r="NJH43" s="33"/>
      <c r="NJI43" s="33"/>
      <c r="NJJ43" s="33"/>
      <c r="NJK43" s="33"/>
      <c r="NJL43" s="33"/>
      <c r="NJM43" s="33"/>
      <c r="NJN43" s="33"/>
      <c r="NJO43" s="33"/>
      <c r="NJP43" s="33"/>
      <c r="NJQ43" s="33"/>
      <c r="NJR43" s="33"/>
      <c r="NJS43" s="33"/>
      <c r="NJT43" s="33"/>
      <c r="NJU43" s="33"/>
      <c r="NJV43" s="33"/>
      <c r="NJW43" s="33"/>
      <c r="NJX43" s="33"/>
      <c r="NJY43" s="33"/>
      <c r="NJZ43" s="33"/>
      <c r="NKA43" s="33"/>
      <c r="NKB43" s="33"/>
      <c r="NKC43" s="33"/>
      <c r="NKD43" s="33"/>
      <c r="NKE43" s="33"/>
      <c r="NKF43" s="33"/>
      <c r="NKG43" s="33"/>
      <c r="NKH43" s="33"/>
      <c r="NKI43" s="33"/>
      <c r="NKJ43" s="33"/>
      <c r="NKK43" s="33"/>
      <c r="NKL43" s="33"/>
      <c r="NKM43" s="33"/>
      <c r="NKN43" s="33"/>
      <c r="NKO43" s="33"/>
      <c r="NKP43" s="33"/>
      <c r="NKQ43" s="33"/>
      <c r="NKR43" s="33"/>
      <c r="NKS43" s="33"/>
      <c r="NKT43" s="33"/>
      <c r="NKU43" s="33"/>
      <c r="NKV43" s="33"/>
      <c r="NKW43" s="33"/>
      <c r="NKX43" s="33"/>
      <c r="NKY43" s="33"/>
      <c r="NKZ43" s="33"/>
      <c r="NLA43" s="33"/>
      <c r="NLB43" s="33"/>
      <c r="NLC43" s="33"/>
      <c r="NLD43" s="33"/>
      <c r="NLE43" s="33"/>
      <c r="NLF43" s="33"/>
      <c r="NLG43" s="33"/>
      <c r="NLH43" s="33"/>
      <c r="NLI43" s="33"/>
      <c r="NLJ43" s="33"/>
      <c r="NLK43" s="33"/>
      <c r="NLL43" s="33"/>
      <c r="NLM43" s="33"/>
      <c r="NLN43" s="33"/>
      <c r="NLO43" s="33"/>
      <c r="NLP43" s="33"/>
      <c r="NLQ43" s="33"/>
      <c r="NLR43" s="33"/>
      <c r="NLS43" s="33"/>
      <c r="NLT43" s="33"/>
      <c r="NLU43" s="33"/>
      <c r="NLV43" s="33"/>
      <c r="NLW43" s="33"/>
      <c r="NLX43" s="33"/>
      <c r="NLY43" s="33"/>
      <c r="NLZ43" s="33"/>
      <c r="NMA43" s="33"/>
      <c r="NMB43" s="33"/>
      <c r="NMC43" s="33"/>
      <c r="NMD43" s="33"/>
      <c r="NME43" s="33"/>
      <c r="NMF43" s="33"/>
      <c r="NMG43" s="33"/>
      <c r="NMH43" s="33"/>
      <c r="NMI43" s="33"/>
      <c r="NMJ43" s="33"/>
      <c r="NMK43" s="33"/>
      <c r="NML43" s="33"/>
      <c r="NMM43" s="33"/>
      <c r="NMN43" s="33"/>
      <c r="NMO43" s="33"/>
      <c r="NMP43" s="33"/>
      <c r="NMQ43" s="33"/>
      <c r="NMR43" s="33"/>
      <c r="NMS43" s="33"/>
      <c r="NMT43" s="33"/>
      <c r="NMU43" s="33"/>
      <c r="NMV43" s="33"/>
      <c r="NMW43" s="33"/>
      <c r="NMX43" s="33"/>
      <c r="NMY43" s="33"/>
      <c r="NMZ43" s="33"/>
      <c r="NNA43" s="33"/>
      <c r="NNB43" s="33"/>
      <c r="NNC43" s="33"/>
      <c r="NND43" s="33"/>
      <c r="NNE43" s="33"/>
      <c r="NNF43" s="33"/>
      <c r="NNG43" s="33"/>
      <c r="NNH43" s="33"/>
      <c r="NNI43" s="33"/>
      <c r="NNJ43" s="33"/>
      <c r="NNK43" s="33"/>
      <c r="NNL43" s="33"/>
      <c r="NNM43" s="33"/>
      <c r="NNN43" s="33"/>
      <c r="NNO43" s="33"/>
      <c r="NNP43" s="33"/>
      <c r="NNQ43" s="33"/>
      <c r="NNR43" s="33"/>
      <c r="NNS43" s="33"/>
      <c r="NNT43" s="33"/>
      <c r="NNU43" s="33"/>
      <c r="NNV43" s="33"/>
      <c r="NNW43" s="33"/>
      <c r="NNX43" s="33"/>
      <c r="NNY43" s="33"/>
      <c r="NNZ43" s="33"/>
      <c r="NOA43" s="33"/>
      <c r="NOB43" s="33"/>
      <c r="NOC43" s="33"/>
      <c r="NOD43" s="33"/>
      <c r="NOE43" s="33"/>
      <c r="NOF43" s="33"/>
      <c r="NOG43" s="33"/>
      <c r="NOH43" s="33"/>
      <c r="NOI43" s="33"/>
      <c r="NOJ43" s="33"/>
      <c r="NOK43" s="33"/>
      <c r="NOL43" s="33"/>
      <c r="NOM43" s="33"/>
      <c r="NON43" s="33"/>
      <c r="NOO43" s="33"/>
      <c r="NOP43" s="33"/>
      <c r="NOQ43" s="33"/>
      <c r="NOR43" s="33"/>
      <c r="NOS43" s="33"/>
      <c r="NOT43" s="33"/>
      <c r="NOU43" s="33"/>
      <c r="NOV43" s="33"/>
      <c r="NOW43" s="33"/>
      <c r="NOX43" s="33"/>
      <c r="NOY43" s="33"/>
      <c r="NOZ43" s="33"/>
      <c r="NPA43" s="33"/>
      <c r="NPB43" s="33"/>
      <c r="NPC43" s="33"/>
      <c r="NPD43" s="33"/>
      <c r="NPE43" s="33"/>
      <c r="NPF43" s="33"/>
      <c r="NPG43" s="33"/>
      <c r="NPH43" s="33"/>
      <c r="NPI43" s="33"/>
      <c r="NPJ43" s="33"/>
      <c r="NPK43" s="33"/>
      <c r="NPL43" s="33"/>
      <c r="NPM43" s="33"/>
      <c r="NPN43" s="33"/>
      <c r="NPO43" s="33"/>
      <c r="NPP43" s="33"/>
      <c r="NPQ43" s="33"/>
      <c r="NPR43" s="33"/>
      <c r="NPS43" s="33"/>
      <c r="NPT43" s="33"/>
      <c r="NPU43" s="33"/>
      <c r="NPV43" s="33"/>
      <c r="NPW43" s="33"/>
      <c r="NPX43" s="33"/>
      <c r="NPY43" s="33"/>
      <c r="NPZ43" s="33"/>
      <c r="NQA43" s="33"/>
      <c r="NQB43" s="33"/>
      <c r="NQC43" s="33"/>
      <c r="NQD43" s="33"/>
      <c r="NQE43" s="33"/>
      <c r="NQF43" s="33"/>
      <c r="NQG43" s="33"/>
      <c r="NQH43" s="33"/>
      <c r="NQI43" s="33"/>
      <c r="NQJ43" s="33"/>
      <c r="NQK43" s="33"/>
      <c r="NQL43" s="33"/>
      <c r="NQM43" s="33"/>
      <c r="NQN43" s="33"/>
      <c r="NQO43" s="33"/>
      <c r="NQP43" s="33"/>
      <c r="NQQ43" s="33"/>
      <c r="NQR43" s="33"/>
      <c r="NQS43" s="33"/>
      <c r="NQT43" s="33"/>
      <c r="NQU43" s="33"/>
      <c r="NQV43" s="33"/>
      <c r="NQW43" s="33"/>
      <c r="NQX43" s="33"/>
      <c r="NQY43" s="33"/>
      <c r="NQZ43" s="33"/>
      <c r="NRA43" s="33"/>
      <c r="NRB43" s="33"/>
      <c r="NRC43" s="33"/>
      <c r="NRD43" s="33"/>
      <c r="NRE43" s="33"/>
      <c r="NRF43" s="33"/>
      <c r="NRG43" s="33"/>
      <c r="NRH43" s="33"/>
      <c r="NRI43" s="33"/>
      <c r="NRJ43" s="33"/>
      <c r="NRK43" s="33"/>
      <c r="NRL43" s="33"/>
      <c r="NRM43" s="33"/>
      <c r="NRN43" s="33"/>
      <c r="NRO43" s="33"/>
      <c r="NRP43" s="33"/>
      <c r="NRQ43" s="33"/>
      <c r="NRR43" s="33"/>
      <c r="NRS43" s="33"/>
      <c r="NRT43" s="33"/>
      <c r="NRU43" s="33"/>
      <c r="NRV43" s="33"/>
      <c r="NRW43" s="33"/>
      <c r="NRX43" s="33"/>
      <c r="NRY43" s="33"/>
      <c r="NRZ43" s="33"/>
      <c r="NSA43" s="33"/>
      <c r="NSB43" s="33"/>
      <c r="NSC43" s="33"/>
      <c r="NSD43" s="33"/>
      <c r="NSE43" s="33"/>
      <c r="NSF43" s="33"/>
      <c r="NSG43" s="33"/>
      <c r="NSH43" s="33"/>
      <c r="NSI43" s="33"/>
      <c r="NSJ43" s="33"/>
      <c r="NSK43" s="33"/>
      <c r="NSL43" s="33"/>
      <c r="NSM43" s="33"/>
      <c r="NSN43" s="33"/>
      <c r="NSO43" s="33"/>
      <c r="NSP43" s="33"/>
      <c r="NSQ43" s="33"/>
      <c r="NSR43" s="33"/>
      <c r="NSS43" s="33"/>
      <c r="NST43" s="33"/>
      <c r="NSU43" s="33"/>
      <c r="NSV43" s="33"/>
      <c r="NSW43" s="33"/>
      <c r="NSX43" s="33"/>
      <c r="NSY43" s="33"/>
      <c r="NSZ43" s="33"/>
      <c r="NTA43" s="33"/>
      <c r="NTB43" s="33"/>
      <c r="NTC43" s="33"/>
      <c r="NTD43" s="33"/>
      <c r="NTE43" s="33"/>
      <c r="NTF43" s="33"/>
      <c r="NTG43" s="33"/>
      <c r="NTH43" s="33"/>
      <c r="NTI43" s="33"/>
      <c r="NTJ43" s="33"/>
      <c r="NTK43" s="33"/>
      <c r="NTL43" s="33"/>
      <c r="NTM43" s="33"/>
      <c r="NTN43" s="33"/>
      <c r="NTO43" s="33"/>
      <c r="NTP43" s="33"/>
      <c r="NTQ43" s="33"/>
      <c r="NTR43" s="33"/>
      <c r="NTS43" s="33"/>
      <c r="NTT43" s="33"/>
      <c r="NTU43" s="33"/>
      <c r="NTV43" s="33"/>
      <c r="NTW43" s="33"/>
      <c r="NTX43" s="33"/>
      <c r="NTY43" s="33"/>
      <c r="NTZ43" s="33"/>
      <c r="NUA43" s="33"/>
      <c r="NUB43" s="33"/>
      <c r="NUC43" s="33"/>
      <c r="NUD43" s="33"/>
      <c r="NUE43" s="33"/>
      <c r="NUF43" s="33"/>
      <c r="NUG43" s="33"/>
      <c r="NUH43" s="33"/>
      <c r="NUI43" s="33"/>
      <c r="NUJ43" s="33"/>
      <c r="NUK43" s="33"/>
      <c r="NUL43" s="33"/>
      <c r="NUM43" s="33"/>
      <c r="NUN43" s="33"/>
      <c r="NUO43" s="33"/>
      <c r="NUP43" s="33"/>
      <c r="NUQ43" s="33"/>
      <c r="NUR43" s="33"/>
      <c r="NUS43" s="33"/>
      <c r="NUT43" s="33"/>
      <c r="NUU43" s="33"/>
      <c r="NUV43" s="33"/>
      <c r="NUW43" s="33"/>
      <c r="NUX43" s="33"/>
      <c r="NUY43" s="33"/>
      <c r="NUZ43" s="33"/>
      <c r="NVA43" s="33"/>
      <c r="NVB43" s="33"/>
      <c r="NVC43" s="33"/>
      <c r="NVD43" s="33"/>
      <c r="NVE43" s="33"/>
      <c r="NVF43" s="33"/>
      <c r="NVG43" s="33"/>
      <c r="NVH43" s="33"/>
      <c r="NVI43" s="33"/>
      <c r="NVJ43" s="33"/>
      <c r="NVK43" s="33"/>
      <c r="NVL43" s="33"/>
      <c r="NVM43" s="33"/>
      <c r="NVN43" s="33"/>
      <c r="NVO43" s="33"/>
      <c r="NVP43" s="33"/>
      <c r="NVQ43" s="33"/>
      <c r="NVR43" s="33"/>
      <c r="NVS43" s="33"/>
      <c r="NVT43" s="33"/>
      <c r="NVU43" s="33"/>
      <c r="NVV43" s="33"/>
      <c r="NVW43" s="33"/>
      <c r="NVX43" s="33"/>
      <c r="NVY43" s="33"/>
      <c r="NVZ43" s="33"/>
      <c r="NWA43" s="33"/>
      <c r="NWB43" s="33"/>
      <c r="NWC43" s="33"/>
      <c r="NWD43" s="33"/>
      <c r="NWE43" s="33"/>
      <c r="NWF43" s="33"/>
      <c r="NWG43" s="33"/>
      <c r="NWH43" s="33"/>
      <c r="NWI43" s="33"/>
      <c r="NWJ43" s="33"/>
      <c r="NWK43" s="33"/>
      <c r="NWL43" s="33"/>
      <c r="NWM43" s="33"/>
      <c r="NWN43" s="33"/>
      <c r="NWO43" s="33"/>
      <c r="NWP43" s="33"/>
      <c r="NWQ43" s="33"/>
      <c r="NWR43" s="33"/>
      <c r="NWS43" s="33"/>
      <c r="NWT43" s="33"/>
      <c r="NWU43" s="33"/>
      <c r="NWV43" s="33"/>
      <c r="NWW43" s="33"/>
      <c r="NWX43" s="33"/>
      <c r="NWY43" s="33"/>
      <c r="NWZ43" s="33"/>
      <c r="NXA43" s="33"/>
      <c r="NXB43" s="33"/>
      <c r="NXC43" s="33"/>
      <c r="NXD43" s="33"/>
      <c r="NXE43" s="33"/>
      <c r="NXF43" s="33"/>
      <c r="NXG43" s="33"/>
      <c r="NXH43" s="33"/>
      <c r="NXI43" s="33"/>
      <c r="NXJ43" s="33"/>
      <c r="NXK43" s="33"/>
      <c r="NXL43" s="33"/>
      <c r="NXM43" s="33"/>
      <c r="NXN43" s="33"/>
      <c r="NXO43" s="33"/>
      <c r="NXP43" s="33"/>
      <c r="NXQ43" s="33"/>
      <c r="NXR43" s="33"/>
      <c r="NXS43" s="33"/>
      <c r="NXT43" s="33"/>
      <c r="NXU43" s="33"/>
      <c r="NXV43" s="33"/>
      <c r="NXW43" s="33"/>
      <c r="NXX43" s="33"/>
      <c r="NXY43" s="33"/>
      <c r="NXZ43" s="33"/>
      <c r="NYA43" s="33"/>
      <c r="NYB43" s="33"/>
      <c r="NYC43" s="33"/>
      <c r="NYD43" s="33"/>
      <c r="NYE43" s="33"/>
      <c r="NYF43" s="33"/>
      <c r="NYG43" s="33"/>
      <c r="NYH43" s="33"/>
      <c r="NYI43" s="33"/>
      <c r="NYJ43" s="33"/>
      <c r="NYK43" s="33"/>
      <c r="NYL43" s="33"/>
      <c r="NYM43" s="33"/>
      <c r="NYN43" s="33"/>
      <c r="NYO43" s="33"/>
      <c r="NYP43" s="33"/>
      <c r="NYQ43" s="33"/>
      <c r="NYR43" s="33"/>
      <c r="NYS43" s="33"/>
      <c r="NYT43" s="33"/>
      <c r="NYU43" s="33"/>
      <c r="NYV43" s="33"/>
      <c r="NYW43" s="33"/>
      <c r="NYX43" s="33"/>
      <c r="NYY43" s="33"/>
      <c r="NYZ43" s="33"/>
      <c r="NZA43" s="33"/>
      <c r="NZB43" s="33"/>
      <c r="NZC43" s="33"/>
      <c r="NZD43" s="33"/>
      <c r="NZE43" s="33"/>
      <c r="NZF43" s="33"/>
      <c r="NZG43" s="33"/>
      <c r="NZH43" s="33"/>
      <c r="NZI43" s="33"/>
      <c r="NZJ43" s="33"/>
      <c r="NZK43" s="33"/>
      <c r="NZL43" s="33"/>
      <c r="NZM43" s="33"/>
      <c r="NZN43" s="33"/>
      <c r="NZO43" s="33"/>
      <c r="NZP43" s="33"/>
      <c r="NZQ43" s="33"/>
      <c r="NZR43" s="33"/>
      <c r="NZS43" s="33"/>
      <c r="NZT43" s="33"/>
      <c r="NZU43" s="33"/>
      <c r="NZV43" s="33"/>
      <c r="NZW43" s="33"/>
      <c r="NZX43" s="33"/>
      <c r="NZY43" s="33"/>
      <c r="NZZ43" s="33"/>
      <c r="OAA43" s="33"/>
      <c r="OAB43" s="33"/>
      <c r="OAC43" s="33"/>
      <c r="OAD43" s="33"/>
      <c r="OAE43" s="33"/>
      <c r="OAF43" s="33"/>
      <c r="OAG43" s="33"/>
      <c r="OAH43" s="33"/>
      <c r="OAI43" s="33"/>
      <c r="OAJ43" s="33"/>
      <c r="OAK43" s="33"/>
      <c r="OAL43" s="33"/>
      <c r="OAM43" s="33"/>
      <c r="OAN43" s="33"/>
      <c r="OAO43" s="33"/>
      <c r="OAP43" s="33"/>
      <c r="OAQ43" s="33"/>
      <c r="OAR43" s="33"/>
      <c r="OAS43" s="33"/>
      <c r="OAT43" s="33"/>
      <c r="OAU43" s="33"/>
      <c r="OAV43" s="33"/>
      <c r="OAW43" s="33"/>
      <c r="OAX43" s="33"/>
      <c r="OAY43" s="33"/>
      <c r="OAZ43" s="33"/>
      <c r="OBA43" s="33"/>
      <c r="OBB43" s="33"/>
      <c r="OBC43" s="33"/>
      <c r="OBD43" s="33"/>
      <c r="OBE43" s="33"/>
      <c r="OBF43" s="33"/>
      <c r="OBG43" s="33"/>
      <c r="OBH43" s="33"/>
      <c r="OBI43" s="33"/>
      <c r="OBJ43" s="33"/>
      <c r="OBK43" s="33"/>
      <c r="OBL43" s="33"/>
      <c r="OBM43" s="33"/>
      <c r="OBN43" s="33"/>
      <c r="OBO43" s="33"/>
      <c r="OBP43" s="33"/>
      <c r="OBQ43" s="33"/>
      <c r="OBR43" s="33"/>
      <c r="OBS43" s="33"/>
      <c r="OBT43" s="33"/>
      <c r="OBU43" s="33"/>
      <c r="OBV43" s="33"/>
      <c r="OBW43" s="33"/>
      <c r="OBX43" s="33"/>
      <c r="OBY43" s="33"/>
      <c r="OBZ43" s="33"/>
      <c r="OCA43" s="33"/>
      <c r="OCB43" s="33"/>
      <c r="OCC43" s="33"/>
      <c r="OCD43" s="33"/>
      <c r="OCE43" s="33"/>
      <c r="OCF43" s="33"/>
      <c r="OCG43" s="33"/>
      <c r="OCH43" s="33"/>
      <c r="OCI43" s="33"/>
      <c r="OCJ43" s="33"/>
      <c r="OCK43" s="33"/>
      <c r="OCL43" s="33"/>
      <c r="OCM43" s="33"/>
      <c r="OCN43" s="33"/>
      <c r="OCO43" s="33"/>
      <c r="OCP43" s="33"/>
      <c r="OCQ43" s="33"/>
      <c r="OCR43" s="33"/>
      <c r="OCS43" s="33"/>
      <c r="OCT43" s="33"/>
      <c r="OCU43" s="33"/>
      <c r="OCV43" s="33"/>
      <c r="OCW43" s="33"/>
      <c r="OCX43" s="33"/>
      <c r="OCY43" s="33"/>
      <c r="OCZ43" s="33"/>
      <c r="ODA43" s="33"/>
      <c r="ODB43" s="33"/>
      <c r="ODC43" s="33"/>
      <c r="ODD43" s="33"/>
      <c r="ODE43" s="33"/>
      <c r="ODF43" s="33"/>
      <c r="ODG43" s="33"/>
      <c r="ODH43" s="33"/>
      <c r="ODI43" s="33"/>
      <c r="ODJ43" s="33"/>
      <c r="ODK43" s="33"/>
      <c r="ODL43" s="33"/>
      <c r="ODM43" s="33"/>
      <c r="ODN43" s="33"/>
      <c r="ODO43" s="33"/>
      <c r="ODP43" s="33"/>
      <c r="ODQ43" s="33"/>
      <c r="ODR43" s="33"/>
      <c r="ODS43" s="33"/>
      <c r="ODT43" s="33"/>
      <c r="ODU43" s="33"/>
      <c r="ODV43" s="33"/>
      <c r="ODW43" s="33"/>
      <c r="ODX43" s="33"/>
      <c r="ODY43" s="33"/>
      <c r="ODZ43" s="33"/>
      <c r="OEA43" s="33"/>
      <c r="OEB43" s="33"/>
      <c r="OEC43" s="33"/>
      <c r="OED43" s="33"/>
      <c r="OEE43" s="33"/>
      <c r="OEF43" s="33"/>
      <c r="OEG43" s="33"/>
      <c r="OEH43" s="33"/>
      <c r="OEI43" s="33"/>
      <c r="OEJ43" s="33"/>
      <c r="OEK43" s="33"/>
      <c r="OEL43" s="33"/>
      <c r="OEM43" s="33"/>
      <c r="OEN43" s="33"/>
      <c r="OEO43" s="33"/>
      <c r="OEP43" s="33"/>
      <c r="OEQ43" s="33"/>
      <c r="OER43" s="33"/>
      <c r="OES43" s="33"/>
      <c r="OET43" s="33"/>
      <c r="OEU43" s="33"/>
      <c r="OEV43" s="33"/>
      <c r="OEW43" s="33"/>
      <c r="OEX43" s="33"/>
      <c r="OEY43" s="33"/>
      <c r="OEZ43" s="33"/>
      <c r="OFA43" s="33"/>
      <c r="OFB43" s="33"/>
      <c r="OFC43" s="33"/>
      <c r="OFD43" s="33"/>
      <c r="OFE43" s="33"/>
      <c r="OFF43" s="33"/>
      <c r="OFG43" s="33"/>
      <c r="OFH43" s="33"/>
      <c r="OFI43" s="33"/>
      <c r="OFJ43" s="33"/>
      <c r="OFK43" s="33"/>
      <c r="OFL43" s="33"/>
      <c r="OFM43" s="33"/>
      <c r="OFN43" s="33"/>
      <c r="OFO43" s="33"/>
      <c r="OFP43" s="33"/>
      <c r="OFQ43" s="33"/>
      <c r="OFR43" s="33"/>
      <c r="OFS43" s="33"/>
      <c r="OFT43" s="33"/>
      <c r="OFU43" s="33"/>
      <c r="OFV43" s="33"/>
      <c r="OFW43" s="33"/>
      <c r="OFX43" s="33"/>
      <c r="OFY43" s="33"/>
      <c r="OFZ43" s="33"/>
      <c r="OGA43" s="33"/>
      <c r="OGB43" s="33"/>
      <c r="OGC43" s="33"/>
      <c r="OGD43" s="33"/>
      <c r="OGE43" s="33"/>
      <c r="OGF43" s="33"/>
      <c r="OGG43" s="33"/>
      <c r="OGH43" s="33"/>
      <c r="OGI43" s="33"/>
      <c r="OGJ43" s="33"/>
      <c r="OGK43" s="33"/>
      <c r="OGL43" s="33"/>
      <c r="OGM43" s="33"/>
      <c r="OGN43" s="33"/>
      <c r="OGO43" s="33"/>
      <c r="OGP43" s="33"/>
      <c r="OGQ43" s="33"/>
      <c r="OGR43" s="33"/>
      <c r="OGS43" s="33"/>
      <c r="OGT43" s="33"/>
      <c r="OGU43" s="33"/>
      <c r="OGV43" s="33"/>
      <c r="OGW43" s="33"/>
      <c r="OGX43" s="33"/>
      <c r="OGY43" s="33"/>
      <c r="OGZ43" s="33"/>
      <c r="OHA43" s="33"/>
      <c r="OHB43" s="33"/>
      <c r="OHC43" s="33"/>
      <c r="OHD43" s="33"/>
      <c r="OHE43" s="33"/>
      <c r="OHF43" s="33"/>
      <c r="OHG43" s="33"/>
      <c r="OHH43" s="33"/>
      <c r="OHI43" s="33"/>
      <c r="OHJ43" s="33"/>
      <c r="OHK43" s="33"/>
      <c r="OHL43" s="33"/>
      <c r="OHM43" s="33"/>
      <c r="OHN43" s="33"/>
      <c r="OHO43" s="33"/>
      <c r="OHP43" s="33"/>
      <c r="OHQ43" s="33"/>
      <c r="OHR43" s="33"/>
      <c r="OHS43" s="33"/>
      <c r="OHT43" s="33"/>
      <c r="OHU43" s="33"/>
      <c r="OHV43" s="33"/>
      <c r="OHW43" s="33"/>
      <c r="OHX43" s="33"/>
      <c r="OHY43" s="33"/>
      <c r="OHZ43" s="33"/>
      <c r="OIA43" s="33"/>
      <c r="OIB43" s="33"/>
      <c r="OIC43" s="33"/>
      <c r="OID43" s="33"/>
      <c r="OIE43" s="33"/>
      <c r="OIF43" s="33"/>
      <c r="OIG43" s="33"/>
      <c r="OIH43" s="33"/>
      <c r="OII43" s="33"/>
      <c r="OIJ43" s="33"/>
      <c r="OIK43" s="33"/>
      <c r="OIL43" s="33"/>
      <c r="OIM43" s="33"/>
      <c r="OIN43" s="33"/>
      <c r="OIO43" s="33"/>
      <c r="OIP43" s="33"/>
      <c r="OIQ43" s="33"/>
      <c r="OIR43" s="33"/>
      <c r="OIS43" s="33"/>
      <c r="OIT43" s="33"/>
      <c r="OIU43" s="33"/>
      <c r="OIV43" s="33"/>
      <c r="OIW43" s="33"/>
      <c r="OIX43" s="33"/>
      <c r="OIY43" s="33"/>
      <c r="OIZ43" s="33"/>
      <c r="OJA43" s="33"/>
      <c r="OJB43" s="33"/>
      <c r="OJC43" s="33"/>
      <c r="OJD43" s="33"/>
      <c r="OJE43" s="33"/>
      <c r="OJF43" s="33"/>
      <c r="OJG43" s="33"/>
      <c r="OJH43" s="33"/>
      <c r="OJI43" s="33"/>
      <c r="OJJ43" s="33"/>
      <c r="OJK43" s="33"/>
      <c r="OJL43" s="33"/>
      <c r="OJM43" s="33"/>
      <c r="OJN43" s="33"/>
      <c r="OJO43" s="33"/>
      <c r="OJP43" s="33"/>
      <c r="OJQ43" s="33"/>
      <c r="OJR43" s="33"/>
      <c r="OJS43" s="33"/>
      <c r="OJT43" s="33"/>
      <c r="OJU43" s="33"/>
      <c r="OJV43" s="33"/>
      <c r="OJW43" s="33"/>
      <c r="OJX43" s="33"/>
      <c r="OJY43" s="33"/>
      <c r="OJZ43" s="33"/>
      <c r="OKA43" s="33"/>
      <c r="OKB43" s="33"/>
      <c r="OKC43" s="33"/>
      <c r="OKD43" s="33"/>
      <c r="OKE43" s="33"/>
      <c r="OKF43" s="33"/>
      <c r="OKG43" s="33"/>
      <c r="OKH43" s="33"/>
      <c r="OKI43" s="33"/>
      <c r="OKJ43" s="33"/>
      <c r="OKK43" s="33"/>
      <c r="OKL43" s="33"/>
      <c r="OKM43" s="33"/>
      <c r="OKN43" s="33"/>
      <c r="OKO43" s="33"/>
      <c r="OKP43" s="33"/>
      <c r="OKQ43" s="33"/>
      <c r="OKR43" s="33"/>
      <c r="OKS43" s="33"/>
      <c r="OKT43" s="33"/>
      <c r="OKU43" s="33"/>
      <c r="OKV43" s="33"/>
      <c r="OKW43" s="33"/>
      <c r="OKX43" s="33"/>
      <c r="OKY43" s="33"/>
      <c r="OKZ43" s="33"/>
      <c r="OLA43" s="33"/>
      <c r="OLB43" s="33"/>
      <c r="OLC43" s="33"/>
      <c r="OLD43" s="33"/>
      <c r="OLE43" s="33"/>
      <c r="OLF43" s="33"/>
      <c r="OLG43" s="33"/>
      <c r="OLH43" s="33"/>
      <c r="OLI43" s="33"/>
      <c r="OLJ43" s="33"/>
      <c r="OLK43" s="33"/>
      <c r="OLL43" s="33"/>
      <c r="OLM43" s="33"/>
      <c r="OLN43" s="33"/>
      <c r="OLO43" s="33"/>
      <c r="OLP43" s="33"/>
      <c r="OLQ43" s="33"/>
      <c r="OLR43" s="33"/>
      <c r="OLS43" s="33"/>
      <c r="OLT43" s="33"/>
      <c r="OLU43" s="33"/>
      <c r="OLV43" s="33"/>
      <c r="OLW43" s="33"/>
      <c r="OLX43" s="33"/>
      <c r="OLY43" s="33"/>
      <c r="OLZ43" s="33"/>
      <c r="OMA43" s="33"/>
      <c r="OMB43" s="33"/>
      <c r="OMC43" s="33"/>
      <c r="OMD43" s="33"/>
      <c r="OME43" s="33"/>
      <c r="OMF43" s="33"/>
      <c r="OMG43" s="33"/>
      <c r="OMH43" s="33"/>
      <c r="OMI43" s="33"/>
      <c r="OMJ43" s="33"/>
      <c r="OMK43" s="33"/>
      <c r="OML43" s="33"/>
      <c r="OMM43" s="33"/>
      <c r="OMN43" s="33"/>
      <c r="OMO43" s="33"/>
      <c r="OMP43" s="33"/>
      <c r="OMQ43" s="33"/>
      <c r="OMR43" s="33"/>
      <c r="OMS43" s="33"/>
      <c r="OMT43" s="33"/>
      <c r="OMU43" s="33"/>
      <c r="OMV43" s="33"/>
      <c r="OMW43" s="33"/>
      <c r="OMX43" s="33"/>
      <c r="OMY43" s="33"/>
      <c r="OMZ43" s="33"/>
      <c r="ONA43" s="33"/>
      <c r="ONB43" s="33"/>
      <c r="ONC43" s="33"/>
      <c r="OND43" s="33"/>
      <c r="ONE43" s="33"/>
      <c r="ONF43" s="33"/>
      <c r="ONG43" s="33"/>
      <c r="ONH43" s="33"/>
      <c r="ONI43" s="33"/>
      <c r="ONJ43" s="33"/>
      <c r="ONK43" s="33"/>
      <c r="ONL43" s="33"/>
      <c r="ONM43" s="33"/>
      <c r="ONN43" s="33"/>
      <c r="ONO43" s="33"/>
      <c r="ONP43" s="33"/>
      <c r="ONQ43" s="33"/>
      <c r="ONR43" s="33"/>
      <c r="ONS43" s="33"/>
      <c r="ONT43" s="33"/>
      <c r="ONU43" s="33"/>
      <c r="ONV43" s="33"/>
      <c r="ONW43" s="33"/>
      <c r="ONX43" s="33"/>
      <c r="ONY43" s="33"/>
      <c r="ONZ43" s="33"/>
      <c r="OOA43" s="33"/>
      <c r="OOB43" s="33"/>
      <c r="OOC43" s="33"/>
      <c r="OOD43" s="33"/>
      <c r="OOE43" s="33"/>
      <c r="OOF43" s="33"/>
      <c r="OOG43" s="33"/>
      <c r="OOH43" s="33"/>
      <c r="OOI43" s="33"/>
      <c r="OOJ43" s="33"/>
      <c r="OOK43" s="33"/>
      <c r="OOL43" s="33"/>
      <c r="OOM43" s="33"/>
      <c r="OON43" s="33"/>
      <c r="OOO43" s="33"/>
      <c r="OOP43" s="33"/>
      <c r="OOQ43" s="33"/>
      <c r="OOR43" s="33"/>
      <c r="OOS43" s="33"/>
      <c r="OOT43" s="33"/>
      <c r="OOU43" s="33"/>
      <c r="OOV43" s="33"/>
      <c r="OOW43" s="33"/>
      <c r="OOX43" s="33"/>
      <c r="OOY43" s="33"/>
      <c r="OOZ43" s="33"/>
      <c r="OPA43" s="33"/>
      <c r="OPB43" s="33"/>
      <c r="OPC43" s="33"/>
      <c r="OPD43" s="33"/>
      <c r="OPE43" s="33"/>
      <c r="OPF43" s="33"/>
      <c r="OPG43" s="33"/>
      <c r="OPH43" s="33"/>
      <c r="OPI43" s="33"/>
      <c r="OPJ43" s="33"/>
      <c r="OPK43" s="33"/>
      <c r="OPL43" s="33"/>
      <c r="OPM43" s="33"/>
      <c r="OPN43" s="33"/>
      <c r="OPO43" s="33"/>
      <c r="OPP43" s="33"/>
      <c r="OPQ43" s="33"/>
      <c r="OPR43" s="33"/>
      <c r="OPS43" s="33"/>
      <c r="OPT43" s="33"/>
      <c r="OPU43" s="33"/>
      <c r="OPV43" s="33"/>
      <c r="OPW43" s="33"/>
      <c r="OPX43" s="33"/>
      <c r="OPY43" s="33"/>
      <c r="OPZ43" s="33"/>
      <c r="OQA43" s="33"/>
      <c r="OQB43" s="33"/>
      <c r="OQC43" s="33"/>
      <c r="OQD43" s="33"/>
      <c r="OQE43" s="33"/>
      <c r="OQF43" s="33"/>
      <c r="OQG43" s="33"/>
      <c r="OQH43" s="33"/>
      <c r="OQI43" s="33"/>
      <c r="OQJ43" s="33"/>
      <c r="OQK43" s="33"/>
      <c r="OQL43" s="33"/>
      <c r="OQM43" s="33"/>
      <c r="OQN43" s="33"/>
      <c r="OQO43" s="33"/>
      <c r="OQP43" s="33"/>
      <c r="OQQ43" s="33"/>
      <c r="OQR43" s="33"/>
      <c r="OQS43" s="33"/>
      <c r="OQT43" s="33"/>
      <c r="OQU43" s="33"/>
      <c r="OQV43" s="33"/>
      <c r="OQW43" s="33"/>
      <c r="OQX43" s="33"/>
      <c r="OQY43" s="33"/>
      <c r="OQZ43" s="33"/>
      <c r="ORA43" s="33"/>
      <c r="ORB43" s="33"/>
      <c r="ORC43" s="33"/>
      <c r="ORD43" s="33"/>
      <c r="ORE43" s="33"/>
      <c r="ORF43" s="33"/>
      <c r="ORG43" s="33"/>
      <c r="ORH43" s="33"/>
      <c r="ORI43" s="33"/>
      <c r="ORJ43" s="33"/>
      <c r="ORK43" s="33"/>
      <c r="ORL43" s="33"/>
      <c r="ORM43" s="33"/>
      <c r="ORN43" s="33"/>
      <c r="ORO43" s="33"/>
      <c r="ORP43" s="33"/>
      <c r="ORQ43" s="33"/>
      <c r="ORR43" s="33"/>
      <c r="ORS43" s="33"/>
      <c r="ORT43" s="33"/>
      <c r="ORU43" s="33"/>
      <c r="ORV43" s="33"/>
      <c r="ORW43" s="33"/>
      <c r="ORX43" s="33"/>
      <c r="ORY43" s="33"/>
      <c r="ORZ43" s="33"/>
      <c r="OSA43" s="33"/>
      <c r="OSB43" s="33"/>
      <c r="OSC43" s="33"/>
      <c r="OSD43" s="33"/>
      <c r="OSE43" s="33"/>
      <c r="OSF43" s="33"/>
      <c r="OSG43" s="33"/>
      <c r="OSH43" s="33"/>
      <c r="OSI43" s="33"/>
      <c r="OSJ43" s="33"/>
      <c r="OSK43" s="33"/>
      <c r="OSL43" s="33"/>
      <c r="OSM43" s="33"/>
      <c r="OSN43" s="33"/>
      <c r="OSO43" s="33"/>
      <c r="OSP43" s="33"/>
      <c r="OSQ43" s="33"/>
      <c r="OSR43" s="33"/>
      <c r="OSS43" s="33"/>
      <c r="OST43" s="33"/>
      <c r="OSU43" s="33"/>
      <c r="OSV43" s="33"/>
      <c r="OSW43" s="33"/>
      <c r="OSX43" s="33"/>
      <c r="OSY43" s="33"/>
      <c r="OSZ43" s="33"/>
      <c r="OTA43" s="33"/>
      <c r="OTB43" s="33"/>
      <c r="OTC43" s="33"/>
      <c r="OTD43" s="33"/>
      <c r="OTE43" s="33"/>
      <c r="OTF43" s="33"/>
      <c r="OTG43" s="33"/>
      <c r="OTH43" s="33"/>
      <c r="OTI43" s="33"/>
      <c r="OTJ43" s="33"/>
      <c r="OTK43" s="33"/>
      <c r="OTL43" s="33"/>
      <c r="OTM43" s="33"/>
      <c r="OTN43" s="33"/>
      <c r="OTO43" s="33"/>
      <c r="OTP43" s="33"/>
      <c r="OTQ43" s="33"/>
      <c r="OTR43" s="33"/>
      <c r="OTS43" s="33"/>
      <c r="OTT43" s="33"/>
      <c r="OTU43" s="33"/>
      <c r="OTV43" s="33"/>
      <c r="OTW43" s="33"/>
      <c r="OTX43" s="33"/>
      <c r="OTY43" s="33"/>
      <c r="OTZ43" s="33"/>
      <c r="OUA43" s="33"/>
      <c r="OUB43" s="33"/>
      <c r="OUC43" s="33"/>
      <c r="OUD43" s="33"/>
      <c r="OUE43" s="33"/>
      <c r="OUF43" s="33"/>
      <c r="OUG43" s="33"/>
      <c r="OUH43" s="33"/>
      <c r="OUI43" s="33"/>
      <c r="OUJ43" s="33"/>
      <c r="OUK43" s="33"/>
      <c r="OUL43" s="33"/>
      <c r="OUM43" s="33"/>
      <c r="OUN43" s="33"/>
      <c r="OUO43" s="33"/>
      <c r="OUP43" s="33"/>
      <c r="OUQ43" s="33"/>
      <c r="OUR43" s="33"/>
      <c r="OUS43" s="33"/>
      <c r="OUT43" s="33"/>
      <c r="OUU43" s="33"/>
      <c r="OUV43" s="33"/>
      <c r="OUW43" s="33"/>
      <c r="OUX43" s="33"/>
      <c r="OUY43" s="33"/>
      <c r="OUZ43" s="33"/>
      <c r="OVA43" s="33"/>
      <c r="OVB43" s="33"/>
      <c r="OVC43" s="33"/>
      <c r="OVD43" s="33"/>
      <c r="OVE43" s="33"/>
      <c r="OVF43" s="33"/>
      <c r="OVG43" s="33"/>
      <c r="OVH43" s="33"/>
      <c r="OVI43" s="33"/>
      <c r="OVJ43" s="33"/>
      <c r="OVK43" s="33"/>
      <c r="OVL43" s="33"/>
      <c r="OVM43" s="33"/>
      <c r="OVN43" s="33"/>
      <c r="OVO43" s="33"/>
      <c r="OVP43" s="33"/>
      <c r="OVQ43" s="33"/>
      <c r="OVR43" s="33"/>
      <c r="OVS43" s="33"/>
      <c r="OVT43" s="33"/>
      <c r="OVU43" s="33"/>
      <c r="OVV43" s="33"/>
      <c r="OVW43" s="33"/>
      <c r="OVX43" s="33"/>
      <c r="OVY43" s="33"/>
      <c r="OVZ43" s="33"/>
      <c r="OWA43" s="33"/>
      <c r="OWB43" s="33"/>
      <c r="OWC43" s="33"/>
      <c r="OWD43" s="33"/>
      <c r="OWE43" s="33"/>
      <c r="OWF43" s="33"/>
      <c r="OWG43" s="33"/>
      <c r="OWH43" s="33"/>
      <c r="OWI43" s="33"/>
      <c r="OWJ43" s="33"/>
      <c r="OWK43" s="33"/>
      <c r="OWL43" s="33"/>
      <c r="OWM43" s="33"/>
      <c r="OWN43" s="33"/>
      <c r="OWO43" s="33"/>
      <c r="OWP43" s="33"/>
      <c r="OWQ43" s="33"/>
      <c r="OWR43" s="33"/>
      <c r="OWS43" s="33"/>
      <c r="OWT43" s="33"/>
      <c r="OWU43" s="33"/>
      <c r="OWV43" s="33"/>
      <c r="OWW43" s="33"/>
      <c r="OWX43" s="33"/>
      <c r="OWY43" s="33"/>
      <c r="OWZ43" s="33"/>
      <c r="OXA43" s="33"/>
      <c r="OXB43" s="33"/>
      <c r="OXC43" s="33"/>
      <c r="OXD43" s="33"/>
      <c r="OXE43" s="33"/>
      <c r="OXF43" s="33"/>
      <c r="OXG43" s="33"/>
      <c r="OXH43" s="33"/>
      <c r="OXI43" s="33"/>
      <c r="OXJ43" s="33"/>
      <c r="OXK43" s="33"/>
      <c r="OXL43" s="33"/>
      <c r="OXM43" s="33"/>
      <c r="OXN43" s="33"/>
      <c r="OXO43" s="33"/>
      <c r="OXP43" s="33"/>
      <c r="OXQ43" s="33"/>
      <c r="OXR43" s="33"/>
      <c r="OXS43" s="33"/>
      <c r="OXT43" s="33"/>
      <c r="OXU43" s="33"/>
      <c r="OXV43" s="33"/>
      <c r="OXW43" s="33"/>
      <c r="OXX43" s="33"/>
      <c r="OXY43" s="33"/>
      <c r="OXZ43" s="33"/>
      <c r="OYA43" s="33"/>
      <c r="OYB43" s="33"/>
      <c r="OYC43" s="33"/>
      <c r="OYD43" s="33"/>
      <c r="OYE43" s="33"/>
      <c r="OYF43" s="33"/>
      <c r="OYG43" s="33"/>
      <c r="OYH43" s="33"/>
      <c r="OYI43" s="33"/>
      <c r="OYJ43" s="33"/>
      <c r="OYK43" s="33"/>
      <c r="OYL43" s="33"/>
      <c r="OYM43" s="33"/>
      <c r="OYN43" s="33"/>
      <c r="OYO43" s="33"/>
      <c r="OYP43" s="33"/>
      <c r="OYQ43" s="33"/>
      <c r="OYR43" s="33"/>
      <c r="OYS43" s="33"/>
      <c r="OYT43" s="33"/>
      <c r="OYU43" s="33"/>
      <c r="OYV43" s="33"/>
      <c r="OYW43" s="33"/>
      <c r="OYX43" s="33"/>
      <c r="OYY43" s="33"/>
      <c r="OYZ43" s="33"/>
      <c r="OZA43" s="33"/>
      <c r="OZB43" s="33"/>
      <c r="OZC43" s="33"/>
      <c r="OZD43" s="33"/>
      <c r="OZE43" s="33"/>
      <c r="OZF43" s="33"/>
      <c r="OZG43" s="33"/>
      <c r="OZH43" s="33"/>
      <c r="OZI43" s="33"/>
      <c r="OZJ43" s="33"/>
      <c r="OZK43" s="33"/>
      <c r="OZL43" s="33"/>
      <c r="OZM43" s="33"/>
      <c r="OZN43" s="33"/>
      <c r="OZO43" s="33"/>
      <c r="OZP43" s="33"/>
      <c r="OZQ43" s="33"/>
      <c r="OZR43" s="33"/>
      <c r="OZS43" s="33"/>
      <c r="OZT43" s="33"/>
      <c r="OZU43" s="33"/>
      <c r="OZV43" s="33"/>
      <c r="OZW43" s="33"/>
      <c r="OZX43" s="33"/>
      <c r="OZY43" s="33"/>
      <c r="OZZ43" s="33"/>
      <c r="PAA43" s="33"/>
      <c r="PAB43" s="33"/>
      <c r="PAC43" s="33"/>
      <c r="PAD43" s="33"/>
      <c r="PAE43" s="33"/>
      <c r="PAF43" s="33"/>
      <c r="PAG43" s="33"/>
      <c r="PAH43" s="33"/>
      <c r="PAI43" s="33"/>
      <c r="PAJ43" s="33"/>
      <c r="PAK43" s="33"/>
      <c r="PAL43" s="33"/>
      <c r="PAM43" s="33"/>
      <c r="PAN43" s="33"/>
      <c r="PAO43" s="33"/>
      <c r="PAP43" s="33"/>
      <c r="PAQ43" s="33"/>
      <c r="PAR43" s="33"/>
      <c r="PAS43" s="33"/>
      <c r="PAT43" s="33"/>
      <c r="PAU43" s="33"/>
      <c r="PAV43" s="33"/>
      <c r="PAW43" s="33"/>
      <c r="PAX43" s="33"/>
      <c r="PAY43" s="33"/>
      <c r="PAZ43" s="33"/>
      <c r="PBA43" s="33"/>
      <c r="PBB43" s="33"/>
      <c r="PBC43" s="33"/>
      <c r="PBD43" s="33"/>
      <c r="PBE43" s="33"/>
      <c r="PBF43" s="33"/>
      <c r="PBG43" s="33"/>
      <c r="PBH43" s="33"/>
      <c r="PBI43" s="33"/>
      <c r="PBJ43" s="33"/>
      <c r="PBK43" s="33"/>
      <c r="PBL43" s="33"/>
      <c r="PBM43" s="33"/>
      <c r="PBN43" s="33"/>
      <c r="PBO43" s="33"/>
      <c r="PBP43" s="33"/>
      <c r="PBQ43" s="33"/>
      <c r="PBR43" s="33"/>
      <c r="PBS43" s="33"/>
      <c r="PBT43" s="33"/>
      <c r="PBU43" s="33"/>
      <c r="PBV43" s="33"/>
      <c r="PBW43" s="33"/>
      <c r="PBX43" s="33"/>
      <c r="PBY43" s="33"/>
      <c r="PBZ43" s="33"/>
      <c r="PCA43" s="33"/>
      <c r="PCB43" s="33"/>
      <c r="PCC43" s="33"/>
      <c r="PCD43" s="33"/>
      <c r="PCE43" s="33"/>
      <c r="PCF43" s="33"/>
      <c r="PCG43" s="33"/>
      <c r="PCH43" s="33"/>
      <c r="PCI43" s="33"/>
      <c r="PCJ43" s="33"/>
      <c r="PCK43" s="33"/>
      <c r="PCL43" s="33"/>
      <c r="PCM43" s="33"/>
      <c r="PCN43" s="33"/>
      <c r="PCO43" s="33"/>
      <c r="PCP43" s="33"/>
      <c r="PCQ43" s="33"/>
      <c r="PCR43" s="33"/>
      <c r="PCS43" s="33"/>
      <c r="PCT43" s="33"/>
      <c r="PCU43" s="33"/>
      <c r="PCV43" s="33"/>
      <c r="PCW43" s="33"/>
      <c r="PCX43" s="33"/>
      <c r="PCY43" s="33"/>
      <c r="PCZ43" s="33"/>
      <c r="PDA43" s="33"/>
      <c r="PDB43" s="33"/>
      <c r="PDC43" s="33"/>
      <c r="PDD43" s="33"/>
      <c r="PDE43" s="33"/>
      <c r="PDF43" s="33"/>
      <c r="PDG43" s="33"/>
      <c r="PDH43" s="33"/>
      <c r="PDI43" s="33"/>
      <c r="PDJ43" s="33"/>
      <c r="PDK43" s="33"/>
      <c r="PDL43" s="33"/>
      <c r="PDM43" s="33"/>
      <c r="PDN43" s="33"/>
      <c r="PDO43" s="33"/>
      <c r="PDP43" s="33"/>
      <c r="PDQ43" s="33"/>
      <c r="PDR43" s="33"/>
      <c r="PDS43" s="33"/>
      <c r="PDT43" s="33"/>
      <c r="PDU43" s="33"/>
      <c r="PDV43" s="33"/>
      <c r="PDW43" s="33"/>
      <c r="PDX43" s="33"/>
      <c r="PDY43" s="33"/>
      <c r="PDZ43" s="33"/>
      <c r="PEA43" s="33"/>
      <c r="PEB43" s="33"/>
      <c r="PEC43" s="33"/>
      <c r="PED43" s="33"/>
      <c r="PEE43" s="33"/>
      <c r="PEF43" s="33"/>
      <c r="PEG43" s="33"/>
      <c r="PEH43" s="33"/>
      <c r="PEI43" s="33"/>
      <c r="PEJ43" s="33"/>
      <c r="PEK43" s="33"/>
      <c r="PEL43" s="33"/>
      <c r="PEM43" s="33"/>
      <c r="PEN43" s="33"/>
      <c r="PEO43" s="33"/>
      <c r="PEP43" s="33"/>
      <c r="PEQ43" s="33"/>
      <c r="PER43" s="33"/>
      <c r="PES43" s="33"/>
      <c r="PET43" s="33"/>
      <c r="PEU43" s="33"/>
      <c r="PEV43" s="33"/>
      <c r="PEW43" s="33"/>
      <c r="PEX43" s="33"/>
      <c r="PEY43" s="33"/>
      <c r="PEZ43" s="33"/>
      <c r="PFA43" s="33"/>
      <c r="PFB43" s="33"/>
      <c r="PFC43" s="33"/>
      <c r="PFD43" s="33"/>
      <c r="PFE43" s="33"/>
      <c r="PFF43" s="33"/>
      <c r="PFG43" s="33"/>
      <c r="PFH43" s="33"/>
      <c r="PFI43" s="33"/>
      <c r="PFJ43" s="33"/>
      <c r="PFK43" s="33"/>
      <c r="PFL43" s="33"/>
      <c r="PFM43" s="33"/>
      <c r="PFN43" s="33"/>
      <c r="PFO43" s="33"/>
      <c r="PFP43" s="33"/>
      <c r="PFQ43" s="33"/>
      <c r="PFR43" s="33"/>
      <c r="PFS43" s="33"/>
      <c r="PFT43" s="33"/>
      <c r="PFU43" s="33"/>
      <c r="PFV43" s="33"/>
      <c r="PFW43" s="33"/>
      <c r="PFX43" s="33"/>
      <c r="PFY43" s="33"/>
      <c r="PFZ43" s="33"/>
      <c r="PGA43" s="33"/>
      <c r="PGB43" s="33"/>
      <c r="PGC43" s="33"/>
      <c r="PGD43" s="33"/>
      <c r="PGE43" s="33"/>
      <c r="PGF43" s="33"/>
      <c r="PGG43" s="33"/>
      <c r="PGH43" s="33"/>
      <c r="PGI43" s="33"/>
      <c r="PGJ43" s="33"/>
      <c r="PGK43" s="33"/>
      <c r="PGL43" s="33"/>
      <c r="PGM43" s="33"/>
      <c r="PGN43" s="33"/>
      <c r="PGO43" s="33"/>
      <c r="PGP43" s="33"/>
      <c r="PGQ43" s="33"/>
      <c r="PGR43" s="33"/>
      <c r="PGS43" s="33"/>
      <c r="PGT43" s="33"/>
      <c r="PGU43" s="33"/>
      <c r="PGV43" s="33"/>
      <c r="PGW43" s="33"/>
      <c r="PGX43" s="33"/>
      <c r="PGY43" s="33"/>
      <c r="PGZ43" s="33"/>
      <c r="PHA43" s="33"/>
      <c r="PHB43" s="33"/>
      <c r="PHC43" s="33"/>
      <c r="PHD43" s="33"/>
      <c r="PHE43" s="33"/>
      <c r="PHF43" s="33"/>
      <c r="PHG43" s="33"/>
      <c r="PHH43" s="33"/>
      <c r="PHI43" s="33"/>
      <c r="PHJ43" s="33"/>
      <c r="PHK43" s="33"/>
      <c r="PHL43" s="33"/>
      <c r="PHM43" s="33"/>
      <c r="PHN43" s="33"/>
      <c r="PHO43" s="33"/>
      <c r="PHP43" s="33"/>
      <c r="PHQ43" s="33"/>
      <c r="PHR43" s="33"/>
      <c r="PHS43" s="33"/>
      <c r="PHT43" s="33"/>
      <c r="PHU43" s="33"/>
      <c r="PHV43" s="33"/>
      <c r="PHW43" s="33"/>
      <c r="PHX43" s="33"/>
      <c r="PHY43" s="33"/>
      <c r="PHZ43" s="33"/>
      <c r="PIA43" s="33"/>
      <c r="PIB43" s="33"/>
      <c r="PIC43" s="33"/>
      <c r="PID43" s="33"/>
      <c r="PIE43" s="33"/>
      <c r="PIF43" s="33"/>
      <c r="PIG43" s="33"/>
      <c r="PIH43" s="33"/>
      <c r="PII43" s="33"/>
      <c r="PIJ43" s="33"/>
      <c r="PIK43" s="33"/>
      <c r="PIL43" s="33"/>
      <c r="PIM43" s="33"/>
      <c r="PIN43" s="33"/>
      <c r="PIO43" s="33"/>
      <c r="PIP43" s="33"/>
      <c r="PIQ43" s="33"/>
      <c r="PIR43" s="33"/>
      <c r="PIS43" s="33"/>
      <c r="PIT43" s="33"/>
      <c r="PIU43" s="33"/>
      <c r="PIV43" s="33"/>
      <c r="PIW43" s="33"/>
      <c r="PIX43" s="33"/>
      <c r="PIY43" s="33"/>
      <c r="PIZ43" s="33"/>
      <c r="PJA43" s="33"/>
      <c r="PJB43" s="33"/>
      <c r="PJC43" s="33"/>
      <c r="PJD43" s="33"/>
      <c r="PJE43" s="33"/>
      <c r="PJF43" s="33"/>
      <c r="PJG43" s="33"/>
      <c r="PJH43" s="33"/>
      <c r="PJI43" s="33"/>
      <c r="PJJ43" s="33"/>
      <c r="PJK43" s="33"/>
      <c r="PJL43" s="33"/>
      <c r="PJM43" s="33"/>
      <c r="PJN43" s="33"/>
      <c r="PJO43" s="33"/>
      <c r="PJP43" s="33"/>
      <c r="PJQ43" s="33"/>
      <c r="PJR43" s="33"/>
      <c r="PJS43" s="33"/>
      <c r="PJT43" s="33"/>
      <c r="PJU43" s="33"/>
      <c r="PJV43" s="33"/>
      <c r="PJW43" s="33"/>
      <c r="PJX43" s="33"/>
      <c r="PJY43" s="33"/>
      <c r="PJZ43" s="33"/>
      <c r="PKA43" s="33"/>
      <c r="PKB43" s="33"/>
      <c r="PKC43" s="33"/>
      <c r="PKD43" s="33"/>
      <c r="PKE43" s="33"/>
      <c r="PKF43" s="33"/>
      <c r="PKG43" s="33"/>
      <c r="PKH43" s="33"/>
      <c r="PKI43" s="33"/>
      <c r="PKJ43" s="33"/>
      <c r="PKK43" s="33"/>
      <c r="PKL43" s="33"/>
      <c r="PKM43" s="33"/>
      <c r="PKN43" s="33"/>
      <c r="PKO43" s="33"/>
      <c r="PKP43" s="33"/>
      <c r="PKQ43" s="33"/>
      <c r="PKR43" s="33"/>
      <c r="PKS43" s="33"/>
      <c r="PKT43" s="33"/>
      <c r="PKU43" s="33"/>
      <c r="PKV43" s="33"/>
      <c r="PKW43" s="33"/>
      <c r="PKX43" s="33"/>
      <c r="PKY43" s="33"/>
      <c r="PKZ43" s="33"/>
      <c r="PLA43" s="33"/>
      <c r="PLB43" s="33"/>
      <c r="PLC43" s="33"/>
      <c r="PLD43" s="33"/>
      <c r="PLE43" s="33"/>
      <c r="PLF43" s="33"/>
      <c r="PLG43" s="33"/>
      <c r="PLH43" s="33"/>
      <c r="PLI43" s="33"/>
      <c r="PLJ43" s="33"/>
      <c r="PLK43" s="33"/>
      <c r="PLL43" s="33"/>
      <c r="PLM43" s="33"/>
      <c r="PLN43" s="33"/>
      <c r="PLO43" s="33"/>
      <c r="PLP43" s="33"/>
      <c r="PLQ43" s="33"/>
      <c r="PLR43" s="33"/>
      <c r="PLS43" s="33"/>
      <c r="PLT43" s="33"/>
      <c r="PLU43" s="33"/>
      <c r="PLV43" s="33"/>
      <c r="PLW43" s="33"/>
      <c r="PLX43" s="33"/>
      <c r="PLY43" s="33"/>
      <c r="PLZ43" s="33"/>
      <c r="PMA43" s="33"/>
      <c r="PMB43" s="33"/>
      <c r="PMC43" s="33"/>
      <c r="PMD43" s="33"/>
      <c r="PME43" s="33"/>
      <c r="PMF43" s="33"/>
      <c r="PMG43" s="33"/>
      <c r="PMH43" s="33"/>
      <c r="PMI43" s="33"/>
      <c r="PMJ43" s="33"/>
      <c r="PMK43" s="33"/>
      <c r="PML43" s="33"/>
      <c r="PMM43" s="33"/>
      <c r="PMN43" s="33"/>
      <c r="PMO43" s="33"/>
      <c r="PMP43" s="33"/>
      <c r="PMQ43" s="33"/>
      <c r="PMR43" s="33"/>
      <c r="PMS43" s="33"/>
      <c r="PMT43" s="33"/>
      <c r="PMU43" s="33"/>
      <c r="PMV43" s="33"/>
      <c r="PMW43" s="33"/>
      <c r="PMX43" s="33"/>
      <c r="PMY43" s="33"/>
      <c r="PMZ43" s="33"/>
      <c r="PNA43" s="33"/>
      <c r="PNB43" s="33"/>
      <c r="PNC43" s="33"/>
      <c r="PND43" s="33"/>
      <c r="PNE43" s="33"/>
      <c r="PNF43" s="33"/>
      <c r="PNG43" s="33"/>
      <c r="PNH43" s="33"/>
      <c r="PNI43" s="33"/>
      <c r="PNJ43" s="33"/>
      <c r="PNK43" s="33"/>
      <c r="PNL43" s="33"/>
      <c r="PNM43" s="33"/>
      <c r="PNN43" s="33"/>
      <c r="PNO43" s="33"/>
      <c r="PNP43" s="33"/>
      <c r="PNQ43" s="33"/>
      <c r="PNR43" s="33"/>
      <c r="PNS43" s="33"/>
      <c r="PNT43" s="33"/>
      <c r="PNU43" s="33"/>
      <c r="PNV43" s="33"/>
      <c r="PNW43" s="33"/>
      <c r="PNX43" s="33"/>
      <c r="PNY43" s="33"/>
      <c r="PNZ43" s="33"/>
      <c r="POA43" s="33"/>
      <c r="POB43" s="33"/>
      <c r="POC43" s="33"/>
      <c r="POD43" s="33"/>
      <c r="POE43" s="33"/>
      <c r="POF43" s="33"/>
      <c r="POG43" s="33"/>
      <c r="POH43" s="33"/>
      <c r="POI43" s="33"/>
      <c r="POJ43" s="33"/>
      <c r="POK43" s="33"/>
      <c r="POL43" s="33"/>
      <c r="POM43" s="33"/>
      <c r="PON43" s="33"/>
      <c r="POO43" s="33"/>
      <c r="POP43" s="33"/>
      <c r="POQ43" s="33"/>
      <c r="POR43" s="33"/>
      <c r="POS43" s="33"/>
      <c r="POT43" s="33"/>
      <c r="POU43" s="33"/>
      <c r="POV43" s="33"/>
      <c r="POW43" s="33"/>
      <c r="POX43" s="33"/>
      <c r="POY43" s="33"/>
      <c r="POZ43" s="33"/>
      <c r="PPA43" s="33"/>
      <c r="PPB43" s="33"/>
      <c r="PPC43" s="33"/>
      <c r="PPD43" s="33"/>
      <c r="PPE43" s="33"/>
      <c r="PPF43" s="33"/>
      <c r="PPG43" s="33"/>
      <c r="PPH43" s="33"/>
      <c r="PPI43" s="33"/>
      <c r="PPJ43" s="33"/>
      <c r="PPK43" s="33"/>
      <c r="PPL43" s="33"/>
      <c r="PPM43" s="33"/>
      <c r="PPN43" s="33"/>
      <c r="PPO43" s="33"/>
      <c r="PPP43" s="33"/>
      <c r="PPQ43" s="33"/>
      <c r="PPR43" s="33"/>
      <c r="PPS43" s="33"/>
      <c r="PPT43" s="33"/>
      <c r="PPU43" s="33"/>
      <c r="PPV43" s="33"/>
      <c r="PPW43" s="33"/>
      <c r="PPX43" s="33"/>
      <c r="PPY43" s="33"/>
      <c r="PPZ43" s="33"/>
      <c r="PQA43" s="33"/>
      <c r="PQB43" s="33"/>
      <c r="PQC43" s="33"/>
      <c r="PQD43" s="33"/>
      <c r="PQE43" s="33"/>
      <c r="PQF43" s="33"/>
      <c r="PQG43" s="33"/>
      <c r="PQH43" s="33"/>
      <c r="PQI43" s="33"/>
      <c r="PQJ43" s="33"/>
      <c r="PQK43" s="33"/>
      <c r="PQL43" s="33"/>
      <c r="PQM43" s="33"/>
      <c r="PQN43" s="33"/>
      <c r="PQO43" s="33"/>
      <c r="PQP43" s="33"/>
      <c r="PQQ43" s="33"/>
      <c r="PQR43" s="33"/>
      <c r="PQS43" s="33"/>
      <c r="PQT43" s="33"/>
      <c r="PQU43" s="33"/>
      <c r="PQV43" s="33"/>
      <c r="PQW43" s="33"/>
      <c r="PQX43" s="33"/>
      <c r="PQY43" s="33"/>
      <c r="PQZ43" s="33"/>
      <c r="PRA43" s="33"/>
      <c r="PRB43" s="33"/>
      <c r="PRC43" s="33"/>
      <c r="PRD43" s="33"/>
      <c r="PRE43" s="33"/>
      <c r="PRF43" s="33"/>
      <c r="PRG43" s="33"/>
      <c r="PRH43" s="33"/>
      <c r="PRI43" s="33"/>
      <c r="PRJ43" s="33"/>
      <c r="PRK43" s="33"/>
      <c r="PRL43" s="33"/>
      <c r="PRM43" s="33"/>
      <c r="PRN43" s="33"/>
      <c r="PRO43" s="33"/>
      <c r="PRP43" s="33"/>
      <c r="PRQ43" s="33"/>
      <c r="PRR43" s="33"/>
      <c r="PRS43" s="33"/>
      <c r="PRT43" s="33"/>
      <c r="PRU43" s="33"/>
      <c r="PRV43" s="33"/>
      <c r="PRW43" s="33"/>
      <c r="PRX43" s="33"/>
      <c r="PRY43" s="33"/>
      <c r="PRZ43" s="33"/>
      <c r="PSA43" s="33"/>
      <c r="PSB43" s="33"/>
      <c r="PSC43" s="33"/>
      <c r="PSD43" s="33"/>
      <c r="PSE43" s="33"/>
      <c r="PSF43" s="33"/>
      <c r="PSG43" s="33"/>
      <c r="PSH43" s="33"/>
      <c r="PSI43" s="33"/>
      <c r="PSJ43" s="33"/>
      <c r="PSK43" s="33"/>
      <c r="PSL43" s="33"/>
      <c r="PSM43" s="33"/>
      <c r="PSN43" s="33"/>
      <c r="PSO43" s="33"/>
      <c r="PSP43" s="33"/>
      <c r="PSQ43" s="33"/>
      <c r="PSR43" s="33"/>
      <c r="PSS43" s="33"/>
      <c r="PST43" s="33"/>
      <c r="PSU43" s="33"/>
      <c r="PSV43" s="33"/>
      <c r="PSW43" s="33"/>
      <c r="PSX43" s="33"/>
      <c r="PSY43" s="33"/>
      <c r="PSZ43" s="33"/>
      <c r="PTA43" s="33"/>
      <c r="PTB43" s="33"/>
      <c r="PTC43" s="33"/>
      <c r="PTD43" s="33"/>
      <c r="PTE43" s="33"/>
      <c r="PTF43" s="33"/>
      <c r="PTG43" s="33"/>
      <c r="PTH43" s="33"/>
      <c r="PTI43" s="33"/>
      <c r="PTJ43" s="33"/>
      <c r="PTK43" s="33"/>
      <c r="PTL43" s="33"/>
      <c r="PTM43" s="33"/>
      <c r="PTN43" s="33"/>
      <c r="PTO43" s="33"/>
      <c r="PTP43" s="33"/>
      <c r="PTQ43" s="33"/>
      <c r="PTR43" s="33"/>
      <c r="PTS43" s="33"/>
      <c r="PTT43" s="33"/>
      <c r="PTU43" s="33"/>
      <c r="PTV43" s="33"/>
      <c r="PTW43" s="33"/>
      <c r="PTX43" s="33"/>
      <c r="PTY43" s="33"/>
      <c r="PTZ43" s="33"/>
      <c r="PUA43" s="33"/>
      <c r="PUB43" s="33"/>
      <c r="PUC43" s="33"/>
      <c r="PUD43" s="33"/>
      <c r="PUE43" s="33"/>
      <c r="PUF43" s="33"/>
      <c r="PUG43" s="33"/>
      <c r="PUH43" s="33"/>
      <c r="PUI43" s="33"/>
      <c r="PUJ43" s="33"/>
      <c r="PUK43" s="33"/>
      <c r="PUL43" s="33"/>
      <c r="PUM43" s="33"/>
      <c r="PUN43" s="33"/>
      <c r="PUO43" s="33"/>
      <c r="PUP43" s="33"/>
      <c r="PUQ43" s="33"/>
      <c r="PUR43" s="33"/>
      <c r="PUS43" s="33"/>
      <c r="PUT43" s="33"/>
      <c r="PUU43" s="33"/>
      <c r="PUV43" s="33"/>
      <c r="PUW43" s="33"/>
      <c r="PUX43" s="33"/>
      <c r="PUY43" s="33"/>
      <c r="PUZ43" s="33"/>
      <c r="PVA43" s="33"/>
      <c r="PVB43" s="33"/>
      <c r="PVC43" s="33"/>
      <c r="PVD43" s="33"/>
      <c r="PVE43" s="33"/>
      <c r="PVF43" s="33"/>
      <c r="PVG43" s="33"/>
      <c r="PVH43" s="33"/>
      <c r="PVI43" s="33"/>
      <c r="PVJ43" s="33"/>
      <c r="PVK43" s="33"/>
      <c r="PVL43" s="33"/>
      <c r="PVM43" s="33"/>
      <c r="PVN43" s="33"/>
      <c r="PVO43" s="33"/>
      <c r="PVP43" s="33"/>
      <c r="PVQ43" s="33"/>
      <c r="PVR43" s="33"/>
      <c r="PVS43" s="33"/>
      <c r="PVT43" s="33"/>
      <c r="PVU43" s="33"/>
      <c r="PVV43" s="33"/>
      <c r="PVW43" s="33"/>
      <c r="PVX43" s="33"/>
      <c r="PVY43" s="33"/>
      <c r="PVZ43" s="33"/>
      <c r="PWA43" s="33"/>
      <c r="PWB43" s="33"/>
      <c r="PWC43" s="33"/>
      <c r="PWD43" s="33"/>
      <c r="PWE43" s="33"/>
      <c r="PWF43" s="33"/>
      <c r="PWG43" s="33"/>
      <c r="PWH43" s="33"/>
      <c r="PWI43" s="33"/>
      <c r="PWJ43" s="33"/>
      <c r="PWK43" s="33"/>
      <c r="PWL43" s="33"/>
      <c r="PWM43" s="33"/>
      <c r="PWN43" s="33"/>
      <c r="PWO43" s="33"/>
      <c r="PWP43" s="33"/>
      <c r="PWQ43" s="33"/>
      <c r="PWR43" s="33"/>
      <c r="PWS43" s="33"/>
      <c r="PWT43" s="33"/>
      <c r="PWU43" s="33"/>
      <c r="PWV43" s="33"/>
      <c r="PWW43" s="33"/>
      <c r="PWX43" s="33"/>
      <c r="PWY43" s="33"/>
      <c r="PWZ43" s="33"/>
      <c r="PXA43" s="33"/>
      <c r="PXB43" s="33"/>
      <c r="PXC43" s="33"/>
      <c r="PXD43" s="33"/>
      <c r="PXE43" s="33"/>
      <c r="PXF43" s="33"/>
      <c r="PXG43" s="33"/>
      <c r="PXH43" s="33"/>
      <c r="PXI43" s="33"/>
      <c r="PXJ43" s="33"/>
      <c r="PXK43" s="33"/>
      <c r="PXL43" s="33"/>
      <c r="PXM43" s="33"/>
      <c r="PXN43" s="33"/>
      <c r="PXO43" s="33"/>
      <c r="PXP43" s="33"/>
      <c r="PXQ43" s="33"/>
      <c r="PXR43" s="33"/>
      <c r="PXS43" s="33"/>
      <c r="PXT43" s="33"/>
      <c r="PXU43" s="33"/>
      <c r="PXV43" s="33"/>
      <c r="PXW43" s="33"/>
      <c r="PXX43" s="33"/>
      <c r="PXY43" s="33"/>
      <c r="PXZ43" s="33"/>
      <c r="PYA43" s="33"/>
      <c r="PYB43" s="33"/>
      <c r="PYC43" s="33"/>
      <c r="PYD43" s="33"/>
      <c r="PYE43" s="33"/>
      <c r="PYF43" s="33"/>
      <c r="PYG43" s="33"/>
      <c r="PYH43" s="33"/>
      <c r="PYI43" s="33"/>
      <c r="PYJ43" s="33"/>
      <c r="PYK43" s="33"/>
      <c r="PYL43" s="33"/>
      <c r="PYM43" s="33"/>
      <c r="PYN43" s="33"/>
      <c r="PYO43" s="33"/>
      <c r="PYP43" s="33"/>
      <c r="PYQ43" s="33"/>
      <c r="PYR43" s="33"/>
      <c r="PYS43" s="33"/>
      <c r="PYT43" s="33"/>
      <c r="PYU43" s="33"/>
      <c r="PYV43" s="33"/>
      <c r="PYW43" s="33"/>
      <c r="PYX43" s="33"/>
      <c r="PYY43" s="33"/>
      <c r="PYZ43" s="33"/>
      <c r="PZA43" s="33"/>
      <c r="PZB43" s="33"/>
      <c r="PZC43" s="33"/>
      <c r="PZD43" s="33"/>
      <c r="PZE43" s="33"/>
      <c r="PZF43" s="33"/>
      <c r="PZG43" s="33"/>
      <c r="PZH43" s="33"/>
      <c r="PZI43" s="33"/>
      <c r="PZJ43" s="33"/>
      <c r="PZK43" s="33"/>
      <c r="PZL43" s="33"/>
      <c r="PZM43" s="33"/>
      <c r="PZN43" s="33"/>
      <c r="PZO43" s="33"/>
      <c r="PZP43" s="33"/>
      <c r="PZQ43" s="33"/>
      <c r="PZR43" s="33"/>
      <c r="PZS43" s="33"/>
      <c r="PZT43" s="33"/>
      <c r="PZU43" s="33"/>
      <c r="PZV43" s="33"/>
      <c r="PZW43" s="33"/>
      <c r="PZX43" s="33"/>
      <c r="PZY43" s="33"/>
      <c r="PZZ43" s="33"/>
      <c r="QAA43" s="33"/>
      <c r="QAB43" s="33"/>
      <c r="QAC43" s="33"/>
      <c r="QAD43" s="33"/>
      <c r="QAE43" s="33"/>
      <c r="QAF43" s="33"/>
      <c r="QAG43" s="33"/>
      <c r="QAH43" s="33"/>
      <c r="QAI43" s="33"/>
      <c r="QAJ43" s="33"/>
      <c r="QAK43" s="33"/>
      <c r="QAL43" s="33"/>
      <c r="QAM43" s="33"/>
      <c r="QAN43" s="33"/>
      <c r="QAO43" s="33"/>
      <c r="QAP43" s="33"/>
      <c r="QAQ43" s="33"/>
      <c r="QAR43" s="33"/>
      <c r="QAS43" s="33"/>
      <c r="QAT43" s="33"/>
      <c r="QAU43" s="33"/>
      <c r="QAV43" s="33"/>
      <c r="QAW43" s="33"/>
      <c r="QAX43" s="33"/>
      <c r="QAY43" s="33"/>
      <c r="QAZ43" s="33"/>
      <c r="QBA43" s="33"/>
      <c r="QBB43" s="33"/>
      <c r="QBC43" s="33"/>
      <c r="QBD43" s="33"/>
      <c r="QBE43" s="33"/>
      <c r="QBF43" s="33"/>
      <c r="QBG43" s="33"/>
      <c r="QBH43" s="33"/>
      <c r="QBI43" s="33"/>
      <c r="QBJ43" s="33"/>
      <c r="QBK43" s="33"/>
      <c r="QBL43" s="33"/>
      <c r="QBM43" s="33"/>
      <c r="QBN43" s="33"/>
      <c r="QBO43" s="33"/>
      <c r="QBP43" s="33"/>
      <c r="QBQ43" s="33"/>
      <c r="QBR43" s="33"/>
      <c r="QBS43" s="33"/>
      <c r="QBT43" s="33"/>
      <c r="QBU43" s="33"/>
      <c r="QBV43" s="33"/>
      <c r="QBW43" s="33"/>
      <c r="QBX43" s="33"/>
      <c r="QBY43" s="33"/>
      <c r="QBZ43" s="33"/>
      <c r="QCA43" s="33"/>
      <c r="QCB43" s="33"/>
      <c r="QCC43" s="33"/>
      <c r="QCD43" s="33"/>
      <c r="QCE43" s="33"/>
      <c r="QCF43" s="33"/>
      <c r="QCG43" s="33"/>
      <c r="QCH43" s="33"/>
      <c r="QCI43" s="33"/>
      <c r="QCJ43" s="33"/>
      <c r="QCK43" s="33"/>
      <c r="QCL43" s="33"/>
      <c r="QCM43" s="33"/>
      <c r="QCN43" s="33"/>
      <c r="QCO43" s="33"/>
      <c r="QCP43" s="33"/>
      <c r="QCQ43" s="33"/>
      <c r="QCR43" s="33"/>
      <c r="QCS43" s="33"/>
      <c r="QCT43" s="33"/>
      <c r="QCU43" s="33"/>
      <c r="QCV43" s="33"/>
      <c r="QCW43" s="33"/>
      <c r="QCX43" s="33"/>
      <c r="QCY43" s="33"/>
      <c r="QCZ43" s="33"/>
      <c r="QDA43" s="33"/>
      <c r="QDB43" s="33"/>
      <c r="QDC43" s="33"/>
      <c r="QDD43" s="33"/>
      <c r="QDE43" s="33"/>
      <c r="QDF43" s="33"/>
      <c r="QDG43" s="33"/>
      <c r="QDH43" s="33"/>
      <c r="QDI43" s="33"/>
      <c r="QDJ43" s="33"/>
      <c r="QDK43" s="33"/>
      <c r="QDL43" s="33"/>
      <c r="QDM43" s="33"/>
      <c r="QDN43" s="33"/>
      <c r="QDO43" s="33"/>
      <c r="QDP43" s="33"/>
      <c r="QDQ43" s="33"/>
      <c r="QDR43" s="33"/>
      <c r="QDS43" s="33"/>
      <c r="QDT43" s="33"/>
      <c r="QDU43" s="33"/>
      <c r="QDV43" s="33"/>
      <c r="QDW43" s="33"/>
      <c r="QDX43" s="33"/>
      <c r="QDY43" s="33"/>
      <c r="QDZ43" s="33"/>
      <c r="QEA43" s="33"/>
      <c r="QEB43" s="33"/>
      <c r="QEC43" s="33"/>
      <c r="QED43" s="33"/>
      <c r="QEE43" s="33"/>
      <c r="QEF43" s="33"/>
      <c r="QEG43" s="33"/>
      <c r="QEH43" s="33"/>
      <c r="QEI43" s="33"/>
      <c r="QEJ43" s="33"/>
      <c r="QEK43" s="33"/>
      <c r="QEL43" s="33"/>
      <c r="QEM43" s="33"/>
      <c r="QEN43" s="33"/>
      <c r="QEO43" s="33"/>
      <c r="QEP43" s="33"/>
      <c r="QEQ43" s="33"/>
      <c r="QER43" s="33"/>
      <c r="QES43" s="33"/>
      <c r="QET43" s="33"/>
      <c r="QEU43" s="33"/>
      <c r="QEV43" s="33"/>
      <c r="QEW43" s="33"/>
      <c r="QEX43" s="33"/>
      <c r="QEY43" s="33"/>
      <c r="QEZ43" s="33"/>
      <c r="QFA43" s="33"/>
      <c r="QFB43" s="33"/>
      <c r="QFC43" s="33"/>
      <c r="QFD43" s="33"/>
      <c r="QFE43" s="33"/>
      <c r="QFF43" s="33"/>
      <c r="QFG43" s="33"/>
      <c r="QFH43" s="33"/>
      <c r="QFI43" s="33"/>
      <c r="QFJ43" s="33"/>
      <c r="QFK43" s="33"/>
      <c r="QFL43" s="33"/>
      <c r="QFM43" s="33"/>
      <c r="QFN43" s="33"/>
      <c r="QFO43" s="33"/>
      <c r="QFP43" s="33"/>
      <c r="QFQ43" s="33"/>
      <c r="QFR43" s="33"/>
      <c r="QFS43" s="33"/>
      <c r="QFT43" s="33"/>
      <c r="QFU43" s="33"/>
      <c r="QFV43" s="33"/>
      <c r="QFW43" s="33"/>
      <c r="QFX43" s="33"/>
      <c r="QFY43" s="33"/>
      <c r="QFZ43" s="33"/>
      <c r="QGA43" s="33"/>
      <c r="QGB43" s="33"/>
      <c r="QGC43" s="33"/>
      <c r="QGD43" s="33"/>
      <c r="QGE43" s="33"/>
      <c r="QGF43" s="33"/>
      <c r="QGG43" s="33"/>
      <c r="QGH43" s="33"/>
      <c r="QGI43" s="33"/>
      <c r="QGJ43" s="33"/>
      <c r="QGK43" s="33"/>
      <c r="QGL43" s="33"/>
      <c r="QGM43" s="33"/>
      <c r="QGN43" s="33"/>
      <c r="QGO43" s="33"/>
      <c r="QGP43" s="33"/>
      <c r="QGQ43" s="33"/>
      <c r="QGR43" s="33"/>
      <c r="QGS43" s="33"/>
      <c r="QGT43" s="33"/>
      <c r="QGU43" s="33"/>
      <c r="QGV43" s="33"/>
      <c r="QGW43" s="33"/>
      <c r="QGX43" s="33"/>
      <c r="QGY43" s="33"/>
      <c r="QGZ43" s="33"/>
      <c r="QHA43" s="33"/>
      <c r="QHB43" s="33"/>
      <c r="QHC43" s="33"/>
      <c r="QHD43" s="33"/>
      <c r="QHE43" s="33"/>
      <c r="QHF43" s="33"/>
      <c r="QHG43" s="33"/>
      <c r="QHH43" s="33"/>
      <c r="QHI43" s="33"/>
      <c r="QHJ43" s="33"/>
      <c r="QHK43" s="33"/>
      <c r="QHL43" s="33"/>
      <c r="QHM43" s="33"/>
      <c r="QHN43" s="33"/>
      <c r="QHO43" s="33"/>
      <c r="QHP43" s="33"/>
      <c r="QHQ43" s="33"/>
      <c r="QHR43" s="33"/>
      <c r="QHS43" s="33"/>
      <c r="QHT43" s="33"/>
      <c r="QHU43" s="33"/>
      <c r="QHV43" s="33"/>
      <c r="QHW43" s="33"/>
      <c r="QHX43" s="33"/>
      <c r="QHY43" s="33"/>
      <c r="QHZ43" s="33"/>
      <c r="QIA43" s="33"/>
      <c r="QIB43" s="33"/>
      <c r="QIC43" s="33"/>
      <c r="QID43" s="33"/>
      <c r="QIE43" s="33"/>
      <c r="QIF43" s="33"/>
      <c r="QIG43" s="33"/>
      <c r="QIH43" s="33"/>
      <c r="QII43" s="33"/>
      <c r="QIJ43" s="33"/>
      <c r="QIK43" s="33"/>
      <c r="QIL43" s="33"/>
      <c r="QIM43" s="33"/>
      <c r="QIN43" s="33"/>
      <c r="QIO43" s="33"/>
      <c r="QIP43" s="33"/>
      <c r="QIQ43" s="33"/>
      <c r="QIR43" s="33"/>
      <c r="QIS43" s="33"/>
      <c r="QIT43" s="33"/>
      <c r="QIU43" s="33"/>
      <c r="QIV43" s="33"/>
      <c r="QIW43" s="33"/>
      <c r="QIX43" s="33"/>
      <c r="QIY43" s="33"/>
      <c r="QIZ43" s="33"/>
      <c r="QJA43" s="33"/>
      <c r="QJB43" s="33"/>
      <c r="QJC43" s="33"/>
      <c r="QJD43" s="33"/>
      <c r="QJE43" s="33"/>
      <c r="QJF43" s="33"/>
      <c r="QJG43" s="33"/>
      <c r="QJH43" s="33"/>
      <c r="QJI43" s="33"/>
      <c r="QJJ43" s="33"/>
      <c r="QJK43" s="33"/>
      <c r="QJL43" s="33"/>
      <c r="QJM43" s="33"/>
      <c r="QJN43" s="33"/>
      <c r="QJO43" s="33"/>
      <c r="QJP43" s="33"/>
      <c r="QJQ43" s="33"/>
      <c r="QJR43" s="33"/>
      <c r="QJS43" s="33"/>
      <c r="QJT43" s="33"/>
      <c r="QJU43" s="33"/>
      <c r="QJV43" s="33"/>
      <c r="QJW43" s="33"/>
      <c r="QJX43" s="33"/>
      <c r="QJY43" s="33"/>
      <c r="QJZ43" s="33"/>
      <c r="QKA43" s="33"/>
      <c r="QKB43" s="33"/>
      <c r="QKC43" s="33"/>
      <c r="QKD43" s="33"/>
      <c r="QKE43" s="33"/>
      <c r="QKF43" s="33"/>
      <c r="QKG43" s="33"/>
      <c r="QKH43" s="33"/>
      <c r="QKI43" s="33"/>
      <c r="QKJ43" s="33"/>
      <c r="QKK43" s="33"/>
      <c r="QKL43" s="33"/>
      <c r="QKM43" s="33"/>
      <c r="QKN43" s="33"/>
      <c r="QKO43" s="33"/>
      <c r="QKP43" s="33"/>
      <c r="QKQ43" s="33"/>
      <c r="QKR43" s="33"/>
      <c r="QKS43" s="33"/>
      <c r="QKT43" s="33"/>
      <c r="QKU43" s="33"/>
      <c r="QKV43" s="33"/>
      <c r="QKW43" s="33"/>
      <c r="QKX43" s="33"/>
      <c r="QKY43" s="33"/>
      <c r="QKZ43" s="33"/>
      <c r="QLA43" s="33"/>
      <c r="QLB43" s="33"/>
      <c r="QLC43" s="33"/>
      <c r="QLD43" s="33"/>
      <c r="QLE43" s="33"/>
      <c r="QLF43" s="33"/>
      <c r="QLG43" s="33"/>
      <c r="QLH43" s="33"/>
      <c r="QLI43" s="33"/>
      <c r="QLJ43" s="33"/>
      <c r="QLK43" s="33"/>
      <c r="QLL43" s="33"/>
      <c r="QLM43" s="33"/>
      <c r="QLN43" s="33"/>
      <c r="QLO43" s="33"/>
      <c r="QLP43" s="33"/>
      <c r="QLQ43" s="33"/>
      <c r="QLR43" s="33"/>
      <c r="QLS43" s="33"/>
      <c r="QLT43" s="33"/>
      <c r="QLU43" s="33"/>
      <c r="QLV43" s="33"/>
      <c r="QLW43" s="33"/>
      <c r="QLX43" s="33"/>
      <c r="QLY43" s="33"/>
      <c r="QLZ43" s="33"/>
      <c r="QMA43" s="33"/>
      <c r="QMB43" s="33"/>
      <c r="QMC43" s="33"/>
      <c r="QMD43" s="33"/>
      <c r="QME43" s="33"/>
      <c r="QMF43" s="33"/>
      <c r="QMG43" s="33"/>
      <c r="QMH43" s="33"/>
      <c r="QMI43" s="33"/>
      <c r="QMJ43" s="33"/>
      <c r="QMK43" s="33"/>
      <c r="QML43" s="33"/>
      <c r="QMM43" s="33"/>
      <c r="QMN43" s="33"/>
      <c r="QMO43" s="33"/>
      <c r="QMP43" s="33"/>
      <c r="QMQ43" s="33"/>
      <c r="QMR43" s="33"/>
      <c r="QMS43" s="33"/>
      <c r="QMT43" s="33"/>
      <c r="QMU43" s="33"/>
      <c r="QMV43" s="33"/>
      <c r="QMW43" s="33"/>
      <c r="QMX43" s="33"/>
      <c r="QMY43" s="33"/>
      <c r="QMZ43" s="33"/>
      <c r="QNA43" s="33"/>
      <c r="QNB43" s="33"/>
      <c r="QNC43" s="33"/>
      <c r="QND43" s="33"/>
      <c r="QNE43" s="33"/>
      <c r="QNF43" s="33"/>
      <c r="QNG43" s="33"/>
      <c r="QNH43" s="33"/>
      <c r="QNI43" s="33"/>
      <c r="QNJ43" s="33"/>
      <c r="QNK43" s="33"/>
      <c r="QNL43" s="33"/>
      <c r="QNM43" s="33"/>
      <c r="QNN43" s="33"/>
      <c r="QNO43" s="33"/>
      <c r="QNP43" s="33"/>
      <c r="QNQ43" s="33"/>
      <c r="QNR43" s="33"/>
      <c r="QNS43" s="33"/>
      <c r="QNT43" s="33"/>
      <c r="QNU43" s="33"/>
      <c r="QNV43" s="33"/>
      <c r="QNW43" s="33"/>
      <c r="QNX43" s="33"/>
      <c r="QNY43" s="33"/>
      <c r="QNZ43" s="33"/>
      <c r="QOA43" s="33"/>
      <c r="QOB43" s="33"/>
      <c r="QOC43" s="33"/>
      <c r="QOD43" s="33"/>
      <c r="QOE43" s="33"/>
      <c r="QOF43" s="33"/>
      <c r="QOG43" s="33"/>
      <c r="QOH43" s="33"/>
      <c r="QOI43" s="33"/>
      <c r="QOJ43" s="33"/>
      <c r="QOK43" s="33"/>
      <c r="QOL43" s="33"/>
      <c r="QOM43" s="33"/>
      <c r="QON43" s="33"/>
      <c r="QOO43" s="33"/>
      <c r="QOP43" s="33"/>
      <c r="QOQ43" s="33"/>
      <c r="QOR43" s="33"/>
      <c r="QOS43" s="33"/>
      <c r="QOT43" s="33"/>
      <c r="QOU43" s="33"/>
      <c r="QOV43" s="33"/>
      <c r="QOW43" s="33"/>
      <c r="QOX43" s="33"/>
      <c r="QOY43" s="33"/>
      <c r="QOZ43" s="33"/>
      <c r="QPA43" s="33"/>
      <c r="QPB43" s="33"/>
      <c r="QPC43" s="33"/>
      <c r="QPD43" s="33"/>
      <c r="QPE43" s="33"/>
      <c r="QPF43" s="33"/>
      <c r="QPG43" s="33"/>
      <c r="QPH43" s="33"/>
      <c r="QPI43" s="33"/>
      <c r="QPJ43" s="33"/>
      <c r="QPK43" s="33"/>
      <c r="QPL43" s="33"/>
      <c r="QPM43" s="33"/>
      <c r="QPN43" s="33"/>
      <c r="QPO43" s="33"/>
      <c r="QPP43" s="33"/>
      <c r="QPQ43" s="33"/>
      <c r="QPR43" s="33"/>
      <c r="QPS43" s="33"/>
      <c r="QPT43" s="33"/>
      <c r="QPU43" s="33"/>
      <c r="QPV43" s="33"/>
      <c r="QPW43" s="33"/>
      <c r="QPX43" s="33"/>
      <c r="QPY43" s="33"/>
      <c r="QPZ43" s="33"/>
      <c r="QQA43" s="33"/>
      <c r="QQB43" s="33"/>
      <c r="QQC43" s="33"/>
      <c r="QQD43" s="33"/>
      <c r="QQE43" s="33"/>
      <c r="QQF43" s="33"/>
      <c r="QQG43" s="33"/>
      <c r="QQH43" s="33"/>
      <c r="QQI43" s="33"/>
      <c r="QQJ43" s="33"/>
      <c r="QQK43" s="33"/>
      <c r="QQL43" s="33"/>
      <c r="QQM43" s="33"/>
      <c r="QQN43" s="33"/>
      <c r="QQO43" s="33"/>
      <c r="QQP43" s="33"/>
      <c r="QQQ43" s="33"/>
      <c r="QQR43" s="33"/>
      <c r="QQS43" s="33"/>
      <c r="QQT43" s="33"/>
      <c r="QQU43" s="33"/>
      <c r="QQV43" s="33"/>
      <c r="QQW43" s="33"/>
      <c r="QQX43" s="33"/>
      <c r="QQY43" s="33"/>
      <c r="QQZ43" s="33"/>
      <c r="QRA43" s="33"/>
      <c r="QRB43" s="33"/>
      <c r="QRC43" s="33"/>
      <c r="QRD43" s="33"/>
      <c r="QRE43" s="33"/>
      <c r="QRF43" s="33"/>
      <c r="QRG43" s="33"/>
      <c r="QRH43" s="33"/>
      <c r="QRI43" s="33"/>
      <c r="QRJ43" s="33"/>
      <c r="QRK43" s="33"/>
      <c r="QRL43" s="33"/>
      <c r="QRM43" s="33"/>
      <c r="QRN43" s="33"/>
      <c r="QRO43" s="33"/>
      <c r="QRP43" s="33"/>
      <c r="QRQ43" s="33"/>
      <c r="QRR43" s="33"/>
      <c r="QRS43" s="33"/>
      <c r="QRT43" s="33"/>
      <c r="QRU43" s="33"/>
      <c r="QRV43" s="33"/>
      <c r="QRW43" s="33"/>
      <c r="QRX43" s="33"/>
      <c r="QRY43" s="33"/>
      <c r="QRZ43" s="33"/>
      <c r="QSA43" s="33"/>
      <c r="QSB43" s="33"/>
      <c r="QSC43" s="33"/>
      <c r="QSD43" s="33"/>
      <c r="QSE43" s="33"/>
      <c r="QSF43" s="33"/>
      <c r="QSG43" s="33"/>
      <c r="QSH43" s="33"/>
      <c r="QSI43" s="33"/>
      <c r="QSJ43" s="33"/>
      <c r="QSK43" s="33"/>
      <c r="QSL43" s="33"/>
      <c r="QSM43" s="33"/>
      <c r="QSN43" s="33"/>
      <c r="QSO43" s="33"/>
      <c r="QSP43" s="33"/>
      <c r="QSQ43" s="33"/>
      <c r="QSR43" s="33"/>
      <c r="QSS43" s="33"/>
      <c r="QST43" s="33"/>
      <c r="QSU43" s="33"/>
      <c r="QSV43" s="33"/>
      <c r="QSW43" s="33"/>
      <c r="QSX43" s="33"/>
      <c r="QSY43" s="33"/>
      <c r="QSZ43" s="33"/>
      <c r="QTA43" s="33"/>
      <c r="QTB43" s="33"/>
      <c r="QTC43" s="33"/>
      <c r="QTD43" s="33"/>
      <c r="QTE43" s="33"/>
      <c r="QTF43" s="33"/>
      <c r="QTG43" s="33"/>
      <c r="QTH43" s="33"/>
      <c r="QTI43" s="33"/>
      <c r="QTJ43" s="33"/>
      <c r="QTK43" s="33"/>
      <c r="QTL43" s="33"/>
      <c r="QTM43" s="33"/>
      <c r="QTN43" s="33"/>
      <c r="QTO43" s="33"/>
      <c r="QTP43" s="33"/>
      <c r="QTQ43" s="33"/>
      <c r="QTR43" s="33"/>
      <c r="QTS43" s="33"/>
      <c r="QTT43" s="33"/>
      <c r="QTU43" s="33"/>
      <c r="QTV43" s="33"/>
      <c r="QTW43" s="33"/>
      <c r="QTX43" s="33"/>
      <c r="QTY43" s="33"/>
      <c r="QTZ43" s="33"/>
      <c r="QUA43" s="33"/>
      <c r="QUB43" s="33"/>
      <c r="QUC43" s="33"/>
      <c r="QUD43" s="33"/>
      <c r="QUE43" s="33"/>
      <c r="QUF43" s="33"/>
      <c r="QUG43" s="33"/>
      <c r="QUH43" s="33"/>
      <c r="QUI43" s="33"/>
      <c r="QUJ43" s="33"/>
      <c r="QUK43" s="33"/>
      <c r="QUL43" s="33"/>
      <c r="QUM43" s="33"/>
      <c r="QUN43" s="33"/>
      <c r="QUO43" s="33"/>
      <c r="QUP43" s="33"/>
      <c r="QUQ43" s="33"/>
      <c r="QUR43" s="33"/>
      <c r="QUS43" s="33"/>
      <c r="QUT43" s="33"/>
      <c r="QUU43" s="33"/>
      <c r="QUV43" s="33"/>
      <c r="QUW43" s="33"/>
      <c r="QUX43" s="33"/>
      <c r="QUY43" s="33"/>
      <c r="QUZ43" s="33"/>
      <c r="QVA43" s="33"/>
      <c r="QVB43" s="33"/>
      <c r="QVC43" s="33"/>
      <c r="QVD43" s="33"/>
      <c r="QVE43" s="33"/>
      <c r="QVF43" s="33"/>
      <c r="QVG43" s="33"/>
      <c r="QVH43" s="33"/>
      <c r="QVI43" s="33"/>
      <c r="QVJ43" s="33"/>
      <c r="QVK43" s="33"/>
      <c r="QVL43" s="33"/>
      <c r="QVM43" s="33"/>
      <c r="QVN43" s="33"/>
      <c r="QVO43" s="33"/>
      <c r="QVP43" s="33"/>
      <c r="QVQ43" s="33"/>
      <c r="QVR43" s="33"/>
      <c r="QVS43" s="33"/>
      <c r="QVT43" s="33"/>
      <c r="QVU43" s="33"/>
      <c r="QVV43" s="33"/>
      <c r="QVW43" s="33"/>
      <c r="QVX43" s="33"/>
      <c r="QVY43" s="33"/>
      <c r="QVZ43" s="33"/>
      <c r="QWA43" s="33"/>
      <c r="QWB43" s="33"/>
      <c r="QWC43" s="33"/>
      <c r="QWD43" s="33"/>
      <c r="QWE43" s="33"/>
      <c r="QWF43" s="33"/>
      <c r="QWG43" s="33"/>
      <c r="QWH43" s="33"/>
      <c r="QWI43" s="33"/>
      <c r="QWJ43" s="33"/>
      <c r="QWK43" s="33"/>
      <c r="QWL43" s="33"/>
      <c r="QWM43" s="33"/>
      <c r="QWN43" s="33"/>
      <c r="QWO43" s="33"/>
      <c r="QWP43" s="33"/>
      <c r="QWQ43" s="33"/>
      <c r="QWR43" s="33"/>
      <c r="QWS43" s="33"/>
      <c r="QWT43" s="33"/>
      <c r="QWU43" s="33"/>
      <c r="QWV43" s="33"/>
      <c r="QWW43" s="33"/>
      <c r="QWX43" s="33"/>
      <c r="QWY43" s="33"/>
      <c r="QWZ43" s="33"/>
      <c r="QXA43" s="33"/>
      <c r="QXB43" s="33"/>
      <c r="QXC43" s="33"/>
      <c r="QXD43" s="33"/>
      <c r="QXE43" s="33"/>
      <c r="QXF43" s="33"/>
      <c r="QXG43" s="33"/>
      <c r="QXH43" s="33"/>
      <c r="QXI43" s="33"/>
      <c r="QXJ43" s="33"/>
      <c r="QXK43" s="33"/>
      <c r="QXL43" s="33"/>
      <c r="QXM43" s="33"/>
      <c r="QXN43" s="33"/>
      <c r="QXO43" s="33"/>
      <c r="QXP43" s="33"/>
      <c r="QXQ43" s="33"/>
      <c r="QXR43" s="33"/>
      <c r="QXS43" s="33"/>
      <c r="QXT43" s="33"/>
      <c r="QXU43" s="33"/>
      <c r="QXV43" s="33"/>
      <c r="QXW43" s="33"/>
      <c r="QXX43" s="33"/>
      <c r="QXY43" s="33"/>
      <c r="QXZ43" s="33"/>
      <c r="QYA43" s="33"/>
      <c r="QYB43" s="33"/>
      <c r="QYC43" s="33"/>
      <c r="QYD43" s="33"/>
      <c r="QYE43" s="33"/>
      <c r="QYF43" s="33"/>
      <c r="QYG43" s="33"/>
      <c r="QYH43" s="33"/>
      <c r="QYI43" s="33"/>
      <c r="QYJ43" s="33"/>
      <c r="QYK43" s="33"/>
      <c r="QYL43" s="33"/>
      <c r="QYM43" s="33"/>
      <c r="QYN43" s="33"/>
      <c r="QYO43" s="33"/>
      <c r="QYP43" s="33"/>
      <c r="QYQ43" s="33"/>
      <c r="QYR43" s="33"/>
      <c r="QYS43" s="33"/>
      <c r="QYT43" s="33"/>
      <c r="QYU43" s="33"/>
      <c r="QYV43" s="33"/>
      <c r="QYW43" s="33"/>
      <c r="QYX43" s="33"/>
      <c r="QYY43" s="33"/>
      <c r="QYZ43" s="33"/>
      <c r="QZA43" s="33"/>
      <c r="QZB43" s="33"/>
      <c r="QZC43" s="33"/>
      <c r="QZD43" s="33"/>
      <c r="QZE43" s="33"/>
      <c r="QZF43" s="33"/>
      <c r="QZG43" s="33"/>
      <c r="QZH43" s="33"/>
      <c r="QZI43" s="33"/>
      <c r="QZJ43" s="33"/>
      <c r="QZK43" s="33"/>
      <c r="QZL43" s="33"/>
      <c r="QZM43" s="33"/>
      <c r="QZN43" s="33"/>
      <c r="QZO43" s="33"/>
      <c r="QZP43" s="33"/>
      <c r="QZQ43" s="33"/>
      <c r="QZR43" s="33"/>
      <c r="QZS43" s="33"/>
      <c r="QZT43" s="33"/>
      <c r="QZU43" s="33"/>
      <c r="QZV43" s="33"/>
      <c r="QZW43" s="33"/>
      <c r="QZX43" s="33"/>
      <c r="QZY43" s="33"/>
      <c r="QZZ43" s="33"/>
      <c r="RAA43" s="33"/>
      <c r="RAB43" s="33"/>
      <c r="RAC43" s="33"/>
      <c r="RAD43" s="33"/>
      <c r="RAE43" s="33"/>
      <c r="RAF43" s="33"/>
      <c r="RAG43" s="33"/>
      <c r="RAH43" s="33"/>
      <c r="RAI43" s="33"/>
      <c r="RAJ43" s="33"/>
      <c r="RAK43" s="33"/>
      <c r="RAL43" s="33"/>
      <c r="RAM43" s="33"/>
      <c r="RAN43" s="33"/>
      <c r="RAO43" s="33"/>
      <c r="RAP43" s="33"/>
      <c r="RAQ43" s="33"/>
      <c r="RAR43" s="33"/>
      <c r="RAS43" s="33"/>
      <c r="RAT43" s="33"/>
      <c r="RAU43" s="33"/>
      <c r="RAV43" s="33"/>
      <c r="RAW43" s="33"/>
      <c r="RAX43" s="33"/>
      <c r="RAY43" s="33"/>
      <c r="RAZ43" s="33"/>
      <c r="RBA43" s="33"/>
      <c r="RBB43" s="33"/>
      <c r="RBC43" s="33"/>
      <c r="RBD43" s="33"/>
      <c r="RBE43" s="33"/>
      <c r="RBF43" s="33"/>
      <c r="RBG43" s="33"/>
      <c r="RBH43" s="33"/>
      <c r="RBI43" s="33"/>
      <c r="RBJ43" s="33"/>
      <c r="RBK43" s="33"/>
      <c r="RBL43" s="33"/>
      <c r="RBM43" s="33"/>
      <c r="RBN43" s="33"/>
      <c r="RBO43" s="33"/>
      <c r="RBP43" s="33"/>
      <c r="RBQ43" s="33"/>
      <c r="RBR43" s="33"/>
      <c r="RBS43" s="33"/>
      <c r="RBT43" s="33"/>
      <c r="RBU43" s="33"/>
      <c r="RBV43" s="33"/>
      <c r="RBW43" s="33"/>
      <c r="RBX43" s="33"/>
      <c r="RBY43" s="33"/>
      <c r="RBZ43" s="33"/>
      <c r="RCA43" s="33"/>
      <c r="RCB43" s="33"/>
      <c r="RCC43" s="33"/>
      <c r="RCD43" s="33"/>
      <c r="RCE43" s="33"/>
      <c r="RCF43" s="33"/>
      <c r="RCG43" s="33"/>
      <c r="RCH43" s="33"/>
      <c r="RCI43" s="33"/>
      <c r="RCJ43" s="33"/>
      <c r="RCK43" s="33"/>
      <c r="RCL43" s="33"/>
      <c r="RCM43" s="33"/>
      <c r="RCN43" s="33"/>
      <c r="RCO43" s="33"/>
      <c r="RCP43" s="33"/>
      <c r="RCQ43" s="33"/>
      <c r="RCR43" s="33"/>
      <c r="RCS43" s="33"/>
      <c r="RCT43" s="33"/>
      <c r="RCU43" s="33"/>
      <c r="RCV43" s="33"/>
      <c r="RCW43" s="33"/>
      <c r="RCX43" s="33"/>
      <c r="RCY43" s="33"/>
      <c r="RCZ43" s="33"/>
      <c r="RDA43" s="33"/>
      <c r="RDB43" s="33"/>
      <c r="RDC43" s="33"/>
      <c r="RDD43" s="33"/>
      <c r="RDE43" s="33"/>
      <c r="RDF43" s="33"/>
      <c r="RDG43" s="33"/>
      <c r="RDH43" s="33"/>
      <c r="RDI43" s="33"/>
      <c r="RDJ43" s="33"/>
      <c r="RDK43" s="33"/>
      <c r="RDL43" s="33"/>
      <c r="RDM43" s="33"/>
      <c r="RDN43" s="33"/>
      <c r="RDO43" s="33"/>
      <c r="RDP43" s="33"/>
      <c r="RDQ43" s="33"/>
      <c r="RDR43" s="33"/>
      <c r="RDS43" s="33"/>
      <c r="RDT43" s="33"/>
      <c r="RDU43" s="33"/>
      <c r="RDV43" s="33"/>
      <c r="RDW43" s="33"/>
      <c r="RDX43" s="33"/>
      <c r="RDY43" s="33"/>
      <c r="RDZ43" s="33"/>
      <c r="REA43" s="33"/>
      <c r="REB43" s="33"/>
      <c r="REC43" s="33"/>
      <c r="RED43" s="33"/>
      <c r="REE43" s="33"/>
      <c r="REF43" s="33"/>
      <c r="REG43" s="33"/>
      <c r="REH43" s="33"/>
      <c r="REI43" s="33"/>
      <c r="REJ43" s="33"/>
      <c r="REK43" s="33"/>
      <c r="REL43" s="33"/>
      <c r="REM43" s="33"/>
      <c r="REN43" s="33"/>
      <c r="REO43" s="33"/>
      <c r="REP43" s="33"/>
      <c r="REQ43" s="33"/>
      <c r="RER43" s="33"/>
      <c r="RES43" s="33"/>
      <c r="RET43" s="33"/>
      <c r="REU43" s="33"/>
      <c r="REV43" s="33"/>
      <c r="REW43" s="33"/>
      <c r="REX43" s="33"/>
      <c r="REY43" s="33"/>
      <c r="REZ43" s="33"/>
      <c r="RFA43" s="33"/>
      <c r="RFB43" s="33"/>
      <c r="RFC43" s="33"/>
      <c r="RFD43" s="33"/>
      <c r="RFE43" s="33"/>
      <c r="RFF43" s="33"/>
      <c r="RFG43" s="33"/>
      <c r="RFH43" s="33"/>
      <c r="RFI43" s="33"/>
      <c r="RFJ43" s="33"/>
      <c r="RFK43" s="33"/>
      <c r="RFL43" s="33"/>
      <c r="RFM43" s="33"/>
      <c r="RFN43" s="33"/>
      <c r="RFO43" s="33"/>
      <c r="RFP43" s="33"/>
      <c r="RFQ43" s="33"/>
      <c r="RFR43" s="33"/>
      <c r="RFS43" s="33"/>
      <c r="RFT43" s="33"/>
      <c r="RFU43" s="33"/>
      <c r="RFV43" s="33"/>
      <c r="RFW43" s="33"/>
      <c r="RFX43" s="33"/>
      <c r="RFY43" s="33"/>
      <c r="RFZ43" s="33"/>
      <c r="RGA43" s="33"/>
      <c r="RGB43" s="33"/>
      <c r="RGC43" s="33"/>
      <c r="RGD43" s="33"/>
      <c r="RGE43" s="33"/>
      <c r="RGF43" s="33"/>
      <c r="RGG43" s="33"/>
      <c r="RGH43" s="33"/>
      <c r="RGI43" s="33"/>
      <c r="RGJ43" s="33"/>
      <c r="RGK43" s="33"/>
      <c r="RGL43" s="33"/>
      <c r="RGM43" s="33"/>
      <c r="RGN43" s="33"/>
      <c r="RGO43" s="33"/>
      <c r="RGP43" s="33"/>
      <c r="RGQ43" s="33"/>
      <c r="RGR43" s="33"/>
      <c r="RGS43" s="33"/>
      <c r="RGT43" s="33"/>
      <c r="RGU43" s="33"/>
      <c r="RGV43" s="33"/>
      <c r="RGW43" s="33"/>
      <c r="RGX43" s="33"/>
      <c r="RGY43" s="33"/>
      <c r="RGZ43" s="33"/>
      <c r="RHA43" s="33"/>
      <c r="RHB43" s="33"/>
      <c r="RHC43" s="33"/>
      <c r="RHD43" s="33"/>
      <c r="RHE43" s="33"/>
      <c r="RHF43" s="33"/>
      <c r="RHG43" s="33"/>
      <c r="RHH43" s="33"/>
      <c r="RHI43" s="33"/>
      <c r="RHJ43" s="33"/>
      <c r="RHK43" s="33"/>
      <c r="RHL43" s="33"/>
      <c r="RHM43" s="33"/>
      <c r="RHN43" s="33"/>
      <c r="RHO43" s="33"/>
      <c r="RHP43" s="33"/>
      <c r="RHQ43" s="33"/>
      <c r="RHR43" s="33"/>
      <c r="RHS43" s="33"/>
      <c r="RHT43" s="33"/>
      <c r="RHU43" s="33"/>
      <c r="RHV43" s="33"/>
      <c r="RHW43" s="33"/>
      <c r="RHX43" s="33"/>
      <c r="RHY43" s="33"/>
      <c r="RHZ43" s="33"/>
      <c r="RIA43" s="33"/>
      <c r="RIB43" s="33"/>
      <c r="RIC43" s="33"/>
      <c r="RID43" s="33"/>
      <c r="RIE43" s="33"/>
      <c r="RIF43" s="33"/>
      <c r="RIG43" s="33"/>
      <c r="RIH43" s="33"/>
      <c r="RII43" s="33"/>
      <c r="RIJ43" s="33"/>
      <c r="RIK43" s="33"/>
      <c r="RIL43" s="33"/>
      <c r="RIM43" s="33"/>
      <c r="RIN43" s="33"/>
      <c r="RIO43" s="33"/>
      <c r="RIP43" s="33"/>
      <c r="RIQ43" s="33"/>
      <c r="RIR43" s="33"/>
      <c r="RIS43" s="33"/>
      <c r="RIT43" s="33"/>
      <c r="RIU43" s="33"/>
      <c r="RIV43" s="33"/>
      <c r="RIW43" s="33"/>
      <c r="RIX43" s="33"/>
      <c r="RIY43" s="33"/>
      <c r="RIZ43" s="33"/>
      <c r="RJA43" s="33"/>
      <c r="RJB43" s="33"/>
      <c r="RJC43" s="33"/>
      <c r="RJD43" s="33"/>
      <c r="RJE43" s="33"/>
      <c r="RJF43" s="33"/>
      <c r="RJG43" s="33"/>
      <c r="RJH43" s="33"/>
      <c r="RJI43" s="33"/>
      <c r="RJJ43" s="33"/>
      <c r="RJK43" s="33"/>
      <c r="RJL43" s="33"/>
      <c r="RJM43" s="33"/>
      <c r="RJN43" s="33"/>
      <c r="RJO43" s="33"/>
      <c r="RJP43" s="33"/>
      <c r="RJQ43" s="33"/>
      <c r="RJR43" s="33"/>
      <c r="RJS43" s="33"/>
      <c r="RJT43" s="33"/>
      <c r="RJU43" s="33"/>
      <c r="RJV43" s="33"/>
      <c r="RJW43" s="33"/>
      <c r="RJX43" s="33"/>
      <c r="RJY43" s="33"/>
      <c r="RJZ43" s="33"/>
      <c r="RKA43" s="33"/>
      <c r="RKB43" s="33"/>
      <c r="RKC43" s="33"/>
      <c r="RKD43" s="33"/>
      <c r="RKE43" s="33"/>
      <c r="RKF43" s="33"/>
      <c r="RKG43" s="33"/>
      <c r="RKH43" s="33"/>
      <c r="RKI43" s="33"/>
      <c r="RKJ43" s="33"/>
      <c r="RKK43" s="33"/>
      <c r="RKL43" s="33"/>
      <c r="RKM43" s="33"/>
      <c r="RKN43" s="33"/>
      <c r="RKO43" s="33"/>
      <c r="RKP43" s="33"/>
      <c r="RKQ43" s="33"/>
      <c r="RKR43" s="33"/>
      <c r="RKS43" s="33"/>
      <c r="RKT43" s="33"/>
      <c r="RKU43" s="33"/>
      <c r="RKV43" s="33"/>
      <c r="RKW43" s="33"/>
      <c r="RKX43" s="33"/>
      <c r="RKY43" s="33"/>
      <c r="RKZ43" s="33"/>
      <c r="RLA43" s="33"/>
      <c r="RLB43" s="33"/>
      <c r="RLC43" s="33"/>
      <c r="RLD43" s="33"/>
      <c r="RLE43" s="33"/>
      <c r="RLF43" s="33"/>
      <c r="RLG43" s="33"/>
      <c r="RLH43" s="33"/>
      <c r="RLI43" s="33"/>
      <c r="RLJ43" s="33"/>
      <c r="RLK43" s="33"/>
      <c r="RLL43" s="33"/>
      <c r="RLM43" s="33"/>
      <c r="RLN43" s="33"/>
      <c r="RLO43" s="33"/>
      <c r="RLP43" s="33"/>
      <c r="RLQ43" s="33"/>
      <c r="RLR43" s="33"/>
      <c r="RLS43" s="33"/>
      <c r="RLT43" s="33"/>
      <c r="RLU43" s="33"/>
      <c r="RLV43" s="33"/>
      <c r="RLW43" s="33"/>
      <c r="RLX43" s="33"/>
      <c r="RLY43" s="33"/>
      <c r="RLZ43" s="33"/>
      <c r="RMA43" s="33"/>
      <c r="RMB43" s="33"/>
      <c r="RMC43" s="33"/>
      <c r="RMD43" s="33"/>
      <c r="RME43" s="33"/>
      <c r="RMF43" s="33"/>
      <c r="RMG43" s="33"/>
      <c r="RMH43" s="33"/>
      <c r="RMI43" s="33"/>
      <c r="RMJ43" s="33"/>
      <c r="RMK43" s="33"/>
      <c r="RML43" s="33"/>
      <c r="RMM43" s="33"/>
      <c r="RMN43" s="33"/>
      <c r="RMO43" s="33"/>
      <c r="RMP43" s="33"/>
      <c r="RMQ43" s="33"/>
      <c r="RMR43" s="33"/>
      <c r="RMS43" s="33"/>
      <c r="RMT43" s="33"/>
      <c r="RMU43" s="33"/>
      <c r="RMV43" s="33"/>
      <c r="RMW43" s="33"/>
      <c r="RMX43" s="33"/>
      <c r="RMY43" s="33"/>
      <c r="RMZ43" s="33"/>
      <c r="RNA43" s="33"/>
      <c r="RNB43" s="33"/>
      <c r="RNC43" s="33"/>
      <c r="RND43" s="33"/>
      <c r="RNE43" s="33"/>
      <c r="RNF43" s="33"/>
      <c r="RNG43" s="33"/>
      <c r="RNH43" s="33"/>
      <c r="RNI43" s="33"/>
      <c r="RNJ43" s="33"/>
      <c r="RNK43" s="33"/>
      <c r="RNL43" s="33"/>
      <c r="RNM43" s="33"/>
      <c r="RNN43" s="33"/>
      <c r="RNO43" s="33"/>
      <c r="RNP43" s="33"/>
      <c r="RNQ43" s="33"/>
      <c r="RNR43" s="33"/>
      <c r="RNS43" s="33"/>
      <c r="RNT43" s="33"/>
      <c r="RNU43" s="33"/>
      <c r="RNV43" s="33"/>
      <c r="RNW43" s="33"/>
      <c r="RNX43" s="33"/>
      <c r="RNY43" s="33"/>
      <c r="RNZ43" s="33"/>
      <c r="ROA43" s="33"/>
      <c r="ROB43" s="33"/>
      <c r="ROC43" s="33"/>
      <c r="ROD43" s="33"/>
      <c r="ROE43" s="33"/>
      <c r="ROF43" s="33"/>
      <c r="ROG43" s="33"/>
      <c r="ROH43" s="33"/>
      <c r="ROI43" s="33"/>
      <c r="ROJ43" s="33"/>
      <c r="ROK43" s="33"/>
      <c r="ROL43" s="33"/>
      <c r="ROM43" s="33"/>
      <c r="RON43" s="33"/>
      <c r="ROO43" s="33"/>
      <c r="ROP43" s="33"/>
      <c r="ROQ43" s="33"/>
      <c r="ROR43" s="33"/>
      <c r="ROS43" s="33"/>
      <c r="ROT43" s="33"/>
      <c r="ROU43" s="33"/>
      <c r="ROV43" s="33"/>
      <c r="ROW43" s="33"/>
      <c r="ROX43" s="33"/>
      <c r="ROY43" s="33"/>
      <c r="ROZ43" s="33"/>
      <c r="RPA43" s="33"/>
      <c r="RPB43" s="33"/>
      <c r="RPC43" s="33"/>
      <c r="RPD43" s="33"/>
      <c r="RPE43" s="33"/>
      <c r="RPF43" s="33"/>
      <c r="RPG43" s="33"/>
      <c r="RPH43" s="33"/>
      <c r="RPI43" s="33"/>
      <c r="RPJ43" s="33"/>
      <c r="RPK43" s="33"/>
      <c r="RPL43" s="33"/>
      <c r="RPM43" s="33"/>
      <c r="RPN43" s="33"/>
      <c r="RPO43" s="33"/>
      <c r="RPP43" s="33"/>
      <c r="RPQ43" s="33"/>
      <c r="RPR43" s="33"/>
      <c r="RPS43" s="33"/>
      <c r="RPT43" s="33"/>
      <c r="RPU43" s="33"/>
      <c r="RPV43" s="33"/>
      <c r="RPW43" s="33"/>
      <c r="RPX43" s="33"/>
      <c r="RPY43" s="33"/>
      <c r="RPZ43" s="33"/>
      <c r="RQA43" s="33"/>
      <c r="RQB43" s="33"/>
      <c r="RQC43" s="33"/>
      <c r="RQD43" s="33"/>
      <c r="RQE43" s="33"/>
      <c r="RQF43" s="33"/>
      <c r="RQG43" s="33"/>
      <c r="RQH43" s="33"/>
      <c r="RQI43" s="33"/>
      <c r="RQJ43" s="33"/>
      <c r="RQK43" s="33"/>
      <c r="RQL43" s="33"/>
      <c r="RQM43" s="33"/>
      <c r="RQN43" s="33"/>
      <c r="RQO43" s="33"/>
      <c r="RQP43" s="33"/>
      <c r="RQQ43" s="33"/>
      <c r="RQR43" s="33"/>
      <c r="RQS43" s="33"/>
      <c r="RQT43" s="33"/>
      <c r="RQU43" s="33"/>
      <c r="RQV43" s="33"/>
      <c r="RQW43" s="33"/>
      <c r="RQX43" s="33"/>
      <c r="RQY43" s="33"/>
      <c r="RQZ43" s="33"/>
      <c r="RRA43" s="33"/>
      <c r="RRB43" s="33"/>
      <c r="RRC43" s="33"/>
      <c r="RRD43" s="33"/>
      <c r="RRE43" s="33"/>
      <c r="RRF43" s="33"/>
      <c r="RRG43" s="33"/>
      <c r="RRH43" s="33"/>
      <c r="RRI43" s="33"/>
      <c r="RRJ43" s="33"/>
      <c r="RRK43" s="33"/>
      <c r="RRL43" s="33"/>
      <c r="RRM43" s="33"/>
      <c r="RRN43" s="33"/>
      <c r="RRO43" s="33"/>
      <c r="RRP43" s="33"/>
      <c r="RRQ43" s="33"/>
      <c r="RRR43" s="33"/>
      <c r="RRS43" s="33"/>
      <c r="RRT43" s="33"/>
      <c r="RRU43" s="33"/>
      <c r="RRV43" s="33"/>
      <c r="RRW43" s="33"/>
      <c r="RRX43" s="33"/>
      <c r="RRY43" s="33"/>
      <c r="RRZ43" s="33"/>
      <c r="RSA43" s="33"/>
      <c r="RSB43" s="33"/>
      <c r="RSC43" s="33"/>
      <c r="RSD43" s="33"/>
      <c r="RSE43" s="33"/>
      <c r="RSF43" s="33"/>
      <c r="RSG43" s="33"/>
      <c r="RSH43" s="33"/>
      <c r="RSI43" s="33"/>
      <c r="RSJ43" s="33"/>
      <c r="RSK43" s="33"/>
      <c r="RSL43" s="33"/>
      <c r="RSM43" s="33"/>
      <c r="RSN43" s="33"/>
      <c r="RSO43" s="33"/>
      <c r="RSP43" s="33"/>
      <c r="RSQ43" s="33"/>
      <c r="RSR43" s="33"/>
      <c r="RSS43" s="33"/>
      <c r="RST43" s="33"/>
      <c r="RSU43" s="33"/>
      <c r="RSV43" s="33"/>
      <c r="RSW43" s="33"/>
      <c r="RSX43" s="33"/>
      <c r="RSY43" s="33"/>
      <c r="RSZ43" s="33"/>
      <c r="RTA43" s="33"/>
      <c r="RTB43" s="33"/>
      <c r="RTC43" s="33"/>
      <c r="RTD43" s="33"/>
      <c r="RTE43" s="33"/>
      <c r="RTF43" s="33"/>
      <c r="RTG43" s="33"/>
      <c r="RTH43" s="33"/>
      <c r="RTI43" s="33"/>
      <c r="RTJ43" s="33"/>
      <c r="RTK43" s="33"/>
      <c r="RTL43" s="33"/>
      <c r="RTM43" s="33"/>
      <c r="RTN43" s="33"/>
      <c r="RTO43" s="33"/>
      <c r="RTP43" s="33"/>
      <c r="RTQ43" s="33"/>
      <c r="RTR43" s="33"/>
      <c r="RTS43" s="33"/>
      <c r="RTT43" s="33"/>
      <c r="RTU43" s="33"/>
      <c r="RTV43" s="33"/>
      <c r="RTW43" s="33"/>
      <c r="RTX43" s="33"/>
      <c r="RTY43" s="33"/>
      <c r="RTZ43" s="33"/>
      <c r="RUA43" s="33"/>
      <c r="RUB43" s="33"/>
      <c r="RUC43" s="33"/>
      <c r="RUD43" s="33"/>
      <c r="RUE43" s="33"/>
      <c r="RUF43" s="33"/>
      <c r="RUG43" s="33"/>
      <c r="RUH43" s="33"/>
      <c r="RUI43" s="33"/>
      <c r="RUJ43" s="33"/>
      <c r="RUK43" s="33"/>
      <c r="RUL43" s="33"/>
      <c r="RUM43" s="33"/>
      <c r="RUN43" s="33"/>
      <c r="RUO43" s="33"/>
      <c r="RUP43" s="33"/>
      <c r="RUQ43" s="33"/>
      <c r="RUR43" s="33"/>
      <c r="RUS43" s="33"/>
      <c r="RUT43" s="33"/>
      <c r="RUU43" s="33"/>
      <c r="RUV43" s="33"/>
      <c r="RUW43" s="33"/>
      <c r="RUX43" s="33"/>
      <c r="RUY43" s="33"/>
      <c r="RUZ43" s="33"/>
      <c r="RVA43" s="33"/>
      <c r="RVB43" s="33"/>
      <c r="RVC43" s="33"/>
      <c r="RVD43" s="33"/>
      <c r="RVE43" s="33"/>
      <c r="RVF43" s="33"/>
      <c r="RVG43" s="33"/>
      <c r="RVH43" s="33"/>
      <c r="RVI43" s="33"/>
      <c r="RVJ43" s="33"/>
      <c r="RVK43" s="33"/>
      <c r="RVL43" s="33"/>
      <c r="RVM43" s="33"/>
      <c r="RVN43" s="33"/>
      <c r="RVO43" s="33"/>
      <c r="RVP43" s="33"/>
      <c r="RVQ43" s="33"/>
      <c r="RVR43" s="33"/>
      <c r="RVS43" s="33"/>
      <c r="RVT43" s="33"/>
      <c r="RVU43" s="33"/>
      <c r="RVV43" s="33"/>
      <c r="RVW43" s="33"/>
      <c r="RVX43" s="33"/>
      <c r="RVY43" s="33"/>
      <c r="RVZ43" s="33"/>
      <c r="RWA43" s="33"/>
      <c r="RWB43" s="33"/>
      <c r="RWC43" s="33"/>
      <c r="RWD43" s="33"/>
      <c r="RWE43" s="33"/>
      <c r="RWF43" s="33"/>
      <c r="RWG43" s="33"/>
      <c r="RWH43" s="33"/>
      <c r="RWI43" s="33"/>
      <c r="RWJ43" s="33"/>
      <c r="RWK43" s="33"/>
      <c r="RWL43" s="33"/>
      <c r="RWM43" s="33"/>
      <c r="RWN43" s="33"/>
      <c r="RWO43" s="33"/>
      <c r="RWP43" s="33"/>
      <c r="RWQ43" s="33"/>
      <c r="RWR43" s="33"/>
      <c r="RWS43" s="33"/>
      <c r="RWT43" s="33"/>
      <c r="RWU43" s="33"/>
      <c r="RWV43" s="33"/>
      <c r="RWW43" s="33"/>
      <c r="RWX43" s="33"/>
      <c r="RWY43" s="33"/>
      <c r="RWZ43" s="33"/>
      <c r="RXA43" s="33"/>
      <c r="RXB43" s="33"/>
      <c r="RXC43" s="33"/>
      <c r="RXD43" s="33"/>
      <c r="RXE43" s="33"/>
      <c r="RXF43" s="33"/>
      <c r="RXG43" s="33"/>
      <c r="RXH43" s="33"/>
      <c r="RXI43" s="33"/>
      <c r="RXJ43" s="33"/>
      <c r="RXK43" s="33"/>
      <c r="RXL43" s="33"/>
      <c r="RXM43" s="33"/>
      <c r="RXN43" s="33"/>
      <c r="RXO43" s="33"/>
      <c r="RXP43" s="33"/>
      <c r="RXQ43" s="33"/>
      <c r="RXR43" s="33"/>
      <c r="RXS43" s="33"/>
      <c r="RXT43" s="33"/>
      <c r="RXU43" s="33"/>
      <c r="RXV43" s="33"/>
      <c r="RXW43" s="33"/>
      <c r="RXX43" s="33"/>
      <c r="RXY43" s="33"/>
      <c r="RXZ43" s="33"/>
      <c r="RYA43" s="33"/>
      <c r="RYB43" s="33"/>
      <c r="RYC43" s="33"/>
      <c r="RYD43" s="33"/>
      <c r="RYE43" s="33"/>
      <c r="RYF43" s="33"/>
      <c r="RYG43" s="33"/>
      <c r="RYH43" s="33"/>
      <c r="RYI43" s="33"/>
      <c r="RYJ43" s="33"/>
      <c r="RYK43" s="33"/>
      <c r="RYL43" s="33"/>
      <c r="RYM43" s="33"/>
      <c r="RYN43" s="33"/>
      <c r="RYO43" s="33"/>
      <c r="RYP43" s="33"/>
      <c r="RYQ43" s="33"/>
      <c r="RYR43" s="33"/>
      <c r="RYS43" s="33"/>
      <c r="RYT43" s="33"/>
      <c r="RYU43" s="33"/>
      <c r="RYV43" s="33"/>
      <c r="RYW43" s="33"/>
      <c r="RYX43" s="33"/>
      <c r="RYY43" s="33"/>
      <c r="RYZ43" s="33"/>
      <c r="RZA43" s="33"/>
      <c r="RZB43" s="33"/>
      <c r="RZC43" s="33"/>
      <c r="RZD43" s="33"/>
      <c r="RZE43" s="33"/>
      <c r="RZF43" s="33"/>
      <c r="RZG43" s="33"/>
      <c r="RZH43" s="33"/>
      <c r="RZI43" s="33"/>
      <c r="RZJ43" s="33"/>
      <c r="RZK43" s="33"/>
      <c r="RZL43" s="33"/>
      <c r="RZM43" s="33"/>
      <c r="RZN43" s="33"/>
      <c r="RZO43" s="33"/>
      <c r="RZP43" s="33"/>
      <c r="RZQ43" s="33"/>
      <c r="RZR43" s="33"/>
      <c r="RZS43" s="33"/>
      <c r="RZT43" s="33"/>
      <c r="RZU43" s="33"/>
      <c r="RZV43" s="33"/>
      <c r="RZW43" s="33"/>
      <c r="RZX43" s="33"/>
      <c r="RZY43" s="33"/>
      <c r="RZZ43" s="33"/>
      <c r="SAA43" s="33"/>
      <c r="SAB43" s="33"/>
      <c r="SAC43" s="33"/>
      <c r="SAD43" s="33"/>
      <c r="SAE43" s="33"/>
      <c r="SAF43" s="33"/>
      <c r="SAG43" s="33"/>
      <c r="SAH43" s="33"/>
      <c r="SAI43" s="33"/>
      <c r="SAJ43" s="33"/>
      <c r="SAK43" s="33"/>
      <c r="SAL43" s="33"/>
      <c r="SAM43" s="33"/>
      <c r="SAN43" s="33"/>
      <c r="SAO43" s="33"/>
      <c r="SAP43" s="33"/>
      <c r="SAQ43" s="33"/>
      <c r="SAR43" s="33"/>
      <c r="SAS43" s="33"/>
      <c r="SAT43" s="33"/>
      <c r="SAU43" s="33"/>
      <c r="SAV43" s="33"/>
      <c r="SAW43" s="33"/>
      <c r="SAX43" s="33"/>
      <c r="SAY43" s="33"/>
      <c r="SAZ43" s="33"/>
      <c r="SBA43" s="33"/>
      <c r="SBB43" s="33"/>
      <c r="SBC43" s="33"/>
      <c r="SBD43" s="33"/>
      <c r="SBE43" s="33"/>
      <c r="SBF43" s="33"/>
      <c r="SBG43" s="33"/>
      <c r="SBH43" s="33"/>
      <c r="SBI43" s="33"/>
      <c r="SBJ43" s="33"/>
      <c r="SBK43" s="33"/>
      <c r="SBL43" s="33"/>
      <c r="SBM43" s="33"/>
      <c r="SBN43" s="33"/>
      <c r="SBO43" s="33"/>
      <c r="SBP43" s="33"/>
      <c r="SBQ43" s="33"/>
      <c r="SBR43" s="33"/>
      <c r="SBS43" s="33"/>
      <c r="SBT43" s="33"/>
      <c r="SBU43" s="33"/>
      <c r="SBV43" s="33"/>
      <c r="SBW43" s="33"/>
      <c r="SBX43" s="33"/>
      <c r="SBY43" s="33"/>
      <c r="SBZ43" s="33"/>
      <c r="SCA43" s="33"/>
      <c r="SCB43" s="33"/>
      <c r="SCC43" s="33"/>
      <c r="SCD43" s="33"/>
      <c r="SCE43" s="33"/>
      <c r="SCF43" s="33"/>
      <c r="SCG43" s="33"/>
      <c r="SCH43" s="33"/>
      <c r="SCI43" s="33"/>
      <c r="SCJ43" s="33"/>
      <c r="SCK43" s="33"/>
      <c r="SCL43" s="33"/>
      <c r="SCM43" s="33"/>
      <c r="SCN43" s="33"/>
      <c r="SCO43" s="33"/>
      <c r="SCP43" s="33"/>
      <c r="SCQ43" s="33"/>
      <c r="SCR43" s="33"/>
      <c r="SCS43" s="33"/>
      <c r="SCT43" s="33"/>
      <c r="SCU43" s="33"/>
      <c r="SCV43" s="33"/>
      <c r="SCW43" s="33"/>
      <c r="SCX43" s="33"/>
      <c r="SCY43" s="33"/>
      <c r="SCZ43" s="33"/>
      <c r="SDA43" s="33"/>
      <c r="SDB43" s="33"/>
      <c r="SDC43" s="33"/>
      <c r="SDD43" s="33"/>
      <c r="SDE43" s="33"/>
      <c r="SDF43" s="33"/>
      <c r="SDG43" s="33"/>
      <c r="SDH43" s="33"/>
      <c r="SDI43" s="33"/>
      <c r="SDJ43" s="33"/>
      <c r="SDK43" s="33"/>
      <c r="SDL43" s="33"/>
      <c r="SDM43" s="33"/>
      <c r="SDN43" s="33"/>
      <c r="SDO43" s="33"/>
      <c r="SDP43" s="33"/>
      <c r="SDQ43" s="33"/>
      <c r="SDR43" s="33"/>
      <c r="SDS43" s="33"/>
      <c r="SDT43" s="33"/>
      <c r="SDU43" s="33"/>
      <c r="SDV43" s="33"/>
      <c r="SDW43" s="33"/>
      <c r="SDX43" s="33"/>
      <c r="SDY43" s="33"/>
      <c r="SDZ43" s="33"/>
      <c r="SEA43" s="33"/>
      <c r="SEB43" s="33"/>
      <c r="SEC43" s="33"/>
      <c r="SED43" s="33"/>
      <c r="SEE43" s="33"/>
      <c r="SEF43" s="33"/>
      <c r="SEG43" s="33"/>
      <c r="SEH43" s="33"/>
      <c r="SEI43" s="33"/>
      <c r="SEJ43" s="33"/>
      <c r="SEK43" s="33"/>
      <c r="SEL43" s="33"/>
      <c r="SEM43" s="33"/>
      <c r="SEN43" s="33"/>
      <c r="SEO43" s="33"/>
      <c r="SEP43" s="33"/>
      <c r="SEQ43" s="33"/>
      <c r="SER43" s="33"/>
      <c r="SES43" s="33"/>
      <c r="SET43" s="33"/>
      <c r="SEU43" s="33"/>
      <c r="SEV43" s="33"/>
      <c r="SEW43" s="33"/>
      <c r="SEX43" s="33"/>
      <c r="SEY43" s="33"/>
      <c r="SEZ43" s="33"/>
      <c r="SFA43" s="33"/>
      <c r="SFB43" s="33"/>
      <c r="SFC43" s="33"/>
      <c r="SFD43" s="33"/>
      <c r="SFE43" s="33"/>
      <c r="SFF43" s="33"/>
      <c r="SFG43" s="33"/>
      <c r="SFH43" s="33"/>
      <c r="SFI43" s="33"/>
      <c r="SFJ43" s="33"/>
      <c r="SFK43" s="33"/>
      <c r="SFL43" s="33"/>
      <c r="SFM43" s="33"/>
      <c r="SFN43" s="33"/>
      <c r="SFO43" s="33"/>
      <c r="SFP43" s="33"/>
      <c r="SFQ43" s="33"/>
      <c r="SFR43" s="33"/>
      <c r="SFS43" s="33"/>
      <c r="SFT43" s="33"/>
      <c r="SFU43" s="33"/>
      <c r="SFV43" s="33"/>
      <c r="SFW43" s="33"/>
      <c r="SFX43" s="33"/>
      <c r="SFY43" s="33"/>
      <c r="SFZ43" s="33"/>
      <c r="SGA43" s="33"/>
      <c r="SGB43" s="33"/>
      <c r="SGC43" s="33"/>
      <c r="SGD43" s="33"/>
      <c r="SGE43" s="33"/>
      <c r="SGF43" s="33"/>
      <c r="SGG43" s="33"/>
      <c r="SGH43" s="33"/>
      <c r="SGI43" s="33"/>
      <c r="SGJ43" s="33"/>
      <c r="SGK43" s="33"/>
      <c r="SGL43" s="33"/>
      <c r="SGM43" s="33"/>
      <c r="SGN43" s="33"/>
      <c r="SGO43" s="33"/>
      <c r="SGP43" s="33"/>
      <c r="SGQ43" s="33"/>
      <c r="SGR43" s="33"/>
      <c r="SGS43" s="33"/>
      <c r="SGT43" s="33"/>
      <c r="SGU43" s="33"/>
      <c r="SGV43" s="33"/>
      <c r="SGW43" s="33"/>
      <c r="SGX43" s="33"/>
      <c r="SGY43" s="33"/>
      <c r="SGZ43" s="33"/>
      <c r="SHA43" s="33"/>
      <c r="SHB43" s="33"/>
      <c r="SHC43" s="33"/>
      <c r="SHD43" s="33"/>
      <c r="SHE43" s="33"/>
      <c r="SHF43" s="33"/>
      <c r="SHG43" s="33"/>
      <c r="SHH43" s="33"/>
      <c r="SHI43" s="33"/>
      <c r="SHJ43" s="33"/>
      <c r="SHK43" s="33"/>
      <c r="SHL43" s="33"/>
      <c r="SHM43" s="33"/>
      <c r="SHN43" s="33"/>
      <c r="SHO43" s="33"/>
      <c r="SHP43" s="33"/>
      <c r="SHQ43" s="33"/>
      <c r="SHR43" s="33"/>
      <c r="SHS43" s="33"/>
      <c r="SHT43" s="33"/>
      <c r="SHU43" s="33"/>
      <c r="SHV43" s="33"/>
      <c r="SHW43" s="33"/>
      <c r="SHX43" s="33"/>
      <c r="SHY43" s="33"/>
      <c r="SHZ43" s="33"/>
      <c r="SIA43" s="33"/>
      <c r="SIB43" s="33"/>
      <c r="SIC43" s="33"/>
      <c r="SID43" s="33"/>
      <c r="SIE43" s="33"/>
      <c r="SIF43" s="33"/>
      <c r="SIG43" s="33"/>
      <c r="SIH43" s="33"/>
      <c r="SII43" s="33"/>
      <c r="SIJ43" s="33"/>
      <c r="SIK43" s="33"/>
      <c r="SIL43" s="33"/>
      <c r="SIM43" s="33"/>
      <c r="SIN43" s="33"/>
      <c r="SIO43" s="33"/>
      <c r="SIP43" s="33"/>
      <c r="SIQ43" s="33"/>
      <c r="SIR43" s="33"/>
      <c r="SIS43" s="33"/>
      <c r="SIT43" s="33"/>
      <c r="SIU43" s="33"/>
      <c r="SIV43" s="33"/>
      <c r="SIW43" s="33"/>
      <c r="SIX43" s="33"/>
      <c r="SIY43" s="33"/>
      <c r="SIZ43" s="33"/>
      <c r="SJA43" s="33"/>
      <c r="SJB43" s="33"/>
      <c r="SJC43" s="33"/>
      <c r="SJD43" s="33"/>
      <c r="SJE43" s="33"/>
      <c r="SJF43" s="33"/>
      <c r="SJG43" s="33"/>
      <c r="SJH43" s="33"/>
      <c r="SJI43" s="33"/>
      <c r="SJJ43" s="33"/>
      <c r="SJK43" s="33"/>
      <c r="SJL43" s="33"/>
      <c r="SJM43" s="33"/>
      <c r="SJN43" s="33"/>
      <c r="SJO43" s="33"/>
      <c r="SJP43" s="33"/>
      <c r="SJQ43" s="33"/>
      <c r="SJR43" s="33"/>
      <c r="SJS43" s="33"/>
      <c r="SJT43" s="33"/>
      <c r="SJU43" s="33"/>
      <c r="SJV43" s="33"/>
      <c r="SJW43" s="33"/>
      <c r="SJX43" s="33"/>
      <c r="SJY43" s="33"/>
      <c r="SJZ43" s="33"/>
      <c r="SKA43" s="33"/>
      <c r="SKB43" s="33"/>
      <c r="SKC43" s="33"/>
      <c r="SKD43" s="33"/>
      <c r="SKE43" s="33"/>
      <c r="SKF43" s="33"/>
      <c r="SKG43" s="33"/>
      <c r="SKH43" s="33"/>
      <c r="SKI43" s="33"/>
      <c r="SKJ43" s="33"/>
      <c r="SKK43" s="33"/>
      <c r="SKL43" s="33"/>
      <c r="SKM43" s="33"/>
      <c r="SKN43" s="33"/>
      <c r="SKO43" s="33"/>
      <c r="SKP43" s="33"/>
      <c r="SKQ43" s="33"/>
      <c r="SKR43" s="33"/>
      <c r="SKS43" s="33"/>
      <c r="SKT43" s="33"/>
      <c r="SKU43" s="33"/>
      <c r="SKV43" s="33"/>
      <c r="SKW43" s="33"/>
      <c r="SKX43" s="33"/>
      <c r="SKY43" s="33"/>
      <c r="SKZ43" s="33"/>
      <c r="SLA43" s="33"/>
      <c r="SLB43" s="33"/>
      <c r="SLC43" s="33"/>
      <c r="SLD43" s="33"/>
      <c r="SLE43" s="33"/>
      <c r="SLF43" s="33"/>
      <c r="SLG43" s="33"/>
      <c r="SLH43" s="33"/>
      <c r="SLI43" s="33"/>
      <c r="SLJ43" s="33"/>
      <c r="SLK43" s="33"/>
      <c r="SLL43" s="33"/>
      <c r="SLM43" s="33"/>
      <c r="SLN43" s="33"/>
      <c r="SLO43" s="33"/>
      <c r="SLP43" s="33"/>
      <c r="SLQ43" s="33"/>
      <c r="SLR43" s="33"/>
      <c r="SLS43" s="33"/>
      <c r="SLT43" s="33"/>
      <c r="SLU43" s="33"/>
      <c r="SLV43" s="33"/>
      <c r="SLW43" s="33"/>
      <c r="SLX43" s="33"/>
      <c r="SLY43" s="33"/>
      <c r="SLZ43" s="33"/>
      <c r="SMA43" s="33"/>
      <c r="SMB43" s="33"/>
      <c r="SMC43" s="33"/>
      <c r="SMD43" s="33"/>
      <c r="SME43" s="33"/>
      <c r="SMF43" s="33"/>
      <c r="SMG43" s="33"/>
      <c r="SMH43" s="33"/>
      <c r="SMI43" s="33"/>
      <c r="SMJ43" s="33"/>
      <c r="SMK43" s="33"/>
      <c r="SML43" s="33"/>
      <c r="SMM43" s="33"/>
      <c r="SMN43" s="33"/>
      <c r="SMO43" s="33"/>
      <c r="SMP43" s="33"/>
      <c r="SMQ43" s="33"/>
      <c r="SMR43" s="33"/>
      <c r="SMS43" s="33"/>
      <c r="SMT43" s="33"/>
      <c r="SMU43" s="33"/>
      <c r="SMV43" s="33"/>
      <c r="SMW43" s="33"/>
      <c r="SMX43" s="33"/>
      <c r="SMY43" s="33"/>
      <c r="SMZ43" s="33"/>
      <c r="SNA43" s="33"/>
      <c r="SNB43" s="33"/>
      <c r="SNC43" s="33"/>
      <c r="SND43" s="33"/>
      <c r="SNE43" s="33"/>
      <c r="SNF43" s="33"/>
      <c r="SNG43" s="33"/>
      <c r="SNH43" s="33"/>
      <c r="SNI43" s="33"/>
      <c r="SNJ43" s="33"/>
      <c r="SNK43" s="33"/>
      <c r="SNL43" s="33"/>
      <c r="SNM43" s="33"/>
      <c r="SNN43" s="33"/>
      <c r="SNO43" s="33"/>
      <c r="SNP43" s="33"/>
      <c r="SNQ43" s="33"/>
      <c r="SNR43" s="33"/>
      <c r="SNS43" s="33"/>
      <c r="SNT43" s="33"/>
      <c r="SNU43" s="33"/>
      <c r="SNV43" s="33"/>
      <c r="SNW43" s="33"/>
      <c r="SNX43" s="33"/>
      <c r="SNY43" s="33"/>
      <c r="SNZ43" s="33"/>
      <c r="SOA43" s="33"/>
      <c r="SOB43" s="33"/>
      <c r="SOC43" s="33"/>
      <c r="SOD43" s="33"/>
      <c r="SOE43" s="33"/>
      <c r="SOF43" s="33"/>
      <c r="SOG43" s="33"/>
      <c r="SOH43" s="33"/>
      <c r="SOI43" s="33"/>
      <c r="SOJ43" s="33"/>
      <c r="SOK43" s="33"/>
      <c r="SOL43" s="33"/>
      <c r="SOM43" s="33"/>
      <c r="SON43" s="33"/>
      <c r="SOO43" s="33"/>
      <c r="SOP43" s="33"/>
      <c r="SOQ43" s="33"/>
      <c r="SOR43" s="33"/>
      <c r="SOS43" s="33"/>
      <c r="SOT43" s="33"/>
      <c r="SOU43" s="33"/>
      <c r="SOV43" s="33"/>
      <c r="SOW43" s="33"/>
      <c r="SOX43" s="33"/>
      <c r="SOY43" s="33"/>
      <c r="SOZ43" s="33"/>
      <c r="SPA43" s="33"/>
      <c r="SPB43" s="33"/>
      <c r="SPC43" s="33"/>
      <c r="SPD43" s="33"/>
      <c r="SPE43" s="33"/>
      <c r="SPF43" s="33"/>
      <c r="SPG43" s="33"/>
      <c r="SPH43" s="33"/>
      <c r="SPI43" s="33"/>
      <c r="SPJ43" s="33"/>
      <c r="SPK43" s="33"/>
      <c r="SPL43" s="33"/>
      <c r="SPM43" s="33"/>
      <c r="SPN43" s="33"/>
      <c r="SPO43" s="33"/>
      <c r="SPP43" s="33"/>
      <c r="SPQ43" s="33"/>
      <c r="SPR43" s="33"/>
      <c r="SPS43" s="33"/>
      <c r="SPT43" s="33"/>
      <c r="SPU43" s="33"/>
      <c r="SPV43" s="33"/>
      <c r="SPW43" s="33"/>
      <c r="SPX43" s="33"/>
      <c r="SPY43" s="33"/>
      <c r="SPZ43" s="33"/>
      <c r="SQA43" s="33"/>
      <c r="SQB43" s="33"/>
      <c r="SQC43" s="33"/>
      <c r="SQD43" s="33"/>
      <c r="SQE43" s="33"/>
      <c r="SQF43" s="33"/>
      <c r="SQG43" s="33"/>
      <c r="SQH43" s="33"/>
      <c r="SQI43" s="33"/>
      <c r="SQJ43" s="33"/>
      <c r="SQK43" s="33"/>
      <c r="SQL43" s="33"/>
      <c r="SQM43" s="33"/>
      <c r="SQN43" s="33"/>
      <c r="SQO43" s="33"/>
      <c r="SQP43" s="33"/>
      <c r="SQQ43" s="33"/>
      <c r="SQR43" s="33"/>
      <c r="SQS43" s="33"/>
      <c r="SQT43" s="33"/>
      <c r="SQU43" s="33"/>
      <c r="SQV43" s="33"/>
      <c r="SQW43" s="33"/>
      <c r="SQX43" s="33"/>
      <c r="SQY43" s="33"/>
      <c r="SQZ43" s="33"/>
      <c r="SRA43" s="33"/>
      <c r="SRB43" s="33"/>
      <c r="SRC43" s="33"/>
      <c r="SRD43" s="33"/>
      <c r="SRE43" s="33"/>
      <c r="SRF43" s="33"/>
      <c r="SRG43" s="33"/>
      <c r="SRH43" s="33"/>
      <c r="SRI43" s="33"/>
      <c r="SRJ43" s="33"/>
      <c r="SRK43" s="33"/>
      <c r="SRL43" s="33"/>
      <c r="SRM43" s="33"/>
      <c r="SRN43" s="33"/>
      <c r="SRO43" s="33"/>
      <c r="SRP43" s="33"/>
      <c r="SRQ43" s="33"/>
      <c r="SRR43" s="33"/>
      <c r="SRS43" s="33"/>
      <c r="SRT43" s="33"/>
      <c r="SRU43" s="33"/>
      <c r="SRV43" s="33"/>
      <c r="SRW43" s="33"/>
      <c r="SRX43" s="33"/>
      <c r="SRY43" s="33"/>
      <c r="SRZ43" s="33"/>
      <c r="SSA43" s="33"/>
      <c r="SSB43" s="33"/>
      <c r="SSC43" s="33"/>
      <c r="SSD43" s="33"/>
      <c r="SSE43" s="33"/>
      <c r="SSF43" s="33"/>
      <c r="SSG43" s="33"/>
      <c r="SSH43" s="33"/>
      <c r="SSI43" s="33"/>
      <c r="SSJ43" s="33"/>
      <c r="SSK43" s="33"/>
      <c r="SSL43" s="33"/>
      <c r="SSM43" s="33"/>
      <c r="SSN43" s="33"/>
      <c r="SSO43" s="33"/>
      <c r="SSP43" s="33"/>
      <c r="SSQ43" s="33"/>
      <c r="SSR43" s="33"/>
      <c r="SSS43" s="33"/>
      <c r="SST43" s="33"/>
      <c r="SSU43" s="33"/>
      <c r="SSV43" s="33"/>
      <c r="SSW43" s="33"/>
      <c r="SSX43" s="33"/>
      <c r="SSY43" s="33"/>
      <c r="SSZ43" s="33"/>
      <c r="STA43" s="33"/>
      <c r="STB43" s="33"/>
      <c r="STC43" s="33"/>
      <c r="STD43" s="33"/>
      <c r="STE43" s="33"/>
      <c r="STF43" s="33"/>
      <c r="STG43" s="33"/>
      <c r="STH43" s="33"/>
      <c r="STI43" s="33"/>
      <c r="STJ43" s="33"/>
      <c r="STK43" s="33"/>
      <c r="STL43" s="33"/>
      <c r="STM43" s="33"/>
      <c r="STN43" s="33"/>
      <c r="STO43" s="33"/>
      <c r="STP43" s="33"/>
      <c r="STQ43" s="33"/>
      <c r="STR43" s="33"/>
      <c r="STS43" s="33"/>
      <c r="STT43" s="33"/>
      <c r="STU43" s="33"/>
      <c r="STV43" s="33"/>
      <c r="STW43" s="33"/>
      <c r="STX43" s="33"/>
      <c r="STY43" s="33"/>
      <c r="STZ43" s="33"/>
      <c r="SUA43" s="33"/>
      <c r="SUB43" s="33"/>
      <c r="SUC43" s="33"/>
      <c r="SUD43" s="33"/>
      <c r="SUE43" s="33"/>
      <c r="SUF43" s="33"/>
      <c r="SUG43" s="33"/>
      <c r="SUH43" s="33"/>
      <c r="SUI43" s="33"/>
      <c r="SUJ43" s="33"/>
      <c r="SUK43" s="33"/>
      <c r="SUL43" s="33"/>
      <c r="SUM43" s="33"/>
      <c r="SUN43" s="33"/>
      <c r="SUO43" s="33"/>
      <c r="SUP43" s="33"/>
      <c r="SUQ43" s="33"/>
      <c r="SUR43" s="33"/>
      <c r="SUS43" s="33"/>
      <c r="SUT43" s="33"/>
      <c r="SUU43" s="33"/>
      <c r="SUV43" s="33"/>
      <c r="SUW43" s="33"/>
      <c r="SUX43" s="33"/>
      <c r="SUY43" s="33"/>
      <c r="SUZ43" s="33"/>
      <c r="SVA43" s="33"/>
      <c r="SVB43" s="33"/>
      <c r="SVC43" s="33"/>
      <c r="SVD43" s="33"/>
      <c r="SVE43" s="33"/>
      <c r="SVF43" s="33"/>
      <c r="SVG43" s="33"/>
      <c r="SVH43" s="33"/>
      <c r="SVI43" s="33"/>
      <c r="SVJ43" s="33"/>
      <c r="SVK43" s="33"/>
      <c r="SVL43" s="33"/>
      <c r="SVM43" s="33"/>
      <c r="SVN43" s="33"/>
      <c r="SVO43" s="33"/>
      <c r="SVP43" s="33"/>
      <c r="SVQ43" s="33"/>
      <c r="SVR43" s="33"/>
      <c r="SVS43" s="33"/>
      <c r="SVT43" s="33"/>
      <c r="SVU43" s="33"/>
      <c r="SVV43" s="33"/>
      <c r="SVW43" s="33"/>
      <c r="SVX43" s="33"/>
      <c r="SVY43" s="33"/>
      <c r="SVZ43" s="33"/>
      <c r="SWA43" s="33"/>
      <c r="SWB43" s="33"/>
      <c r="SWC43" s="33"/>
      <c r="SWD43" s="33"/>
      <c r="SWE43" s="33"/>
      <c r="SWF43" s="33"/>
      <c r="SWG43" s="33"/>
      <c r="SWH43" s="33"/>
      <c r="SWI43" s="33"/>
      <c r="SWJ43" s="33"/>
      <c r="SWK43" s="33"/>
      <c r="SWL43" s="33"/>
      <c r="SWM43" s="33"/>
      <c r="SWN43" s="33"/>
      <c r="SWO43" s="33"/>
      <c r="SWP43" s="33"/>
      <c r="SWQ43" s="33"/>
      <c r="SWR43" s="33"/>
      <c r="SWS43" s="33"/>
      <c r="SWT43" s="33"/>
      <c r="SWU43" s="33"/>
      <c r="SWV43" s="33"/>
      <c r="SWW43" s="33"/>
      <c r="SWX43" s="33"/>
      <c r="SWY43" s="33"/>
      <c r="SWZ43" s="33"/>
      <c r="SXA43" s="33"/>
      <c r="SXB43" s="33"/>
      <c r="SXC43" s="33"/>
      <c r="SXD43" s="33"/>
      <c r="SXE43" s="33"/>
      <c r="SXF43" s="33"/>
      <c r="SXG43" s="33"/>
      <c r="SXH43" s="33"/>
      <c r="SXI43" s="33"/>
      <c r="SXJ43" s="33"/>
      <c r="SXK43" s="33"/>
      <c r="SXL43" s="33"/>
      <c r="SXM43" s="33"/>
      <c r="SXN43" s="33"/>
      <c r="SXO43" s="33"/>
      <c r="SXP43" s="33"/>
      <c r="SXQ43" s="33"/>
      <c r="SXR43" s="33"/>
      <c r="SXS43" s="33"/>
      <c r="SXT43" s="33"/>
      <c r="SXU43" s="33"/>
      <c r="SXV43" s="33"/>
      <c r="SXW43" s="33"/>
      <c r="SXX43" s="33"/>
      <c r="SXY43" s="33"/>
      <c r="SXZ43" s="33"/>
      <c r="SYA43" s="33"/>
      <c r="SYB43" s="33"/>
      <c r="SYC43" s="33"/>
      <c r="SYD43" s="33"/>
      <c r="SYE43" s="33"/>
      <c r="SYF43" s="33"/>
      <c r="SYG43" s="33"/>
      <c r="SYH43" s="33"/>
      <c r="SYI43" s="33"/>
      <c r="SYJ43" s="33"/>
      <c r="SYK43" s="33"/>
      <c r="SYL43" s="33"/>
      <c r="SYM43" s="33"/>
      <c r="SYN43" s="33"/>
      <c r="SYO43" s="33"/>
      <c r="SYP43" s="33"/>
      <c r="SYQ43" s="33"/>
      <c r="SYR43" s="33"/>
      <c r="SYS43" s="33"/>
      <c r="SYT43" s="33"/>
      <c r="SYU43" s="33"/>
      <c r="SYV43" s="33"/>
      <c r="SYW43" s="33"/>
      <c r="SYX43" s="33"/>
      <c r="SYY43" s="33"/>
      <c r="SYZ43" s="33"/>
      <c r="SZA43" s="33"/>
      <c r="SZB43" s="33"/>
      <c r="SZC43" s="33"/>
      <c r="SZD43" s="33"/>
      <c r="SZE43" s="33"/>
      <c r="SZF43" s="33"/>
      <c r="SZG43" s="33"/>
      <c r="SZH43" s="33"/>
      <c r="SZI43" s="33"/>
      <c r="SZJ43" s="33"/>
      <c r="SZK43" s="33"/>
      <c r="SZL43" s="33"/>
      <c r="SZM43" s="33"/>
      <c r="SZN43" s="33"/>
      <c r="SZO43" s="33"/>
      <c r="SZP43" s="33"/>
      <c r="SZQ43" s="33"/>
      <c r="SZR43" s="33"/>
      <c r="SZS43" s="33"/>
      <c r="SZT43" s="33"/>
      <c r="SZU43" s="33"/>
      <c r="SZV43" s="33"/>
      <c r="SZW43" s="33"/>
      <c r="SZX43" s="33"/>
      <c r="SZY43" s="33"/>
      <c r="SZZ43" s="33"/>
      <c r="TAA43" s="33"/>
      <c r="TAB43" s="33"/>
      <c r="TAC43" s="33"/>
      <c r="TAD43" s="33"/>
      <c r="TAE43" s="33"/>
      <c r="TAF43" s="33"/>
      <c r="TAG43" s="33"/>
      <c r="TAH43" s="33"/>
      <c r="TAI43" s="33"/>
      <c r="TAJ43" s="33"/>
      <c r="TAK43" s="33"/>
      <c r="TAL43" s="33"/>
      <c r="TAM43" s="33"/>
      <c r="TAN43" s="33"/>
      <c r="TAO43" s="33"/>
      <c r="TAP43" s="33"/>
      <c r="TAQ43" s="33"/>
      <c r="TAR43" s="33"/>
      <c r="TAS43" s="33"/>
      <c r="TAT43" s="33"/>
      <c r="TAU43" s="33"/>
      <c r="TAV43" s="33"/>
      <c r="TAW43" s="33"/>
      <c r="TAX43" s="33"/>
      <c r="TAY43" s="33"/>
      <c r="TAZ43" s="33"/>
      <c r="TBA43" s="33"/>
      <c r="TBB43" s="33"/>
      <c r="TBC43" s="33"/>
      <c r="TBD43" s="33"/>
      <c r="TBE43" s="33"/>
      <c r="TBF43" s="33"/>
      <c r="TBG43" s="33"/>
      <c r="TBH43" s="33"/>
      <c r="TBI43" s="33"/>
      <c r="TBJ43" s="33"/>
      <c r="TBK43" s="33"/>
      <c r="TBL43" s="33"/>
      <c r="TBM43" s="33"/>
      <c r="TBN43" s="33"/>
      <c r="TBO43" s="33"/>
      <c r="TBP43" s="33"/>
      <c r="TBQ43" s="33"/>
      <c r="TBR43" s="33"/>
      <c r="TBS43" s="33"/>
      <c r="TBT43" s="33"/>
      <c r="TBU43" s="33"/>
      <c r="TBV43" s="33"/>
      <c r="TBW43" s="33"/>
      <c r="TBX43" s="33"/>
      <c r="TBY43" s="33"/>
      <c r="TBZ43" s="33"/>
      <c r="TCA43" s="33"/>
      <c r="TCB43" s="33"/>
      <c r="TCC43" s="33"/>
      <c r="TCD43" s="33"/>
      <c r="TCE43" s="33"/>
      <c r="TCF43" s="33"/>
      <c r="TCG43" s="33"/>
      <c r="TCH43" s="33"/>
      <c r="TCI43" s="33"/>
      <c r="TCJ43" s="33"/>
      <c r="TCK43" s="33"/>
      <c r="TCL43" s="33"/>
      <c r="TCM43" s="33"/>
      <c r="TCN43" s="33"/>
      <c r="TCO43" s="33"/>
      <c r="TCP43" s="33"/>
      <c r="TCQ43" s="33"/>
      <c r="TCR43" s="33"/>
      <c r="TCS43" s="33"/>
      <c r="TCT43" s="33"/>
      <c r="TCU43" s="33"/>
      <c r="TCV43" s="33"/>
      <c r="TCW43" s="33"/>
      <c r="TCX43" s="33"/>
      <c r="TCY43" s="33"/>
      <c r="TCZ43" s="33"/>
      <c r="TDA43" s="33"/>
      <c r="TDB43" s="33"/>
      <c r="TDC43" s="33"/>
      <c r="TDD43" s="33"/>
      <c r="TDE43" s="33"/>
      <c r="TDF43" s="33"/>
      <c r="TDG43" s="33"/>
      <c r="TDH43" s="33"/>
      <c r="TDI43" s="33"/>
      <c r="TDJ43" s="33"/>
      <c r="TDK43" s="33"/>
      <c r="TDL43" s="33"/>
      <c r="TDM43" s="33"/>
      <c r="TDN43" s="33"/>
      <c r="TDO43" s="33"/>
      <c r="TDP43" s="33"/>
      <c r="TDQ43" s="33"/>
      <c r="TDR43" s="33"/>
      <c r="TDS43" s="33"/>
      <c r="TDT43" s="33"/>
      <c r="TDU43" s="33"/>
      <c r="TDV43" s="33"/>
      <c r="TDW43" s="33"/>
      <c r="TDX43" s="33"/>
      <c r="TDY43" s="33"/>
      <c r="TDZ43" s="33"/>
      <c r="TEA43" s="33"/>
      <c r="TEB43" s="33"/>
      <c r="TEC43" s="33"/>
      <c r="TED43" s="33"/>
      <c r="TEE43" s="33"/>
      <c r="TEF43" s="33"/>
      <c r="TEG43" s="33"/>
      <c r="TEH43" s="33"/>
      <c r="TEI43" s="33"/>
      <c r="TEJ43" s="33"/>
      <c r="TEK43" s="33"/>
      <c r="TEL43" s="33"/>
      <c r="TEM43" s="33"/>
      <c r="TEN43" s="33"/>
      <c r="TEO43" s="33"/>
      <c r="TEP43" s="33"/>
      <c r="TEQ43" s="33"/>
      <c r="TER43" s="33"/>
      <c r="TES43" s="33"/>
      <c r="TET43" s="33"/>
      <c r="TEU43" s="33"/>
      <c r="TEV43" s="33"/>
      <c r="TEW43" s="33"/>
      <c r="TEX43" s="33"/>
      <c r="TEY43" s="33"/>
      <c r="TEZ43" s="33"/>
      <c r="TFA43" s="33"/>
      <c r="TFB43" s="33"/>
      <c r="TFC43" s="33"/>
      <c r="TFD43" s="33"/>
      <c r="TFE43" s="33"/>
      <c r="TFF43" s="33"/>
      <c r="TFG43" s="33"/>
      <c r="TFH43" s="33"/>
      <c r="TFI43" s="33"/>
      <c r="TFJ43" s="33"/>
      <c r="TFK43" s="33"/>
      <c r="TFL43" s="33"/>
      <c r="TFM43" s="33"/>
      <c r="TFN43" s="33"/>
      <c r="TFO43" s="33"/>
      <c r="TFP43" s="33"/>
      <c r="TFQ43" s="33"/>
      <c r="TFR43" s="33"/>
      <c r="TFS43" s="33"/>
      <c r="TFT43" s="33"/>
      <c r="TFU43" s="33"/>
      <c r="TFV43" s="33"/>
      <c r="TFW43" s="33"/>
      <c r="TFX43" s="33"/>
      <c r="TFY43" s="33"/>
      <c r="TFZ43" s="33"/>
      <c r="TGA43" s="33"/>
      <c r="TGB43" s="33"/>
      <c r="TGC43" s="33"/>
      <c r="TGD43" s="33"/>
      <c r="TGE43" s="33"/>
      <c r="TGF43" s="33"/>
      <c r="TGG43" s="33"/>
      <c r="TGH43" s="33"/>
      <c r="TGI43" s="33"/>
      <c r="TGJ43" s="33"/>
      <c r="TGK43" s="33"/>
      <c r="TGL43" s="33"/>
      <c r="TGM43" s="33"/>
      <c r="TGN43" s="33"/>
      <c r="TGO43" s="33"/>
      <c r="TGP43" s="33"/>
      <c r="TGQ43" s="33"/>
      <c r="TGR43" s="33"/>
      <c r="TGS43" s="33"/>
      <c r="TGT43" s="33"/>
      <c r="TGU43" s="33"/>
      <c r="TGV43" s="33"/>
      <c r="TGW43" s="33"/>
      <c r="TGX43" s="33"/>
      <c r="TGY43" s="33"/>
      <c r="TGZ43" s="33"/>
      <c r="THA43" s="33"/>
      <c r="THB43" s="33"/>
      <c r="THC43" s="33"/>
      <c r="THD43" s="33"/>
      <c r="THE43" s="33"/>
      <c r="THF43" s="33"/>
      <c r="THG43" s="33"/>
      <c r="THH43" s="33"/>
      <c r="THI43" s="33"/>
      <c r="THJ43" s="33"/>
      <c r="THK43" s="33"/>
      <c r="THL43" s="33"/>
      <c r="THM43" s="33"/>
      <c r="THN43" s="33"/>
      <c r="THO43" s="33"/>
      <c r="THP43" s="33"/>
      <c r="THQ43" s="33"/>
      <c r="THR43" s="33"/>
      <c r="THS43" s="33"/>
      <c r="THT43" s="33"/>
      <c r="THU43" s="33"/>
      <c r="THV43" s="33"/>
      <c r="THW43" s="33"/>
      <c r="THX43" s="33"/>
      <c r="THY43" s="33"/>
      <c r="THZ43" s="33"/>
      <c r="TIA43" s="33"/>
      <c r="TIB43" s="33"/>
      <c r="TIC43" s="33"/>
      <c r="TID43" s="33"/>
      <c r="TIE43" s="33"/>
      <c r="TIF43" s="33"/>
      <c r="TIG43" s="33"/>
      <c r="TIH43" s="33"/>
      <c r="TII43" s="33"/>
      <c r="TIJ43" s="33"/>
      <c r="TIK43" s="33"/>
      <c r="TIL43" s="33"/>
      <c r="TIM43" s="33"/>
      <c r="TIN43" s="33"/>
      <c r="TIO43" s="33"/>
      <c r="TIP43" s="33"/>
      <c r="TIQ43" s="33"/>
      <c r="TIR43" s="33"/>
      <c r="TIS43" s="33"/>
      <c r="TIT43" s="33"/>
      <c r="TIU43" s="33"/>
      <c r="TIV43" s="33"/>
      <c r="TIW43" s="33"/>
      <c r="TIX43" s="33"/>
      <c r="TIY43" s="33"/>
      <c r="TIZ43" s="33"/>
      <c r="TJA43" s="33"/>
      <c r="TJB43" s="33"/>
      <c r="TJC43" s="33"/>
      <c r="TJD43" s="33"/>
      <c r="TJE43" s="33"/>
      <c r="TJF43" s="33"/>
      <c r="TJG43" s="33"/>
      <c r="TJH43" s="33"/>
      <c r="TJI43" s="33"/>
      <c r="TJJ43" s="33"/>
      <c r="TJK43" s="33"/>
      <c r="TJL43" s="33"/>
      <c r="TJM43" s="33"/>
      <c r="TJN43" s="33"/>
      <c r="TJO43" s="33"/>
      <c r="TJP43" s="33"/>
      <c r="TJQ43" s="33"/>
      <c r="TJR43" s="33"/>
      <c r="TJS43" s="33"/>
      <c r="TJT43" s="33"/>
      <c r="TJU43" s="33"/>
      <c r="TJV43" s="33"/>
      <c r="TJW43" s="33"/>
      <c r="TJX43" s="33"/>
      <c r="TJY43" s="33"/>
      <c r="TJZ43" s="33"/>
      <c r="TKA43" s="33"/>
      <c r="TKB43" s="33"/>
      <c r="TKC43" s="33"/>
      <c r="TKD43" s="33"/>
      <c r="TKE43" s="33"/>
      <c r="TKF43" s="33"/>
      <c r="TKG43" s="33"/>
      <c r="TKH43" s="33"/>
      <c r="TKI43" s="33"/>
      <c r="TKJ43" s="33"/>
      <c r="TKK43" s="33"/>
      <c r="TKL43" s="33"/>
      <c r="TKM43" s="33"/>
      <c r="TKN43" s="33"/>
      <c r="TKO43" s="33"/>
      <c r="TKP43" s="33"/>
      <c r="TKQ43" s="33"/>
      <c r="TKR43" s="33"/>
      <c r="TKS43" s="33"/>
      <c r="TKT43" s="33"/>
      <c r="TKU43" s="33"/>
      <c r="TKV43" s="33"/>
      <c r="TKW43" s="33"/>
      <c r="TKX43" s="33"/>
      <c r="TKY43" s="33"/>
      <c r="TKZ43" s="33"/>
      <c r="TLA43" s="33"/>
      <c r="TLB43" s="33"/>
      <c r="TLC43" s="33"/>
      <c r="TLD43" s="33"/>
      <c r="TLE43" s="33"/>
      <c r="TLF43" s="33"/>
      <c r="TLG43" s="33"/>
      <c r="TLH43" s="33"/>
      <c r="TLI43" s="33"/>
      <c r="TLJ43" s="33"/>
      <c r="TLK43" s="33"/>
      <c r="TLL43" s="33"/>
      <c r="TLM43" s="33"/>
      <c r="TLN43" s="33"/>
      <c r="TLO43" s="33"/>
      <c r="TLP43" s="33"/>
      <c r="TLQ43" s="33"/>
      <c r="TLR43" s="33"/>
      <c r="TLS43" s="33"/>
      <c r="TLT43" s="33"/>
      <c r="TLU43" s="33"/>
      <c r="TLV43" s="33"/>
      <c r="TLW43" s="33"/>
      <c r="TLX43" s="33"/>
      <c r="TLY43" s="33"/>
      <c r="TLZ43" s="33"/>
      <c r="TMA43" s="33"/>
      <c r="TMB43" s="33"/>
      <c r="TMC43" s="33"/>
      <c r="TMD43" s="33"/>
      <c r="TME43" s="33"/>
      <c r="TMF43" s="33"/>
      <c r="TMG43" s="33"/>
      <c r="TMH43" s="33"/>
      <c r="TMI43" s="33"/>
      <c r="TMJ43" s="33"/>
      <c r="TMK43" s="33"/>
      <c r="TML43" s="33"/>
      <c r="TMM43" s="33"/>
      <c r="TMN43" s="33"/>
      <c r="TMO43" s="33"/>
      <c r="TMP43" s="33"/>
      <c r="TMQ43" s="33"/>
      <c r="TMR43" s="33"/>
      <c r="TMS43" s="33"/>
      <c r="TMT43" s="33"/>
      <c r="TMU43" s="33"/>
      <c r="TMV43" s="33"/>
      <c r="TMW43" s="33"/>
      <c r="TMX43" s="33"/>
      <c r="TMY43" s="33"/>
      <c r="TMZ43" s="33"/>
      <c r="TNA43" s="33"/>
      <c r="TNB43" s="33"/>
      <c r="TNC43" s="33"/>
      <c r="TND43" s="33"/>
      <c r="TNE43" s="33"/>
      <c r="TNF43" s="33"/>
      <c r="TNG43" s="33"/>
      <c r="TNH43" s="33"/>
      <c r="TNI43" s="33"/>
      <c r="TNJ43" s="33"/>
      <c r="TNK43" s="33"/>
      <c r="TNL43" s="33"/>
      <c r="TNM43" s="33"/>
      <c r="TNN43" s="33"/>
      <c r="TNO43" s="33"/>
      <c r="TNP43" s="33"/>
      <c r="TNQ43" s="33"/>
      <c r="TNR43" s="33"/>
      <c r="TNS43" s="33"/>
      <c r="TNT43" s="33"/>
      <c r="TNU43" s="33"/>
      <c r="TNV43" s="33"/>
      <c r="TNW43" s="33"/>
      <c r="TNX43" s="33"/>
      <c r="TNY43" s="33"/>
      <c r="TNZ43" s="33"/>
      <c r="TOA43" s="33"/>
      <c r="TOB43" s="33"/>
      <c r="TOC43" s="33"/>
      <c r="TOD43" s="33"/>
      <c r="TOE43" s="33"/>
      <c r="TOF43" s="33"/>
      <c r="TOG43" s="33"/>
      <c r="TOH43" s="33"/>
      <c r="TOI43" s="33"/>
      <c r="TOJ43" s="33"/>
      <c r="TOK43" s="33"/>
      <c r="TOL43" s="33"/>
      <c r="TOM43" s="33"/>
      <c r="TON43" s="33"/>
      <c r="TOO43" s="33"/>
      <c r="TOP43" s="33"/>
      <c r="TOQ43" s="33"/>
      <c r="TOR43" s="33"/>
      <c r="TOS43" s="33"/>
      <c r="TOT43" s="33"/>
      <c r="TOU43" s="33"/>
      <c r="TOV43" s="33"/>
      <c r="TOW43" s="33"/>
      <c r="TOX43" s="33"/>
      <c r="TOY43" s="33"/>
      <c r="TOZ43" s="33"/>
      <c r="TPA43" s="33"/>
      <c r="TPB43" s="33"/>
      <c r="TPC43" s="33"/>
      <c r="TPD43" s="33"/>
      <c r="TPE43" s="33"/>
      <c r="TPF43" s="33"/>
      <c r="TPG43" s="33"/>
      <c r="TPH43" s="33"/>
      <c r="TPI43" s="33"/>
      <c r="TPJ43" s="33"/>
      <c r="TPK43" s="33"/>
      <c r="TPL43" s="33"/>
      <c r="TPM43" s="33"/>
      <c r="TPN43" s="33"/>
      <c r="TPO43" s="33"/>
      <c r="TPP43" s="33"/>
      <c r="TPQ43" s="33"/>
      <c r="TPR43" s="33"/>
      <c r="TPS43" s="33"/>
      <c r="TPT43" s="33"/>
      <c r="TPU43" s="33"/>
      <c r="TPV43" s="33"/>
      <c r="TPW43" s="33"/>
      <c r="TPX43" s="33"/>
      <c r="TPY43" s="33"/>
      <c r="TPZ43" s="33"/>
      <c r="TQA43" s="33"/>
      <c r="TQB43" s="33"/>
      <c r="TQC43" s="33"/>
      <c r="TQD43" s="33"/>
      <c r="TQE43" s="33"/>
      <c r="TQF43" s="33"/>
      <c r="TQG43" s="33"/>
      <c r="TQH43" s="33"/>
      <c r="TQI43" s="33"/>
      <c r="TQJ43" s="33"/>
      <c r="TQK43" s="33"/>
      <c r="TQL43" s="33"/>
      <c r="TQM43" s="33"/>
      <c r="TQN43" s="33"/>
      <c r="TQO43" s="33"/>
      <c r="TQP43" s="33"/>
      <c r="TQQ43" s="33"/>
      <c r="TQR43" s="33"/>
      <c r="TQS43" s="33"/>
      <c r="TQT43" s="33"/>
      <c r="TQU43" s="33"/>
      <c r="TQV43" s="33"/>
      <c r="TQW43" s="33"/>
      <c r="TQX43" s="33"/>
      <c r="TQY43" s="33"/>
      <c r="TQZ43" s="33"/>
      <c r="TRA43" s="33"/>
      <c r="TRB43" s="33"/>
      <c r="TRC43" s="33"/>
      <c r="TRD43" s="33"/>
      <c r="TRE43" s="33"/>
      <c r="TRF43" s="33"/>
      <c r="TRG43" s="33"/>
      <c r="TRH43" s="33"/>
      <c r="TRI43" s="33"/>
      <c r="TRJ43" s="33"/>
      <c r="TRK43" s="33"/>
      <c r="TRL43" s="33"/>
      <c r="TRM43" s="33"/>
      <c r="TRN43" s="33"/>
      <c r="TRO43" s="33"/>
      <c r="TRP43" s="33"/>
      <c r="TRQ43" s="33"/>
      <c r="TRR43" s="33"/>
      <c r="TRS43" s="33"/>
      <c r="TRT43" s="33"/>
      <c r="TRU43" s="33"/>
      <c r="TRV43" s="33"/>
      <c r="TRW43" s="33"/>
      <c r="TRX43" s="33"/>
      <c r="TRY43" s="33"/>
      <c r="TRZ43" s="33"/>
      <c r="TSA43" s="33"/>
      <c r="TSB43" s="33"/>
      <c r="TSC43" s="33"/>
      <c r="TSD43" s="33"/>
      <c r="TSE43" s="33"/>
      <c r="TSF43" s="33"/>
      <c r="TSG43" s="33"/>
      <c r="TSH43" s="33"/>
      <c r="TSI43" s="33"/>
      <c r="TSJ43" s="33"/>
      <c r="TSK43" s="33"/>
      <c r="TSL43" s="33"/>
      <c r="TSM43" s="33"/>
      <c r="TSN43" s="33"/>
      <c r="TSO43" s="33"/>
      <c r="TSP43" s="33"/>
      <c r="TSQ43" s="33"/>
      <c r="TSR43" s="33"/>
      <c r="TSS43" s="33"/>
      <c r="TST43" s="33"/>
      <c r="TSU43" s="33"/>
      <c r="TSV43" s="33"/>
      <c r="TSW43" s="33"/>
      <c r="TSX43" s="33"/>
      <c r="TSY43" s="33"/>
      <c r="TSZ43" s="33"/>
      <c r="TTA43" s="33"/>
      <c r="TTB43" s="33"/>
      <c r="TTC43" s="33"/>
      <c r="TTD43" s="33"/>
      <c r="TTE43" s="33"/>
      <c r="TTF43" s="33"/>
      <c r="TTG43" s="33"/>
      <c r="TTH43" s="33"/>
      <c r="TTI43" s="33"/>
      <c r="TTJ43" s="33"/>
      <c r="TTK43" s="33"/>
      <c r="TTL43" s="33"/>
      <c r="TTM43" s="33"/>
      <c r="TTN43" s="33"/>
      <c r="TTO43" s="33"/>
      <c r="TTP43" s="33"/>
      <c r="TTQ43" s="33"/>
      <c r="TTR43" s="33"/>
      <c r="TTS43" s="33"/>
      <c r="TTT43" s="33"/>
      <c r="TTU43" s="33"/>
      <c r="TTV43" s="33"/>
      <c r="TTW43" s="33"/>
      <c r="TTX43" s="33"/>
      <c r="TTY43" s="33"/>
      <c r="TTZ43" s="33"/>
      <c r="TUA43" s="33"/>
      <c r="TUB43" s="33"/>
      <c r="TUC43" s="33"/>
      <c r="TUD43" s="33"/>
      <c r="TUE43" s="33"/>
      <c r="TUF43" s="33"/>
      <c r="TUG43" s="33"/>
      <c r="TUH43" s="33"/>
      <c r="TUI43" s="33"/>
      <c r="TUJ43" s="33"/>
      <c r="TUK43" s="33"/>
      <c r="TUL43" s="33"/>
      <c r="TUM43" s="33"/>
      <c r="TUN43" s="33"/>
      <c r="TUO43" s="33"/>
      <c r="TUP43" s="33"/>
      <c r="TUQ43" s="33"/>
      <c r="TUR43" s="33"/>
      <c r="TUS43" s="33"/>
      <c r="TUT43" s="33"/>
      <c r="TUU43" s="33"/>
      <c r="TUV43" s="33"/>
      <c r="TUW43" s="33"/>
      <c r="TUX43" s="33"/>
      <c r="TUY43" s="33"/>
      <c r="TUZ43" s="33"/>
      <c r="TVA43" s="33"/>
      <c r="TVB43" s="33"/>
      <c r="TVC43" s="33"/>
      <c r="TVD43" s="33"/>
      <c r="TVE43" s="33"/>
      <c r="TVF43" s="33"/>
      <c r="TVG43" s="33"/>
      <c r="TVH43" s="33"/>
      <c r="TVI43" s="33"/>
      <c r="TVJ43" s="33"/>
      <c r="TVK43" s="33"/>
      <c r="TVL43" s="33"/>
      <c r="TVM43" s="33"/>
      <c r="TVN43" s="33"/>
      <c r="TVO43" s="33"/>
      <c r="TVP43" s="33"/>
      <c r="TVQ43" s="33"/>
      <c r="TVR43" s="33"/>
      <c r="TVS43" s="33"/>
      <c r="TVT43" s="33"/>
      <c r="TVU43" s="33"/>
      <c r="TVV43" s="33"/>
      <c r="TVW43" s="33"/>
      <c r="TVX43" s="33"/>
      <c r="TVY43" s="33"/>
      <c r="TVZ43" s="33"/>
      <c r="TWA43" s="33"/>
      <c r="TWB43" s="33"/>
      <c r="TWC43" s="33"/>
      <c r="TWD43" s="33"/>
      <c r="TWE43" s="33"/>
      <c r="TWF43" s="33"/>
      <c r="TWG43" s="33"/>
      <c r="TWH43" s="33"/>
      <c r="TWI43" s="33"/>
      <c r="TWJ43" s="33"/>
      <c r="TWK43" s="33"/>
      <c r="TWL43" s="33"/>
      <c r="TWM43" s="33"/>
      <c r="TWN43" s="33"/>
      <c r="TWO43" s="33"/>
      <c r="TWP43" s="33"/>
      <c r="TWQ43" s="33"/>
      <c r="TWR43" s="33"/>
      <c r="TWS43" s="33"/>
      <c r="TWT43" s="33"/>
      <c r="TWU43" s="33"/>
      <c r="TWV43" s="33"/>
      <c r="TWW43" s="33"/>
      <c r="TWX43" s="33"/>
      <c r="TWY43" s="33"/>
      <c r="TWZ43" s="33"/>
      <c r="TXA43" s="33"/>
      <c r="TXB43" s="33"/>
      <c r="TXC43" s="33"/>
      <c r="TXD43" s="33"/>
      <c r="TXE43" s="33"/>
      <c r="TXF43" s="33"/>
      <c r="TXG43" s="33"/>
      <c r="TXH43" s="33"/>
      <c r="TXI43" s="33"/>
      <c r="TXJ43" s="33"/>
      <c r="TXK43" s="33"/>
      <c r="TXL43" s="33"/>
      <c r="TXM43" s="33"/>
      <c r="TXN43" s="33"/>
      <c r="TXO43" s="33"/>
      <c r="TXP43" s="33"/>
      <c r="TXQ43" s="33"/>
      <c r="TXR43" s="33"/>
      <c r="TXS43" s="33"/>
      <c r="TXT43" s="33"/>
      <c r="TXU43" s="33"/>
      <c r="TXV43" s="33"/>
      <c r="TXW43" s="33"/>
      <c r="TXX43" s="33"/>
      <c r="TXY43" s="33"/>
      <c r="TXZ43" s="33"/>
      <c r="TYA43" s="33"/>
      <c r="TYB43" s="33"/>
      <c r="TYC43" s="33"/>
      <c r="TYD43" s="33"/>
      <c r="TYE43" s="33"/>
      <c r="TYF43" s="33"/>
      <c r="TYG43" s="33"/>
      <c r="TYH43" s="33"/>
      <c r="TYI43" s="33"/>
      <c r="TYJ43" s="33"/>
      <c r="TYK43" s="33"/>
      <c r="TYL43" s="33"/>
      <c r="TYM43" s="33"/>
      <c r="TYN43" s="33"/>
      <c r="TYO43" s="33"/>
      <c r="TYP43" s="33"/>
      <c r="TYQ43" s="33"/>
      <c r="TYR43" s="33"/>
      <c r="TYS43" s="33"/>
      <c r="TYT43" s="33"/>
      <c r="TYU43" s="33"/>
      <c r="TYV43" s="33"/>
      <c r="TYW43" s="33"/>
      <c r="TYX43" s="33"/>
      <c r="TYY43" s="33"/>
      <c r="TYZ43" s="33"/>
      <c r="TZA43" s="33"/>
      <c r="TZB43" s="33"/>
      <c r="TZC43" s="33"/>
      <c r="TZD43" s="33"/>
      <c r="TZE43" s="33"/>
      <c r="TZF43" s="33"/>
      <c r="TZG43" s="33"/>
      <c r="TZH43" s="33"/>
      <c r="TZI43" s="33"/>
      <c r="TZJ43" s="33"/>
      <c r="TZK43" s="33"/>
      <c r="TZL43" s="33"/>
      <c r="TZM43" s="33"/>
      <c r="TZN43" s="33"/>
      <c r="TZO43" s="33"/>
      <c r="TZP43" s="33"/>
      <c r="TZQ43" s="33"/>
      <c r="TZR43" s="33"/>
      <c r="TZS43" s="33"/>
      <c r="TZT43" s="33"/>
      <c r="TZU43" s="33"/>
      <c r="TZV43" s="33"/>
      <c r="TZW43" s="33"/>
      <c r="TZX43" s="33"/>
      <c r="TZY43" s="33"/>
      <c r="TZZ43" s="33"/>
      <c r="UAA43" s="33"/>
      <c r="UAB43" s="33"/>
      <c r="UAC43" s="33"/>
      <c r="UAD43" s="33"/>
      <c r="UAE43" s="33"/>
      <c r="UAF43" s="33"/>
      <c r="UAG43" s="33"/>
      <c r="UAH43" s="33"/>
      <c r="UAI43" s="33"/>
      <c r="UAJ43" s="33"/>
      <c r="UAK43" s="33"/>
      <c r="UAL43" s="33"/>
      <c r="UAM43" s="33"/>
      <c r="UAN43" s="33"/>
      <c r="UAO43" s="33"/>
      <c r="UAP43" s="33"/>
      <c r="UAQ43" s="33"/>
      <c r="UAR43" s="33"/>
      <c r="UAS43" s="33"/>
      <c r="UAT43" s="33"/>
      <c r="UAU43" s="33"/>
      <c r="UAV43" s="33"/>
      <c r="UAW43" s="33"/>
      <c r="UAX43" s="33"/>
      <c r="UAY43" s="33"/>
      <c r="UAZ43" s="33"/>
      <c r="UBA43" s="33"/>
      <c r="UBB43" s="33"/>
      <c r="UBC43" s="33"/>
      <c r="UBD43" s="33"/>
      <c r="UBE43" s="33"/>
      <c r="UBF43" s="33"/>
      <c r="UBG43" s="33"/>
      <c r="UBH43" s="33"/>
      <c r="UBI43" s="33"/>
      <c r="UBJ43" s="33"/>
      <c r="UBK43" s="33"/>
      <c r="UBL43" s="33"/>
      <c r="UBM43" s="33"/>
      <c r="UBN43" s="33"/>
      <c r="UBO43" s="33"/>
      <c r="UBP43" s="33"/>
      <c r="UBQ43" s="33"/>
      <c r="UBR43" s="33"/>
      <c r="UBS43" s="33"/>
      <c r="UBT43" s="33"/>
      <c r="UBU43" s="33"/>
      <c r="UBV43" s="33"/>
      <c r="UBW43" s="33"/>
      <c r="UBX43" s="33"/>
      <c r="UBY43" s="33"/>
      <c r="UBZ43" s="33"/>
      <c r="UCA43" s="33"/>
      <c r="UCB43" s="33"/>
      <c r="UCC43" s="33"/>
      <c r="UCD43" s="33"/>
      <c r="UCE43" s="33"/>
      <c r="UCF43" s="33"/>
      <c r="UCG43" s="33"/>
      <c r="UCH43" s="33"/>
      <c r="UCI43" s="33"/>
      <c r="UCJ43" s="33"/>
      <c r="UCK43" s="33"/>
      <c r="UCL43" s="33"/>
      <c r="UCM43" s="33"/>
      <c r="UCN43" s="33"/>
      <c r="UCO43" s="33"/>
      <c r="UCP43" s="33"/>
      <c r="UCQ43" s="33"/>
      <c r="UCR43" s="33"/>
      <c r="UCS43" s="33"/>
      <c r="UCT43" s="33"/>
      <c r="UCU43" s="33"/>
      <c r="UCV43" s="33"/>
      <c r="UCW43" s="33"/>
      <c r="UCX43" s="33"/>
      <c r="UCY43" s="33"/>
      <c r="UCZ43" s="33"/>
      <c r="UDA43" s="33"/>
      <c r="UDB43" s="33"/>
      <c r="UDC43" s="33"/>
      <c r="UDD43" s="33"/>
      <c r="UDE43" s="33"/>
      <c r="UDF43" s="33"/>
      <c r="UDG43" s="33"/>
      <c r="UDH43" s="33"/>
      <c r="UDI43" s="33"/>
      <c r="UDJ43" s="33"/>
      <c r="UDK43" s="33"/>
      <c r="UDL43" s="33"/>
      <c r="UDM43" s="33"/>
      <c r="UDN43" s="33"/>
      <c r="UDO43" s="33"/>
      <c r="UDP43" s="33"/>
      <c r="UDQ43" s="33"/>
      <c r="UDR43" s="33"/>
      <c r="UDS43" s="33"/>
      <c r="UDT43" s="33"/>
      <c r="UDU43" s="33"/>
      <c r="UDV43" s="33"/>
      <c r="UDW43" s="33"/>
      <c r="UDX43" s="33"/>
      <c r="UDY43" s="33"/>
      <c r="UDZ43" s="33"/>
      <c r="UEA43" s="33"/>
      <c r="UEB43" s="33"/>
      <c r="UEC43" s="33"/>
      <c r="UED43" s="33"/>
      <c r="UEE43" s="33"/>
      <c r="UEF43" s="33"/>
      <c r="UEG43" s="33"/>
      <c r="UEH43" s="33"/>
      <c r="UEI43" s="33"/>
      <c r="UEJ43" s="33"/>
      <c r="UEK43" s="33"/>
      <c r="UEL43" s="33"/>
      <c r="UEM43" s="33"/>
      <c r="UEN43" s="33"/>
      <c r="UEO43" s="33"/>
      <c r="UEP43" s="33"/>
      <c r="UEQ43" s="33"/>
      <c r="UER43" s="33"/>
      <c r="UES43" s="33"/>
      <c r="UET43" s="33"/>
      <c r="UEU43" s="33"/>
      <c r="UEV43" s="33"/>
      <c r="UEW43" s="33"/>
      <c r="UEX43" s="33"/>
      <c r="UEY43" s="33"/>
      <c r="UEZ43" s="33"/>
      <c r="UFA43" s="33"/>
      <c r="UFB43" s="33"/>
      <c r="UFC43" s="33"/>
      <c r="UFD43" s="33"/>
      <c r="UFE43" s="33"/>
      <c r="UFF43" s="33"/>
      <c r="UFG43" s="33"/>
      <c r="UFH43" s="33"/>
      <c r="UFI43" s="33"/>
      <c r="UFJ43" s="33"/>
      <c r="UFK43" s="33"/>
      <c r="UFL43" s="33"/>
      <c r="UFM43" s="33"/>
      <c r="UFN43" s="33"/>
      <c r="UFO43" s="33"/>
      <c r="UFP43" s="33"/>
      <c r="UFQ43" s="33"/>
      <c r="UFR43" s="33"/>
      <c r="UFS43" s="33"/>
      <c r="UFT43" s="33"/>
      <c r="UFU43" s="33"/>
      <c r="UFV43" s="33"/>
      <c r="UFW43" s="33"/>
      <c r="UFX43" s="33"/>
      <c r="UFY43" s="33"/>
      <c r="UFZ43" s="33"/>
      <c r="UGA43" s="33"/>
      <c r="UGB43" s="33"/>
      <c r="UGC43" s="33"/>
      <c r="UGD43" s="33"/>
      <c r="UGE43" s="33"/>
      <c r="UGF43" s="33"/>
      <c r="UGG43" s="33"/>
      <c r="UGH43" s="33"/>
      <c r="UGI43" s="33"/>
      <c r="UGJ43" s="33"/>
      <c r="UGK43" s="33"/>
      <c r="UGL43" s="33"/>
      <c r="UGM43" s="33"/>
      <c r="UGN43" s="33"/>
      <c r="UGO43" s="33"/>
      <c r="UGP43" s="33"/>
      <c r="UGQ43" s="33"/>
      <c r="UGR43" s="33"/>
      <c r="UGS43" s="33"/>
      <c r="UGT43" s="33"/>
      <c r="UGU43" s="33"/>
      <c r="UGV43" s="33"/>
      <c r="UGW43" s="33"/>
      <c r="UGX43" s="33"/>
      <c r="UGY43" s="33"/>
      <c r="UGZ43" s="33"/>
      <c r="UHA43" s="33"/>
      <c r="UHB43" s="33"/>
      <c r="UHC43" s="33"/>
      <c r="UHD43" s="33"/>
      <c r="UHE43" s="33"/>
      <c r="UHF43" s="33"/>
      <c r="UHG43" s="33"/>
      <c r="UHH43" s="33"/>
      <c r="UHI43" s="33"/>
      <c r="UHJ43" s="33"/>
      <c r="UHK43" s="33"/>
      <c r="UHL43" s="33"/>
      <c r="UHM43" s="33"/>
      <c r="UHN43" s="33"/>
      <c r="UHO43" s="33"/>
      <c r="UHP43" s="33"/>
      <c r="UHQ43" s="33"/>
      <c r="UHR43" s="33"/>
      <c r="UHS43" s="33"/>
      <c r="UHT43" s="33"/>
      <c r="UHU43" s="33"/>
      <c r="UHV43" s="33"/>
      <c r="UHW43" s="33"/>
      <c r="UHX43" s="33"/>
      <c r="UHY43" s="33"/>
      <c r="UHZ43" s="33"/>
      <c r="UIA43" s="33"/>
      <c r="UIB43" s="33"/>
      <c r="UIC43" s="33"/>
      <c r="UID43" s="33"/>
      <c r="UIE43" s="33"/>
      <c r="UIF43" s="33"/>
      <c r="UIG43" s="33"/>
      <c r="UIH43" s="33"/>
      <c r="UII43" s="33"/>
      <c r="UIJ43" s="33"/>
      <c r="UIK43" s="33"/>
      <c r="UIL43" s="33"/>
      <c r="UIM43" s="33"/>
      <c r="UIN43" s="33"/>
      <c r="UIO43" s="33"/>
      <c r="UIP43" s="33"/>
      <c r="UIQ43" s="33"/>
      <c r="UIR43" s="33"/>
      <c r="UIS43" s="33"/>
      <c r="UIT43" s="33"/>
      <c r="UIU43" s="33"/>
      <c r="UIV43" s="33"/>
      <c r="UIW43" s="33"/>
      <c r="UIX43" s="33"/>
      <c r="UIY43" s="33"/>
      <c r="UIZ43" s="33"/>
      <c r="UJA43" s="33"/>
      <c r="UJB43" s="33"/>
      <c r="UJC43" s="33"/>
      <c r="UJD43" s="33"/>
      <c r="UJE43" s="33"/>
      <c r="UJF43" s="33"/>
      <c r="UJG43" s="33"/>
      <c r="UJH43" s="33"/>
      <c r="UJI43" s="33"/>
      <c r="UJJ43" s="33"/>
      <c r="UJK43" s="33"/>
      <c r="UJL43" s="33"/>
      <c r="UJM43" s="33"/>
      <c r="UJN43" s="33"/>
      <c r="UJO43" s="33"/>
      <c r="UJP43" s="33"/>
      <c r="UJQ43" s="33"/>
      <c r="UJR43" s="33"/>
      <c r="UJS43" s="33"/>
      <c r="UJT43" s="33"/>
      <c r="UJU43" s="33"/>
      <c r="UJV43" s="33"/>
      <c r="UJW43" s="33"/>
      <c r="UJX43" s="33"/>
      <c r="UJY43" s="33"/>
      <c r="UJZ43" s="33"/>
      <c r="UKA43" s="33"/>
      <c r="UKB43" s="33"/>
      <c r="UKC43" s="33"/>
      <c r="UKD43" s="33"/>
      <c r="UKE43" s="33"/>
      <c r="UKF43" s="33"/>
      <c r="UKG43" s="33"/>
      <c r="UKH43" s="33"/>
      <c r="UKI43" s="33"/>
      <c r="UKJ43" s="33"/>
      <c r="UKK43" s="33"/>
      <c r="UKL43" s="33"/>
      <c r="UKM43" s="33"/>
      <c r="UKN43" s="33"/>
      <c r="UKO43" s="33"/>
      <c r="UKP43" s="33"/>
      <c r="UKQ43" s="33"/>
      <c r="UKR43" s="33"/>
      <c r="UKS43" s="33"/>
      <c r="UKT43" s="33"/>
      <c r="UKU43" s="33"/>
      <c r="UKV43" s="33"/>
      <c r="UKW43" s="33"/>
      <c r="UKX43" s="33"/>
      <c r="UKY43" s="33"/>
      <c r="UKZ43" s="33"/>
      <c r="ULA43" s="33"/>
      <c r="ULB43" s="33"/>
      <c r="ULC43" s="33"/>
      <c r="ULD43" s="33"/>
      <c r="ULE43" s="33"/>
      <c r="ULF43" s="33"/>
      <c r="ULG43" s="33"/>
      <c r="ULH43" s="33"/>
      <c r="ULI43" s="33"/>
      <c r="ULJ43" s="33"/>
      <c r="ULK43" s="33"/>
      <c r="ULL43" s="33"/>
      <c r="ULM43" s="33"/>
      <c r="ULN43" s="33"/>
      <c r="ULO43" s="33"/>
      <c r="ULP43" s="33"/>
      <c r="ULQ43" s="33"/>
      <c r="ULR43" s="33"/>
      <c r="ULS43" s="33"/>
      <c r="ULT43" s="33"/>
      <c r="ULU43" s="33"/>
      <c r="ULV43" s="33"/>
      <c r="ULW43" s="33"/>
      <c r="ULX43" s="33"/>
      <c r="ULY43" s="33"/>
      <c r="ULZ43" s="33"/>
      <c r="UMA43" s="33"/>
      <c r="UMB43" s="33"/>
      <c r="UMC43" s="33"/>
      <c r="UMD43" s="33"/>
      <c r="UME43" s="33"/>
      <c r="UMF43" s="33"/>
      <c r="UMG43" s="33"/>
      <c r="UMH43" s="33"/>
      <c r="UMI43" s="33"/>
      <c r="UMJ43" s="33"/>
      <c r="UMK43" s="33"/>
      <c r="UML43" s="33"/>
      <c r="UMM43" s="33"/>
      <c r="UMN43" s="33"/>
      <c r="UMO43" s="33"/>
      <c r="UMP43" s="33"/>
      <c r="UMQ43" s="33"/>
      <c r="UMR43" s="33"/>
      <c r="UMS43" s="33"/>
      <c r="UMT43" s="33"/>
      <c r="UMU43" s="33"/>
      <c r="UMV43" s="33"/>
      <c r="UMW43" s="33"/>
      <c r="UMX43" s="33"/>
      <c r="UMY43" s="33"/>
      <c r="UMZ43" s="33"/>
      <c r="UNA43" s="33"/>
      <c r="UNB43" s="33"/>
      <c r="UNC43" s="33"/>
      <c r="UND43" s="33"/>
      <c r="UNE43" s="33"/>
      <c r="UNF43" s="33"/>
      <c r="UNG43" s="33"/>
      <c r="UNH43" s="33"/>
      <c r="UNI43" s="33"/>
      <c r="UNJ43" s="33"/>
      <c r="UNK43" s="33"/>
      <c r="UNL43" s="33"/>
      <c r="UNM43" s="33"/>
      <c r="UNN43" s="33"/>
      <c r="UNO43" s="33"/>
      <c r="UNP43" s="33"/>
      <c r="UNQ43" s="33"/>
      <c r="UNR43" s="33"/>
      <c r="UNS43" s="33"/>
      <c r="UNT43" s="33"/>
      <c r="UNU43" s="33"/>
      <c r="UNV43" s="33"/>
      <c r="UNW43" s="33"/>
      <c r="UNX43" s="33"/>
      <c r="UNY43" s="33"/>
      <c r="UNZ43" s="33"/>
      <c r="UOA43" s="33"/>
      <c r="UOB43" s="33"/>
      <c r="UOC43" s="33"/>
      <c r="UOD43" s="33"/>
      <c r="UOE43" s="33"/>
      <c r="UOF43" s="33"/>
      <c r="UOG43" s="33"/>
      <c r="UOH43" s="33"/>
      <c r="UOI43" s="33"/>
      <c r="UOJ43" s="33"/>
      <c r="UOK43" s="33"/>
      <c r="UOL43" s="33"/>
      <c r="UOM43" s="33"/>
      <c r="UON43" s="33"/>
      <c r="UOO43" s="33"/>
      <c r="UOP43" s="33"/>
      <c r="UOQ43" s="33"/>
      <c r="UOR43" s="33"/>
      <c r="UOS43" s="33"/>
      <c r="UOT43" s="33"/>
      <c r="UOU43" s="33"/>
      <c r="UOV43" s="33"/>
      <c r="UOW43" s="33"/>
      <c r="UOX43" s="33"/>
      <c r="UOY43" s="33"/>
      <c r="UOZ43" s="33"/>
      <c r="UPA43" s="33"/>
      <c r="UPB43" s="33"/>
      <c r="UPC43" s="33"/>
      <c r="UPD43" s="33"/>
      <c r="UPE43" s="33"/>
      <c r="UPF43" s="33"/>
      <c r="UPG43" s="33"/>
      <c r="UPH43" s="33"/>
      <c r="UPI43" s="33"/>
      <c r="UPJ43" s="33"/>
      <c r="UPK43" s="33"/>
      <c r="UPL43" s="33"/>
      <c r="UPM43" s="33"/>
      <c r="UPN43" s="33"/>
      <c r="UPO43" s="33"/>
      <c r="UPP43" s="33"/>
      <c r="UPQ43" s="33"/>
      <c r="UPR43" s="33"/>
      <c r="UPS43" s="33"/>
      <c r="UPT43" s="33"/>
      <c r="UPU43" s="33"/>
      <c r="UPV43" s="33"/>
      <c r="UPW43" s="33"/>
      <c r="UPX43" s="33"/>
      <c r="UPY43" s="33"/>
      <c r="UPZ43" s="33"/>
      <c r="UQA43" s="33"/>
      <c r="UQB43" s="33"/>
      <c r="UQC43" s="33"/>
      <c r="UQD43" s="33"/>
      <c r="UQE43" s="33"/>
      <c r="UQF43" s="33"/>
      <c r="UQG43" s="33"/>
      <c r="UQH43" s="33"/>
      <c r="UQI43" s="33"/>
      <c r="UQJ43" s="33"/>
      <c r="UQK43" s="33"/>
      <c r="UQL43" s="33"/>
      <c r="UQM43" s="33"/>
      <c r="UQN43" s="33"/>
      <c r="UQO43" s="33"/>
      <c r="UQP43" s="33"/>
      <c r="UQQ43" s="33"/>
      <c r="UQR43" s="33"/>
      <c r="UQS43" s="33"/>
      <c r="UQT43" s="33"/>
      <c r="UQU43" s="33"/>
      <c r="UQV43" s="33"/>
      <c r="UQW43" s="33"/>
      <c r="UQX43" s="33"/>
      <c r="UQY43" s="33"/>
      <c r="UQZ43" s="33"/>
      <c r="URA43" s="33"/>
      <c r="URB43" s="33"/>
      <c r="URC43" s="33"/>
      <c r="URD43" s="33"/>
      <c r="URE43" s="33"/>
      <c r="URF43" s="33"/>
      <c r="URG43" s="33"/>
      <c r="URH43" s="33"/>
      <c r="URI43" s="33"/>
      <c r="URJ43" s="33"/>
      <c r="URK43" s="33"/>
      <c r="URL43" s="33"/>
      <c r="URM43" s="33"/>
      <c r="URN43" s="33"/>
      <c r="URO43" s="33"/>
      <c r="URP43" s="33"/>
      <c r="URQ43" s="33"/>
      <c r="URR43" s="33"/>
      <c r="URS43" s="33"/>
      <c r="URT43" s="33"/>
      <c r="URU43" s="33"/>
      <c r="URV43" s="33"/>
      <c r="URW43" s="33"/>
      <c r="URX43" s="33"/>
      <c r="URY43" s="33"/>
      <c r="URZ43" s="33"/>
      <c r="USA43" s="33"/>
      <c r="USB43" s="33"/>
      <c r="USC43" s="33"/>
      <c r="USD43" s="33"/>
      <c r="USE43" s="33"/>
      <c r="USF43" s="33"/>
      <c r="USG43" s="33"/>
      <c r="USH43" s="33"/>
      <c r="USI43" s="33"/>
      <c r="USJ43" s="33"/>
      <c r="USK43" s="33"/>
      <c r="USL43" s="33"/>
      <c r="USM43" s="33"/>
      <c r="USN43" s="33"/>
      <c r="USO43" s="33"/>
      <c r="USP43" s="33"/>
      <c r="USQ43" s="33"/>
      <c r="USR43" s="33"/>
      <c r="USS43" s="33"/>
      <c r="UST43" s="33"/>
      <c r="USU43" s="33"/>
      <c r="USV43" s="33"/>
      <c r="USW43" s="33"/>
      <c r="USX43" s="33"/>
      <c r="USY43" s="33"/>
      <c r="USZ43" s="33"/>
      <c r="UTA43" s="33"/>
      <c r="UTB43" s="33"/>
      <c r="UTC43" s="33"/>
      <c r="UTD43" s="33"/>
      <c r="UTE43" s="33"/>
      <c r="UTF43" s="33"/>
      <c r="UTG43" s="33"/>
      <c r="UTH43" s="33"/>
      <c r="UTI43" s="33"/>
      <c r="UTJ43" s="33"/>
      <c r="UTK43" s="33"/>
      <c r="UTL43" s="33"/>
      <c r="UTM43" s="33"/>
      <c r="UTN43" s="33"/>
      <c r="UTO43" s="33"/>
      <c r="UTP43" s="33"/>
      <c r="UTQ43" s="33"/>
      <c r="UTR43" s="33"/>
      <c r="UTS43" s="33"/>
      <c r="UTT43" s="33"/>
      <c r="UTU43" s="33"/>
      <c r="UTV43" s="33"/>
      <c r="UTW43" s="33"/>
      <c r="UTX43" s="33"/>
      <c r="UTY43" s="33"/>
      <c r="UTZ43" s="33"/>
      <c r="UUA43" s="33"/>
      <c r="UUB43" s="33"/>
      <c r="UUC43" s="33"/>
      <c r="UUD43" s="33"/>
      <c r="UUE43" s="33"/>
      <c r="UUF43" s="33"/>
      <c r="UUG43" s="33"/>
      <c r="UUH43" s="33"/>
      <c r="UUI43" s="33"/>
      <c r="UUJ43" s="33"/>
      <c r="UUK43" s="33"/>
      <c r="UUL43" s="33"/>
      <c r="UUM43" s="33"/>
      <c r="UUN43" s="33"/>
      <c r="UUO43" s="33"/>
      <c r="UUP43" s="33"/>
      <c r="UUQ43" s="33"/>
      <c r="UUR43" s="33"/>
      <c r="UUS43" s="33"/>
      <c r="UUT43" s="33"/>
      <c r="UUU43" s="33"/>
      <c r="UUV43" s="33"/>
      <c r="UUW43" s="33"/>
      <c r="UUX43" s="33"/>
      <c r="UUY43" s="33"/>
      <c r="UUZ43" s="33"/>
      <c r="UVA43" s="33"/>
      <c r="UVB43" s="33"/>
      <c r="UVC43" s="33"/>
      <c r="UVD43" s="33"/>
      <c r="UVE43" s="33"/>
      <c r="UVF43" s="33"/>
      <c r="UVG43" s="33"/>
      <c r="UVH43" s="33"/>
      <c r="UVI43" s="33"/>
      <c r="UVJ43" s="33"/>
      <c r="UVK43" s="33"/>
      <c r="UVL43" s="33"/>
      <c r="UVM43" s="33"/>
      <c r="UVN43" s="33"/>
      <c r="UVO43" s="33"/>
      <c r="UVP43" s="33"/>
      <c r="UVQ43" s="33"/>
      <c r="UVR43" s="33"/>
      <c r="UVS43" s="33"/>
      <c r="UVT43" s="33"/>
      <c r="UVU43" s="33"/>
      <c r="UVV43" s="33"/>
      <c r="UVW43" s="33"/>
      <c r="UVX43" s="33"/>
      <c r="UVY43" s="33"/>
      <c r="UVZ43" s="33"/>
      <c r="UWA43" s="33"/>
      <c r="UWB43" s="33"/>
      <c r="UWC43" s="33"/>
      <c r="UWD43" s="33"/>
      <c r="UWE43" s="33"/>
      <c r="UWF43" s="33"/>
      <c r="UWG43" s="33"/>
      <c r="UWH43" s="33"/>
      <c r="UWI43" s="33"/>
      <c r="UWJ43" s="33"/>
      <c r="UWK43" s="33"/>
      <c r="UWL43" s="33"/>
      <c r="UWM43" s="33"/>
      <c r="UWN43" s="33"/>
      <c r="UWO43" s="33"/>
      <c r="UWP43" s="33"/>
      <c r="UWQ43" s="33"/>
      <c r="UWR43" s="33"/>
      <c r="UWS43" s="33"/>
      <c r="UWT43" s="33"/>
      <c r="UWU43" s="33"/>
      <c r="UWV43" s="33"/>
      <c r="UWW43" s="33"/>
      <c r="UWX43" s="33"/>
      <c r="UWY43" s="33"/>
      <c r="UWZ43" s="33"/>
      <c r="UXA43" s="33"/>
      <c r="UXB43" s="33"/>
      <c r="UXC43" s="33"/>
      <c r="UXD43" s="33"/>
      <c r="UXE43" s="33"/>
      <c r="UXF43" s="33"/>
      <c r="UXG43" s="33"/>
      <c r="UXH43" s="33"/>
      <c r="UXI43" s="33"/>
      <c r="UXJ43" s="33"/>
      <c r="UXK43" s="33"/>
      <c r="UXL43" s="33"/>
      <c r="UXM43" s="33"/>
      <c r="UXN43" s="33"/>
      <c r="UXO43" s="33"/>
      <c r="UXP43" s="33"/>
      <c r="UXQ43" s="33"/>
      <c r="UXR43" s="33"/>
      <c r="UXS43" s="33"/>
      <c r="UXT43" s="33"/>
      <c r="UXU43" s="33"/>
      <c r="UXV43" s="33"/>
      <c r="UXW43" s="33"/>
      <c r="UXX43" s="33"/>
      <c r="UXY43" s="33"/>
      <c r="UXZ43" s="33"/>
      <c r="UYA43" s="33"/>
      <c r="UYB43" s="33"/>
      <c r="UYC43" s="33"/>
      <c r="UYD43" s="33"/>
      <c r="UYE43" s="33"/>
      <c r="UYF43" s="33"/>
      <c r="UYG43" s="33"/>
      <c r="UYH43" s="33"/>
      <c r="UYI43" s="33"/>
      <c r="UYJ43" s="33"/>
      <c r="UYK43" s="33"/>
      <c r="UYL43" s="33"/>
      <c r="UYM43" s="33"/>
      <c r="UYN43" s="33"/>
      <c r="UYO43" s="33"/>
      <c r="UYP43" s="33"/>
      <c r="UYQ43" s="33"/>
      <c r="UYR43" s="33"/>
      <c r="UYS43" s="33"/>
      <c r="UYT43" s="33"/>
      <c r="UYU43" s="33"/>
      <c r="UYV43" s="33"/>
      <c r="UYW43" s="33"/>
      <c r="UYX43" s="33"/>
      <c r="UYY43" s="33"/>
      <c r="UYZ43" s="33"/>
      <c r="UZA43" s="33"/>
      <c r="UZB43" s="33"/>
      <c r="UZC43" s="33"/>
      <c r="UZD43" s="33"/>
      <c r="UZE43" s="33"/>
      <c r="UZF43" s="33"/>
      <c r="UZG43" s="33"/>
      <c r="UZH43" s="33"/>
      <c r="UZI43" s="33"/>
      <c r="UZJ43" s="33"/>
      <c r="UZK43" s="33"/>
      <c r="UZL43" s="33"/>
      <c r="UZM43" s="33"/>
      <c r="UZN43" s="33"/>
      <c r="UZO43" s="33"/>
      <c r="UZP43" s="33"/>
      <c r="UZQ43" s="33"/>
      <c r="UZR43" s="33"/>
      <c r="UZS43" s="33"/>
      <c r="UZT43" s="33"/>
      <c r="UZU43" s="33"/>
      <c r="UZV43" s="33"/>
      <c r="UZW43" s="33"/>
      <c r="UZX43" s="33"/>
      <c r="UZY43" s="33"/>
      <c r="UZZ43" s="33"/>
      <c r="VAA43" s="33"/>
      <c r="VAB43" s="33"/>
      <c r="VAC43" s="33"/>
      <c r="VAD43" s="33"/>
      <c r="VAE43" s="33"/>
      <c r="VAF43" s="33"/>
      <c r="VAG43" s="33"/>
      <c r="VAH43" s="33"/>
      <c r="VAI43" s="33"/>
      <c r="VAJ43" s="33"/>
      <c r="VAK43" s="33"/>
      <c r="VAL43" s="33"/>
      <c r="VAM43" s="33"/>
      <c r="VAN43" s="33"/>
      <c r="VAO43" s="33"/>
      <c r="VAP43" s="33"/>
      <c r="VAQ43" s="33"/>
      <c r="VAR43" s="33"/>
      <c r="VAS43" s="33"/>
      <c r="VAT43" s="33"/>
      <c r="VAU43" s="33"/>
      <c r="VAV43" s="33"/>
      <c r="VAW43" s="33"/>
      <c r="VAX43" s="33"/>
      <c r="VAY43" s="33"/>
      <c r="VAZ43" s="33"/>
      <c r="VBA43" s="33"/>
      <c r="VBB43" s="33"/>
      <c r="VBC43" s="33"/>
      <c r="VBD43" s="33"/>
      <c r="VBE43" s="33"/>
      <c r="VBF43" s="33"/>
      <c r="VBG43" s="33"/>
      <c r="VBH43" s="33"/>
      <c r="VBI43" s="33"/>
      <c r="VBJ43" s="33"/>
      <c r="VBK43" s="33"/>
      <c r="VBL43" s="33"/>
      <c r="VBM43" s="33"/>
      <c r="VBN43" s="33"/>
      <c r="VBO43" s="33"/>
      <c r="VBP43" s="33"/>
      <c r="VBQ43" s="33"/>
      <c r="VBR43" s="33"/>
      <c r="VBS43" s="33"/>
      <c r="VBT43" s="33"/>
      <c r="VBU43" s="33"/>
      <c r="VBV43" s="33"/>
      <c r="VBW43" s="33"/>
      <c r="VBX43" s="33"/>
      <c r="VBY43" s="33"/>
      <c r="VBZ43" s="33"/>
      <c r="VCA43" s="33"/>
      <c r="VCB43" s="33"/>
      <c r="VCC43" s="33"/>
      <c r="VCD43" s="33"/>
      <c r="VCE43" s="33"/>
      <c r="VCF43" s="33"/>
      <c r="VCG43" s="33"/>
      <c r="VCH43" s="33"/>
      <c r="VCI43" s="33"/>
      <c r="VCJ43" s="33"/>
      <c r="VCK43" s="33"/>
      <c r="VCL43" s="33"/>
      <c r="VCM43" s="33"/>
      <c r="VCN43" s="33"/>
      <c r="VCO43" s="33"/>
      <c r="VCP43" s="33"/>
      <c r="VCQ43" s="33"/>
      <c r="VCR43" s="33"/>
      <c r="VCS43" s="33"/>
      <c r="VCT43" s="33"/>
      <c r="VCU43" s="33"/>
      <c r="VCV43" s="33"/>
      <c r="VCW43" s="33"/>
      <c r="VCX43" s="33"/>
      <c r="VCY43" s="33"/>
      <c r="VCZ43" s="33"/>
      <c r="VDA43" s="33"/>
      <c r="VDB43" s="33"/>
      <c r="VDC43" s="33"/>
      <c r="VDD43" s="33"/>
      <c r="VDE43" s="33"/>
      <c r="VDF43" s="33"/>
      <c r="VDG43" s="33"/>
      <c r="VDH43" s="33"/>
      <c r="VDI43" s="33"/>
      <c r="VDJ43" s="33"/>
      <c r="VDK43" s="33"/>
      <c r="VDL43" s="33"/>
      <c r="VDM43" s="33"/>
      <c r="VDN43" s="33"/>
      <c r="VDO43" s="33"/>
      <c r="VDP43" s="33"/>
      <c r="VDQ43" s="33"/>
      <c r="VDR43" s="33"/>
      <c r="VDS43" s="33"/>
      <c r="VDT43" s="33"/>
      <c r="VDU43" s="33"/>
      <c r="VDV43" s="33"/>
      <c r="VDW43" s="33"/>
      <c r="VDX43" s="33"/>
      <c r="VDY43" s="33"/>
      <c r="VDZ43" s="33"/>
      <c r="VEA43" s="33"/>
      <c r="VEB43" s="33"/>
      <c r="VEC43" s="33"/>
      <c r="VED43" s="33"/>
      <c r="VEE43" s="33"/>
      <c r="VEF43" s="33"/>
      <c r="VEG43" s="33"/>
      <c r="VEH43" s="33"/>
      <c r="VEI43" s="33"/>
      <c r="VEJ43" s="33"/>
      <c r="VEK43" s="33"/>
      <c r="VEL43" s="33"/>
      <c r="VEM43" s="33"/>
      <c r="VEN43" s="33"/>
      <c r="VEO43" s="33"/>
      <c r="VEP43" s="33"/>
      <c r="VEQ43" s="33"/>
      <c r="VER43" s="33"/>
      <c r="VES43" s="33"/>
      <c r="VET43" s="33"/>
      <c r="VEU43" s="33"/>
      <c r="VEV43" s="33"/>
      <c r="VEW43" s="33"/>
      <c r="VEX43" s="33"/>
      <c r="VEY43" s="33"/>
      <c r="VEZ43" s="33"/>
      <c r="VFA43" s="33"/>
      <c r="VFB43" s="33"/>
      <c r="VFC43" s="33"/>
      <c r="VFD43" s="33"/>
      <c r="VFE43" s="33"/>
      <c r="VFF43" s="33"/>
      <c r="VFG43" s="33"/>
      <c r="VFH43" s="33"/>
      <c r="VFI43" s="33"/>
      <c r="VFJ43" s="33"/>
      <c r="VFK43" s="33"/>
      <c r="VFL43" s="33"/>
      <c r="VFM43" s="33"/>
      <c r="VFN43" s="33"/>
      <c r="VFO43" s="33"/>
      <c r="VFP43" s="33"/>
      <c r="VFQ43" s="33"/>
      <c r="VFR43" s="33"/>
      <c r="VFS43" s="33"/>
      <c r="VFT43" s="33"/>
      <c r="VFU43" s="33"/>
      <c r="VFV43" s="33"/>
      <c r="VFW43" s="33"/>
      <c r="VFX43" s="33"/>
      <c r="VFY43" s="33"/>
      <c r="VFZ43" s="33"/>
      <c r="VGA43" s="33"/>
      <c r="VGB43" s="33"/>
      <c r="VGC43" s="33"/>
      <c r="VGD43" s="33"/>
      <c r="VGE43" s="33"/>
      <c r="VGF43" s="33"/>
      <c r="VGG43" s="33"/>
      <c r="VGH43" s="33"/>
      <c r="VGI43" s="33"/>
      <c r="VGJ43" s="33"/>
      <c r="VGK43" s="33"/>
      <c r="VGL43" s="33"/>
      <c r="VGM43" s="33"/>
      <c r="VGN43" s="33"/>
      <c r="VGO43" s="33"/>
      <c r="VGP43" s="33"/>
      <c r="VGQ43" s="33"/>
      <c r="VGR43" s="33"/>
      <c r="VGS43" s="33"/>
      <c r="VGT43" s="33"/>
      <c r="VGU43" s="33"/>
      <c r="VGV43" s="33"/>
      <c r="VGW43" s="33"/>
      <c r="VGX43" s="33"/>
      <c r="VGY43" s="33"/>
      <c r="VGZ43" s="33"/>
      <c r="VHA43" s="33"/>
      <c r="VHB43" s="33"/>
      <c r="VHC43" s="33"/>
      <c r="VHD43" s="33"/>
      <c r="VHE43" s="33"/>
      <c r="VHF43" s="33"/>
      <c r="VHG43" s="33"/>
      <c r="VHH43" s="33"/>
      <c r="VHI43" s="33"/>
      <c r="VHJ43" s="33"/>
      <c r="VHK43" s="33"/>
      <c r="VHL43" s="33"/>
      <c r="VHM43" s="33"/>
      <c r="VHN43" s="33"/>
      <c r="VHO43" s="33"/>
      <c r="VHP43" s="33"/>
      <c r="VHQ43" s="33"/>
      <c r="VHR43" s="33"/>
      <c r="VHS43" s="33"/>
      <c r="VHT43" s="33"/>
      <c r="VHU43" s="33"/>
      <c r="VHV43" s="33"/>
      <c r="VHW43" s="33"/>
      <c r="VHX43" s="33"/>
      <c r="VHY43" s="33"/>
      <c r="VHZ43" s="33"/>
      <c r="VIA43" s="33"/>
      <c r="VIB43" s="33"/>
      <c r="VIC43" s="33"/>
      <c r="VID43" s="33"/>
      <c r="VIE43" s="33"/>
      <c r="VIF43" s="33"/>
      <c r="VIG43" s="33"/>
      <c r="VIH43" s="33"/>
      <c r="VII43" s="33"/>
      <c r="VIJ43" s="33"/>
      <c r="VIK43" s="33"/>
      <c r="VIL43" s="33"/>
      <c r="VIM43" s="33"/>
      <c r="VIN43" s="33"/>
      <c r="VIO43" s="33"/>
      <c r="VIP43" s="33"/>
      <c r="VIQ43" s="33"/>
      <c r="VIR43" s="33"/>
      <c r="VIS43" s="33"/>
      <c r="VIT43" s="33"/>
      <c r="VIU43" s="33"/>
      <c r="VIV43" s="33"/>
      <c r="VIW43" s="33"/>
      <c r="VIX43" s="33"/>
      <c r="VIY43" s="33"/>
      <c r="VIZ43" s="33"/>
      <c r="VJA43" s="33"/>
      <c r="VJB43" s="33"/>
      <c r="VJC43" s="33"/>
      <c r="VJD43" s="33"/>
      <c r="VJE43" s="33"/>
      <c r="VJF43" s="33"/>
      <c r="VJG43" s="33"/>
      <c r="VJH43" s="33"/>
      <c r="VJI43" s="33"/>
      <c r="VJJ43" s="33"/>
      <c r="VJK43" s="33"/>
      <c r="VJL43" s="33"/>
      <c r="VJM43" s="33"/>
      <c r="VJN43" s="33"/>
      <c r="VJO43" s="33"/>
      <c r="VJP43" s="33"/>
      <c r="VJQ43" s="33"/>
      <c r="VJR43" s="33"/>
      <c r="VJS43" s="33"/>
      <c r="VJT43" s="33"/>
      <c r="VJU43" s="33"/>
      <c r="VJV43" s="33"/>
      <c r="VJW43" s="33"/>
      <c r="VJX43" s="33"/>
      <c r="VJY43" s="33"/>
      <c r="VJZ43" s="33"/>
      <c r="VKA43" s="33"/>
      <c r="VKB43" s="33"/>
      <c r="VKC43" s="33"/>
      <c r="VKD43" s="33"/>
      <c r="VKE43" s="33"/>
      <c r="VKF43" s="33"/>
      <c r="VKG43" s="33"/>
      <c r="VKH43" s="33"/>
      <c r="VKI43" s="33"/>
      <c r="VKJ43" s="33"/>
      <c r="VKK43" s="33"/>
      <c r="VKL43" s="33"/>
      <c r="VKM43" s="33"/>
      <c r="VKN43" s="33"/>
      <c r="VKO43" s="33"/>
      <c r="VKP43" s="33"/>
      <c r="VKQ43" s="33"/>
      <c r="VKR43" s="33"/>
      <c r="VKS43" s="33"/>
      <c r="VKT43" s="33"/>
      <c r="VKU43" s="33"/>
      <c r="VKV43" s="33"/>
      <c r="VKW43" s="33"/>
      <c r="VKX43" s="33"/>
      <c r="VKY43" s="33"/>
      <c r="VKZ43" s="33"/>
      <c r="VLA43" s="33"/>
      <c r="VLB43" s="33"/>
      <c r="VLC43" s="33"/>
      <c r="VLD43" s="33"/>
      <c r="VLE43" s="33"/>
      <c r="VLF43" s="33"/>
      <c r="VLG43" s="33"/>
      <c r="VLH43" s="33"/>
      <c r="VLI43" s="33"/>
      <c r="VLJ43" s="33"/>
      <c r="VLK43" s="33"/>
      <c r="VLL43" s="33"/>
      <c r="VLM43" s="33"/>
      <c r="VLN43" s="33"/>
      <c r="VLO43" s="33"/>
      <c r="VLP43" s="33"/>
      <c r="VLQ43" s="33"/>
      <c r="VLR43" s="33"/>
      <c r="VLS43" s="33"/>
      <c r="VLT43" s="33"/>
      <c r="VLU43" s="33"/>
      <c r="VLV43" s="33"/>
      <c r="VLW43" s="33"/>
      <c r="VLX43" s="33"/>
      <c r="VLY43" s="33"/>
      <c r="VLZ43" s="33"/>
      <c r="VMA43" s="33"/>
      <c r="VMB43" s="33"/>
      <c r="VMC43" s="33"/>
      <c r="VMD43" s="33"/>
      <c r="VME43" s="33"/>
      <c r="VMF43" s="33"/>
      <c r="VMG43" s="33"/>
      <c r="VMH43" s="33"/>
      <c r="VMI43" s="33"/>
      <c r="VMJ43" s="33"/>
      <c r="VMK43" s="33"/>
      <c r="VML43" s="33"/>
      <c r="VMM43" s="33"/>
      <c r="VMN43" s="33"/>
      <c r="VMO43" s="33"/>
      <c r="VMP43" s="33"/>
      <c r="VMQ43" s="33"/>
      <c r="VMR43" s="33"/>
      <c r="VMS43" s="33"/>
      <c r="VMT43" s="33"/>
      <c r="VMU43" s="33"/>
      <c r="VMV43" s="33"/>
      <c r="VMW43" s="33"/>
      <c r="VMX43" s="33"/>
      <c r="VMY43" s="33"/>
      <c r="VMZ43" s="33"/>
      <c r="VNA43" s="33"/>
      <c r="VNB43" s="33"/>
      <c r="VNC43" s="33"/>
      <c r="VND43" s="33"/>
      <c r="VNE43" s="33"/>
      <c r="VNF43" s="33"/>
      <c r="VNG43" s="33"/>
      <c r="VNH43" s="33"/>
      <c r="VNI43" s="33"/>
      <c r="VNJ43" s="33"/>
      <c r="VNK43" s="33"/>
      <c r="VNL43" s="33"/>
      <c r="VNM43" s="33"/>
      <c r="VNN43" s="33"/>
      <c r="VNO43" s="33"/>
      <c r="VNP43" s="33"/>
      <c r="VNQ43" s="33"/>
      <c r="VNR43" s="33"/>
      <c r="VNS43" s="33"/>
      <c r="VNT43" s="33"/>
      <c r="VNU43" s="33"/>
      <c r="VNV43" s="33"/>
      <c r="VNW43" s="33"/>
      <c r="VNX43" s="33"/>
      <c r="VNY43" s="33"/>
      <c r="VNZ43" s="33"/>
      <c r="VOA43" s="33"/>
      <c r="VOB43" s="33"/>
      <c r="VOC43" s="33"/>
      <c r="VOD43" s="33"/>
      <c r="VOE43" s="33"/>
      <c r="VOF43" s="33"/>
      <c r="VOG43" s="33"/>
      <c r="VOH43" s="33"/>
      <c r="VOI43" s="33"/>
      <c r="VOJ43" s="33"/>
      <c r="VOK43" s="33"/>
      <c r="VOL43" s="33"/>
      <c r="VOM43" s="33"/>
      <c r="VON43" s="33"/>
      <c r="VOO43" s="33"/>
      <c r="VOP43" s="33"/>
      <c r="VOQ43" s="33"/>
      <c r="VOR43" s="33"/>
      <c r="VOS43" s="33"/>
      <c r="VOT43" s="33"/>
      <c r="VOU43" s="33"/>
      <c r="VOV43" s="33"/>
      <c r="VOW43" s="33"/>
      <c r="VOX43" s="33"/>
      <c r="VOY43" s="33"/>
      <c r="VOZ43" s="33"/>
      <c r="VPA43" s="33"/>
      <c r="VPB43" s="33"/>
      <c r="VPC43" s="33"/>
      <c r="VPD43" s="33"/>
      <c r="VPE43" s="33"/>
      <c r="VPF43" s="33"/>
      <c r="VPG43" s="33"/>
      <c r="VPH43" s="33"/>
      <c r="VPI43" s="33"/>
      <c r="VPJ43" s="33"/>
      <c r="VPK43" s="33"/>
      <c r="VPL43" s="33"/>
      <c r="VPM43" s="33"/>
      <c r="VPN43" s="33"/>
      <c r="VPO43" s="33"/>
      <c r="VPP43" s="33"/>
      <c r="VPQ43" s="33"/>
      <c r="VPR43" s="33"/>
      <c r="VPS43" s="33"/>
      <c r="VPT43" s="33"/>
      <c r="VPU43" s="33"/>
      <c r="VPV43" s="33"/>
      <c r="VPW43" s="33"/>
      <c r="VPX43" s="33"/>
      <c r="VPY43" s="33"/>
      <c r="VPZ43" s="33"/>
      <c r="VQA43" s="33"/>
      <c r="VQB43" s="33"/>
      <c r="VQC43" s="33"/>
      <c r="VQD43" s="33"/>
      <c r="VQE43" s="33"/>
      <c r="VQF43" s="33"/>
      <c r="VQG43" s="33"/>
      <c r="VQH43" s="33"/>
      <c r="VQI43" s="33"/>
      <c r="VQJ43" s="33"/>
      <c r="VQK43" s="33"/>
      <c r="VQL43" s="33"/>
      <c r="VQM43" s="33"/>
      <c r="VQN43" s="33"/>
      <c r="VQO43" s="33"/>
      <c r="VQP43" s="33"/>
      <c r="VQQ43" s="33"/>
      <c r="VQR43" s="33"/>
      <c r="VQS43" s="33"/>
      <c r="VQT43" s="33"/>
      <c r="VQU43" s="33"/>
      <c r="VQV43" s="33"/>
      <c r="VQW43" s="33"/>
      <c r="VQX43" s="33"/>
      <c r="VQY43" s="33"/>
      <c r="VQZ43" s="33"/>
      <c r="VRA43" s="33"/>
      <c r="VRB43" s="33"/>
      <c r="VRC43" s="33"/>
      <c r="VRD43" s="33"/>
      <c r="VRE43" s="33"/>
      <c r="VRF43" s="33"/>
      <c r="VRG43" s="33"/>
      <c r="VRH43" s="33"/>
      <c r="VRI43" s="33"/>
      <c r="VRJ43" s="33"/>
      <c r="VRK43" s="33"/>
      <c r="VRL43" s="33"/>
      <c r="VRM43" s="33"/>
      <c r="VRN43" s="33"/>
      <c r="VRO43" s="33"/>
      <c r="VRP43" s="33"/>
      <c r="VRQ43" s="33"/>
      <c r="VRR43" s="33"/>
      <c r="VRS43" s="33"/>
      <c r="VRT43" s="33"/>
      <c r="VRU43" s="33"/>
      <c r="VRV43" s="33"/>
      <c r="VRW43" s="33"/>
      <c r="VRX43" s="33"/>
      <c r="VRY43" s="33"/>
      <c r="VRZ43" s="33"/>
      <c r="VSA43" s="33"/>
      <c r="VSB43" s="33"/>
      <c r="VSC43" s="33"/>
      <c r="VSD43" s="33"/>
      <c r="VSE43" s="33"/>
      <c r="VSF43" s="33"/>
      <c r="VSG43" s="33"/>
      <c r="VSH43" s="33"/>
      <c r="VSI43" s="33"/>
      <c r="VSJ43" s="33"/>
      <c r="VSK43" s="33"/>
      <c r="VSL43" s="33"/>
      <c r="VSM43" s="33"/>
      <c r="VSN43" s="33"/>
      <c r="VSO43" s="33"/>
      <c r="VSP43" s="33"/>
      <c r="VSQ43" s="33"/>
      <c r="VSR43" s="33"/>
      <c r="VSS43" s="33"/>
      <c r="VST43" s="33"/>
      <c r="VSU43" s="33"/>
      <c r="VSV43" s="33"/>
      <c r="VSW43" s="33"/>
      <c r="VSX43" s="33"/>
      <c r="VSY43" s="33"/>
      <c r="VSZ43" s="33"/>
      <c r="VTA43" s="33"/>
      <c r="VTB43" s="33"/>
      <c r="VTC43" s="33"/>
      <c r="VTD43" s="33"/>
      <c r="VTE43" s="33"/>
      <c r="VTF43" s="33"/>
      <c r="VTG43" s="33"/>
      <c r="VTH43" s="33"/>
      <c r="VTI43" s="33"/>
      <c r="VTJ43" s="33"/>
      <c r="VTK43" s="33"/>
      <c r="VTL43" s="33"/>
      <c r="VTM43" s="33"/>
      <c r="VTN43" s="33"/>
      <c r="VTO43" s="33"/>
      <c r="VTP43" s="33"/>
      <c r="VTQ43" s="33"/>
      <c r="VTR43" s="33"/>
      <c r="VTS43" s="33"/>
      <c r="VTT43" s="33"/>
      <c r="VTU43" s="33"/>
      <c r="VTV43" s="33"/>
      <c r="VTW43" s="33"/>
      <c r="VTX43" s="33"/>
      <c r="VTY43" s="33"/>
      <c r="VTZ43" s="33"/>
      <c r="VUA43" s="33"/>
      <c r="VUB43" s="33"/>
      <c r="VUC43" s="33"/>
      <c r="VUD43" s="33"/>
      <c r="VUE43" s="33"/>
      <c r="VUF43" s="33"/>
      <c r="VUG43" s="33"/>
      <c r="VUH43" s="33"/>
      <c r="VUI43" s="33"/>
      <c r="VUJ43" s="33"/>
      <c r="VUK43" s="33"/>
      <c r="VUL43" s="33"/>
      <c r="VUM43" s="33"/>
      <c r="VUN43" s="33"/>
      <c r="VUO43" s="33"/>
      <c r="VUP43" s="33"/>
      <c r="VUQ43" s="33"/>
      <c r="VUR43" s="33"/>
      <c r="VUS43" s="33"/>
      <c r="VUT43" s="33"/>
      <c r="VUU43" s="33"/>
      <c r="VUV43" s="33"/>
      <c r="VUW43" s="33"/>
      <c r="VUX43" s="33"/>
      <c r="VUY43" s="33"/>
      <c r="VUZ43" s="33"/>
      <c r="VVA43" s="33"/>
      <c r="VVB43" s="33"/>
      <c r="VVC43" s="33"/>
      <c r="VVD43" s="33"/>
      <c r="VVE43" s="33"/>
      <c r="VVF43" s="33"/>
      <c r="VVG43" s="33"/>
      <c r="VVH43" s="33"/>
      <c r="VVI43" s="33"/>
      <c r="VVJ43" s="33"/>
      <c r="VVK43" s="33"/>
      <c r="VVL43" s="33"/>
      <c r="VVM43" s="33"/>
      <c r="VVN43" s="33"/>
      <c r="VVO43" s="33"/>
      <c r="VVP43" s="33"/>
      <c r="VVQ43" s="33"/>
      <c r="VVR43" s="33"/>
      <c r="VVS43" s="33"/>
      <c r="VVT43" s="33"/>
      <c r="VVU43" s="33"/>
      <c r="VVV43" s="33"/>
      <c r="VVW43" s="33"/>
      <c r="VVX43" s="33"/>
      <c r="VVY43" s="33"/>
      <c r="VVZ43" s="33"/>
      <c r="VWA43" s="33"/>
      <c r="VWB43" s="33"/>
      <c r="VWC43" s="33"/>
      <c r="VWD43" s="33"/>
      <c r="VWE43" s="33"/>
      <c r="VWF43" s="33"/>
      <c r="VWG43" s="33"/>
      <c r="VWH43" s="33"/>
      <c r="VWI43" s="33"/>
      <c r="VWJ43" s="33"/>
      <c r="VWK43" s="33"/>
      <c r="VWL43" s="33"/>
      <c r="VWM43" s="33"/>
      <c r="VWN43" s="33"/>
      <c r="VWO43" s="33"/>
      <c r="VWP43" s="33"/>
      <c r="VWQ43" s="33"/>
      <c r="VWR43" s="33"/>
      <c r="VWS43" s="33"/>
      <c r="VWT43" s="33"/>
      <c r="VWU43" s="33"/>
      <c r="VWV43" s="33"/>
      <c r="VWW43" s="33"/>
      <c r="VWX43" s="33"/>
      <c r="VWY43" s="33"/>
      <c r="VWZ43" s="33"/>
      <c r="VXA43" s="33"/>
      <c r="VXB43" s="33"/>
      <c r="VXC43" s="33"/>
      <c r="VXD43" s="33"/>
      <c r="VXE43" s="33"/>
      <c r="VXF43" s="33"/>
      <c r="VXG43" s="33"/>
      <c r="VXH43" s="33"/>
      <c r="VXI43" s="33"/>
      <c r="VXJ43" s="33"/>
      <c r="VXK43" s="33"/>
      <c r="VXL43" s="33"/>
      <c r="VXM43" s="33"/>
      <c r="VXN43" s="33"/>
      <c r="VXO43" s="33"/>
      <c r="VXP43" s="33"/>
      <c r="VXQ43" s="33"/>
      <c r="VXR43" s="33"/>
      <c r="VXS43" s="33"/>
      <c r="VXT43" s="33"/>
      <c r="VXU43" s="33"/>
      <c r="VXV43" s="33"/>
      <c r="VXW43" s="33"/>
      <c r="VXX43" s="33"/>
      <c r="VXY43" s="33"/>
      <c r="VXZ43" s="33"/>
      <c r="VYA43" s="33"/>
      <c r="VYB43" s="33"/>
      <c r="VYC43" s="33"/>
      <c r="VYD43" s="33"/>
      <c r="VYE43" s="33"/>
      <c r="VYF43" s="33"/>
      <c r="VYG43" s="33"/>
      <c r="VYH43" s="33"/>
      <c r="VYI43" s="33"/>
      <c r="VYJ43" s="33"/>
      <c r="VYK43" s="33"/>
      <c r="VYL43" s="33"/>
      <c r="VYM43" s="33"/>
      <c r="VYN43" s="33"/>
      <c r="VYO43" s="33"/>
      <c r="VYP43" s="33"/>
      <c r="VYQ43" s="33"/>
      <c r="VYR43" s="33"/>
      <c r="VYS43" s="33"/>
      <c r="VYT43" s="33"/>
      <c r="VYU43" s="33"/>
      <c r="VYV43" s="33"/>
      <c r="VYW43" s="33"/>
      <c r="VYX43" s="33"/>
      <c r="VYY43" s="33"/>
      <c r="VYZ43" s="33"/>
      <c r="VZA43" s="33"/>
      <c r="VZB43" s="33"/>
      <c r="VZC43" s="33"/>
      <c r="VZD43" s="33"/>
      <c r="VZE43" s="33"/>
      <c r="VZF43" s="33"/>
      <c r="VZG43" s="33"/>
      <c r="VZH43" s="33"/>
      <c r="VZI43" s="33"/>
      <c r="VZJ43" s="33"/>
      <c r="VZK43" s="33"/>
      <c r="VZL43" s="33"/>
      <c r="VZM43" s="33"/>
      <c r="VZN43" s="33"/>
      <c r="VZO43" s="33"/>
      <c r="VZP43" s="33"/>
      <c r="VZQ43" s="33"/>
      <c r="VZR43" s="33"/>
      <c r="VZS43" s="33"/>
      <c r="VZT43" s="33"/>
      <c r="VZU43" s="33"/>
      <c r="VZV43" s="33"/>
      <c r="VZW43" s="33"/>
      <c r="VZX43" s="33"/>
      <c r="VZY43" s="33"/>
      <c r="VZZ43" s="33"/>
      <c r="WAA43" s="33"/>
      <c r="WAB43" s="33"/>
      <c r="WAC43" s="33"/>
      <c r="WAD43" s="33"/>
      <c r="WAE43" s="33"/>
      <c r="WAF43" s="33"/>
      <c r="WAG43" s="33"/>
      <c r="WAH43" s="33"/>
      <c r="WAI43" s="33"/>
      <c r="WAJ43" s="33"/>
      <c r="WAK43" s="33"/>
      <c r="WAL43" s="33"/>
      <c r="WAM43" s="33"/>
      <c r="WAN43" s="33"/>
      <c r="WAO43" s="33"/>
      <c r="WAP43" s="33"/>
      <c r="WAQ43" s="33"/>
      <c r="WAR43" s="33"/>
      <c r="WAS43" s="33"/>
      <c r="WAT43" s="33"/>
      <c r="WAU43" s="33"/>
      <c r="WAV43" s="33"/>
      <c r="WAW43" s="33"/>
      <c r="WAX43" s="33"/>
      <c r="WAY43" s="33"/>
      <c r="WAZ43" s="33"/>
      <c r="WBA43" s="33"/>
      <c r="WBB43" s="33"/>
      <c r="WBC43" s="33"/>
      <c r="WBD43" s="33"/>
      <c r="WBE43" s="33"/>
      <c r="WBF43" s="33"/>
      <c r="WBG43" s="33"/>
      <c r="WBH43" s="33"/>
      <c r="WBI43" s="33"/>
      <c r="WBJ43" s="33"/>
      <c r="WBK43" s="33"/>
      <c r="WBL43" s="33"/>
      <c r="WBM43" s="33"/>
      <c r="WBN43" s="33"/>
      <c r="WBO43" s="33"/>
      <c r="WBP43" s="33"/>
      <c r="WBQ43" s="33"/>
      <c r="WBR43" s="33"/>
      <c r="WBS43" s="33"/>
      <c r="WBT43" s="33"/>
      <c r="WBU43" s="33"/>
      <c r="WBV43" s="33"/>
      <c r="WBW43" s="33"/>
      <c r="WBX43" s="33"/>
      <c r="WBY43" s="33"/>
      <c r="WBZ43" s="33"/>
      <c r="WCA43" s="33"/>
      <c r="WCB43" s="33"/>
      <c r="WCC43" s="33"/>
      <c r="WCD43" s="33"/>
      <c r="WCE43" s="33"/>
      <c r="WCF43" s="33"/>
      <c r="WCG43" s="33"/>
      <c r="WCH43" s="33"/>
      <c r="WCI43" s="33"/>
      <c r="WCJ43" s="33"/>
      <c r="WCK43" s="33"/>
      <c r="WCL43" s="33"/>
      <c r="WCM43" s="33"/>
      <c r="WCN43" s="33"/>
      <c r="WCO43" s="33"/>
      <c r="WCP43" s="33"/>
      <c r="WCQ43" s="33"/>
      <c r="WCR43" s="33"/>
      <c r="WCS43" s="33"/>
      <c r="WCT43" s="33"/>
      <c r="WCU43" s="33"/>
      <c r="WCV43" s="33"/>
      <c r="WCW43" s="33"/>
      <c r="WCX43" s="33"/>
      <c r="WCY43" s="33"/>
      <c r="WCZ43" s="33"/>
      <c r="WDA43" s="33"/>
      <c r="WDB43" s="33"/>
      <c r="WDC43" s="33"/>
      <c r="WDD43" s="33"/>
      <c r="WDE43" s="33"/>
      <c r="WDF43" s="33"/>
      <c r="WDG43" s="33"/>
      <c r="WDH43" s="33"/>
      <c r="WDI43" s="33"/>
      <c r="WDJ43" s="33"/>
      <c r="WDK43" s="33"/>
      <c r="WDL43" s="33"/>
      <c r="WDM43" s="33"/>
      <c r="WDN43" s="33"/>
      <c r="WDO43" s="33"/>
      <c r="WDP43" s="33"/>
      <c r="WDQ43" s="33"/>
      <c r="WDR43" s="33"/>
      <c r="WDS43" s="33"/>
      <c r="WDT43" s="33"/>
      <c r="WDU43" s="33"/>
      <c r="WDV43" s="33"/>
      <c r="WDW43" s="33"/>
      <c r="WDX43" s="33"/>
      <c r="WDY43" s="33"/>
      <c r="WDZ43" s="33"/>
      <c r="WEA43" s="33"/>
      <c r="WEB43" s="33"/>
      <c r="WEC43" s="33"/>
      <c r="WED43" s="33"/>
      <c r="WEE43" s="33"/>
      <c r="WEF43" s="33"/>
      <c r="WEG43" s="33"/>
      <c r="WEH43" s="33"/>
      <c r="WEI43" s="33"/>
      <c r="WEJ43" s="33"/>
      <c r="WEK43" s="33"/>
      <c r="WEL43" s="33"/>
      <c r="WEM43" s="33"/>
      <c r="WEN43" s="33"/>
      <c r="WEO43" s="33"/>
      <c r="WEP43" s="33"/>
      <c r="WEQ43" s="33"/>
      <c r="WER43" s="33"/>
      <c r="WES43" s="33"/>
      <c r="WET43" s="33"/>
      <c r="WEU43" s="33"/>
      <c r="WEV43" s="33"/>
      <c r="WEW43" s="33"/>
      <c r="WEX43" s="33"/>
      <c r="WEY43" s="33"/>
      <c r="WEZ43" s="33"/>
      <c r="WFA43" s="33"/>
      <c r="WFB43" s="33"/>
      <c r="WFC43" s="33"/>
      <c r="WFD43" s="33"/>
      <c r="WFE43" s="33"/>
      <c r="WFF43" s="33"/>
      <c r="WFG43" s="33"/>
      <c r="WFH43" s="33"/>
      <c r="WFI43" s="33"/>
      <c r="WFJ43" s="33"/>
      <c r="WFK43" s="33"/>
      <c r="WFL43" s="33"/>
      <c r="WFM43" s="33"/>
      <c r="WFN43" s="33"/>
      <c r="WFO43" s="33"/>
      <c r="WFP43" s="33"/>
      <c r="WFQ43" s="33"/>
      <c r="WFR43" s="33"/>
      <c r="WFS43" s="33"/>
      <c r="WFT43" s="33"/>
      <c r="WFU43" s="33"/>
      <c r="WFV43" s="33"/>
      <c r="WFW43" s="33"/>
      <c r="WFX43" s="33"/>
      <c r="WFY43" s="33"/>
      <c r="WFZ43" s="33"/>
      <c r="WGA43" s="33"/>
      <c r="WGB43" s="33"/>
      <c r="WGC43" s="33"/>
      <c r="WGD43" s="33"/>
      <c r="WGE43" s="33"/>
      <c r="WGF43" s="33"/>
      <c r="WGG43" s="33"/>
      <c r="WGH43" s="33"/>
      <c r="WGI43" s="33"/>
      <c r="WGJ43" s="33"/>
      <c r="WGK43" s="33"/>
      <c r="WGL43" s="33"/>
      <c r="WGM43" s="33"/>
      <c r="WGN43" s="33"/>
      <c r="WGO43" s="33"/>
      <c r="WGP43" s="33"/>
      <c r="WGQ43" s="33"/>
      <c r="WGR43" s="33"/>
      <c r="WGS43" s="33"/>
      <c r="WGT43" s="33"/>
      <c r="WGU43" s="33"/>
      <c r="WGV43" s="33"/>
      <c r="WGW43" s="33"/>
      <c r="WGX43" s="33"/>
      <c r="WGY43" s="33"/>
      <c r="WGZ43" s="33"/>
      <c r="WHA43" s="33"/>
      <c r="WHB43" s="33"/>
      <c r="WHC43" s="33"/>
      <c r="WHD43" s="33"/>
      <c r="WHE43" s="33"/>
      <c r="WHF43" s="33"/>
      <c r="WHG43" s="33"/>
      <c r="WHH43" s="33"/>
      <c r="WHI43" s="33"/>
      <c r="WHJ43" s="33"/>
      <c r="WHK43" s="33"/>
      <c r="WHL43" s="33"/>
      <c r="WHM43" s="33"/>
      <c r="WHN43" s="33"/>
      <c r="WHO43" s="33"/>
      <c r="WHP43" s="33"/>
      <c r="WHQ43" s="33"/>
      <c r="WHR43" s="33"/>
      <c r="WHS43" s="33"/>
      <c r="WHT43" s="33"/>
      <c r="WHU43" s="33"/>
      <c r="WHV43" s="33"/>
      <c r="WHW43" s="33"/>
      <c r="WHX43" s="33"/>
      <c r="WHY43" s="33"/>
      <c r="WHZ43" s="33"/>
      <c r="WIA43" s="33"/>
      <c r="WIB43" s="33"/>
      <c r="WIC43" s="33"/>
      <c r="WID43" s="33"/>
      <c r="WIE43" s="33"/>
      <c r="WIF43" s="33"/>
      <c r="WIG43" s="33"/>
      <c r="WIH43" s="33"/>
      <c r="WII43" s="33"/>
      <c r="WIJ43" s="33"/>
      <c r="WIK43" s="33"/>
      <c r="WIL43" s="33"/>
      <c r="WIM43" s="33"/>
      <c r="WIN43" s="33"/>
      <c r="WIO43" s="33"/>
      <c r="WIP43" s="33"/>
      <c r="WIQ43" s="33"/>
      <c r="WIR43" s="33"/>
      <c r="WIS43" s="33"/>
      <c r="WIT43" s="33"/>
      <c r="WIU43" s="33"/>
      <c r="WIV43" s="33"/>
      <c r="WIW43" s="33"/>
      <c r="WIX43" s="33"/>
      <c r="WIY43" s="33"/>
      <c r="WIZ43" s="33"/>
      <c r="WJA43" s="33"/>
      <c r="WJB43" s="33"/>
      <c r="WJC43" s="33"/>
      <c r="WJD43" s="33"/>
      <c r="WJE43" s="33"/>
      <c r="WJF43" s="33"/>
      <c r="WJG43" s="33"/>
      <c r="WJH43" s="33"/>
      <c r="WJI43" s="33"/>
      <c r="WJJ43" s="33"/>
      <c r="WJK43" s="33"/>
      <c r="WJL43" s="33"/>
      <c r="WJM43" s="33"/>
      <c r="WJN43" s="33"/>
      <c r="WJO43" s="33"/>
      <c r="WJP43" s="33"/>
      <c r="WJQ43" s="33"/>
      <c r="WJR43" s="33"/>
      <c r="WJS43" s="33"/>
      <c r="WJT43" s="33"/>
      <c r="WJU43" s="33"/>
      <c r="WJV43" s="33"/>
      <c r="WJW43" s="33"/>
      <c r="WJX43" s="33"/>
      <c r="WJY43" s="33"/>
      <c r="WJZ43" s="33"/>
      <c r="WKA43" s="33"/>
      <c r="WKB43" s="33"/>
      <c r="WKC43" s="33"/>
      <c r="WKD43" s="33"/>
      <c r="WKE43" s="33"/>
      <c r="WKF43" s="33"/>
      <c r="WKG43" s="33"/>
      <c r="WKH43" s="33"/>
      <c r="WKI43" s="33"/>
      <c r="WKJ43" s="33"/>
      <c r="WKK43" s="33"/>
      <c r="WKL43" s="33"/>
      <c r="WKM43" s="33"/>
      <c r="WKN43" s="33"/>
      <c r="WKO43" s="33"/>
      <c r="WKP43" s="33"/>
      <c r="WKQ43" s="33"/>
      <c r="WKR43" s="33"/>
      <c r="WKS43" s="33"/>
      <c r="WKT43" s="33"/>
      <c r="WKU43" s="33"/>
      <c r="WKV43" s="33"/>
      <c r="WKW43" s="33"/>
      <c r="WKX43" s="33"/>
      <c r="WKY43" s="33"/>
      <c r="WKZ43" s="33"/>
      <c r="WLA43" s="33"/>
      <c r="WLB43" s="33"/>
      <c r="WLC43" s="33"/>
      <c r="WLD43" s="33"/>
      <c r="WLE43" s="33"/>
      <c r="WLF43" s="33"/>
      <c r="WLG43" s="33"/>
      <c r="WLH43" s="33"/>
      <c r="WLI43" s="33"/>
      <c r="WLJ43" s="33"/>
      <c r="WLK43" s="33"/>
      <c r="WLL43" s="33"/>
      <c r="WLM43" s="33"/>
      <c r="WLN43" s="33"/>
      <c r="WLO43" s="33"/>
      <c r="WLP43" s="33"/>
      <c r="WLQ43" s="33"/>
      <c r="WLR43" s="33"/>
      <c r="WLS43" s="33"/>
      <c r="WLT43" s="33"/>
      <c r="WLU43" s="33"/>
      <c r="WLV43" s="33"/>
      <c r="WLW43" s="33"/>
      <c r="WLX43" s="33"/>
      <c r="WLY43" s="33"/>
      <c r="WLZ43" s="33"/>
      <c r="WMA43" s="33"/>
      <c r="WMB43" s="33"/>
      <c r="WMC43" s="33"/>
      <c r="WMD43" s="33"/>
      <c r="WME43" s="33"/>
      <c r="WMF43" s="33"/>
      <c r="WMG43" s="33"/>
      <c r="WMH43" s="33"/>
      <c r="WMI43" s="33"/>
      <c r="WMJ43" s="33"/>
      <c r="WMK43" s="33"/>
      <c r="WML43" s="33"/>
      <c r="WMM43" s="33"/>
      <c r="WMN43" s="33"/>
      <c r="WMO43" s="33"/>
      <c r="WMP43" s="33"/>
      <c r="WMQ43" s="33"/>
      <c r="WMR43" s="33"/>
      <c r="WMS43" s="33"/>
      <c r="WMT43" s="33"/>
      <c r="WMU43" s="33"/>
      <c r="WMV43" s="33"/>
      <c r="WMW43" s="33"/>
      <c r="WMX43" s="33"/>
      <c r="WMY43" s="33"/>
      <c r="WMZ43" s="33"/>
      <c r="WNA43" s="33"/>
      <c r="WNB43" s="33"/>
      <c r="WNC43" s="33"/>
      <c r="WND43" s="33"/>
      <c r="WNE43" s="33"/>
      <c r="WNF43" s="33"/>
      <c r="WNG43" s="33"/>
      <c r="WNH43" s="33"/>
      <c r="WNI43" s="33"/>
      <c r="WNJ43" s="33"/>
      <c r="WNK43" s="33"/>
      <c r="WNL43" s="33"/>
      <c r="WNM43" s="33"/>
      <c r="WNN43" s="33"/>
      <c r="WNO43" s="33"/>
      <c r="WNP43" s="33"/>
      <c r="WNQ43" s="33"/>
      <c r="WNR43" s="33"/>
      <c r="WNS43" s="33"/>
      <c r="WNT43" s="33"/>
      <c r="WNU43" s="33"/>
      <c r="WNV43" s="33"/>
      <c r="WNW43" s="33"/>
      <c r="WNX43" s="33"/>
      <c r="WNY43" s="33"/>
      <c r="WNZ43" s="33"/>
      <c r="WOA43" s="33"/>
      <c r="WOB43" s="33"/>
      <c r="WOC43" s="33"/>
      <c r="WOD43" s="33"/>
      <c r="WOE43" s="33"/>
      <c r="WOF43" s="33"/>
      <c r="WOG43" s="33"/>
      <c r="WOH43" s="33"/>
      <c r="WOI43" s="33"/>
      <c r="WOJ43" s="33"/>
      <c r="WOK43" s="33"/>
      <c r="WOL43" s="33"/>
      <c r="WOM43" s="33"/>
      <c r="WON43" s="33"/>
      <c r="WOO43" s="33"/>
      <c r="WOP43" s="33"/>
      <c r="WOQ43" s="33"/>
      <c r="WOR43" s="33"/>
      <c r="WOS43" s="33"/>
      <c r="WOT43" s="33"/>
      <c r="WOU43" s="33"/>
      <c r="WOV43" s="33"/>
      <c r="WOW43" s="33"/>
      <c r="WOX43" s="33"/>
      <c r="WOY43" s="33"/>
      <c r="WOZ43" s="33"/>
      <c r="WPA43" s="33"/>
      <c r="WPB43" s="33"/>
      <c r="WPC43" s="33"/>
      <c r="WPD43" s="33"/>
      <c r="WPE43" s="33"/>
      <c r="WPF43" s="33"/>
      <c r="WPG43" s="33"/>
      <c r="WPH43" s="33"/>
      <c r="WPI43" s="33"/>
      <c r="WPJ43" s="33"/>
      <c r="WPK43" s="33"/>
      <c r="WPL43" s="33"/>
      <c r="WPM43" s="33"/>
      <c r="WPN43" s="33"/>
      <c r="WPO43" s="33"/>
      <c r="WPP43" s="33"/>
      <c r="WPQ43" s="33"/>
      <c r="WPR43" s="33"/>
      <c r="WPS43" s="33"/>
      <c r="WPT43" s="33"/>
      <c r="WPU43" s="33"/>
      <c r="WPV43" s="33"/>
      <c r="WPW43" s="33"/>
      <c r="WPX43" s="33"/>
      <c r="WPY43" s="33"/>
      <c r="WPZ43" s="33"/>
      <c r="WQA43" s="33"/>
      <c r="WQB43" s="33"/>
      <c r="WQC43" s="33"/>
      <c r="WQD43" s="33"/>
      <c r="WQE43" s="33"/>
      <c r="WQF43" s="33"/>
      <c r="WQG43" s="33"/>
      <c r="WQH43" s="33"/>
      <c r="WQI43" s="33"/>
      <c r="WQJ43" s="33"/>
      <c r="WQK43" s="33"/>
      <c r="WQL43" s="33"/>
      <c r="WQM43" s="33"/>
      <c r="WQN43" s="33"/>
      <c r="WQO43" s="33"/>
      <c r="WQP43" s="33"/>
      <c r="WQQ43" s="33"/>
      <c r="WQR43" s="33"/>
      <c r="WQS43" s="33"/>
      <c r="WQT43" s="33"/>
      <c r="WQU43" s="33"/>
      <c r="WQV43" s="33"/>
      <c r="WQW43" s="33"/>
      <c r="WQX43" s="33"/>
      <c r="WQY43" s="33"/>
      <c r="WQZ43" s="33"/>
      <c r="WRA43" s="33"/>
      <c r="WRB43" s="33"/>
      <c r="WRC43" s="33"/>
      <c r="WRD43" s="33"/>
      <c r="WRE43" s="33"/>
      <c r="WRF43" s="33"/>
      <c r="WRG43" s="33"/>
      <c r="WRH43" s="33"/>
      <c r="WRI43" s="33"/>
      <c r="WRJ43" s="33"/>
      <c r="WRK43" s="33"/>
      <c r="WRL43" s="33"/>
      <c r="WRM43" s="33"/>
      <c r="WRN43" s="33"/>
      <c r="WRO43" s="33"/>
      <c r="WRP43" s="33"/>
      <c r="WRQ43" s="33"/>
      <c r="WRR43" s="33"/>
      <c r="WRS43" s="33"/>
      <c r="WRT43" s="33"/>
      <c r="WRU43" s="33"/>
      <c r="WRV43" s="33"/>
      <c r="WRW43" s="33"/>
      <c r="WRX43" s="33"/>
      <c r="WRY43" s="33"/>
      <c r="WRZ43" s="33"/>
      <c r="WSA43" s="33"/>
      <c r="WSB43" s="33"/>
      <c r="WSC43" s="33"/>
      <c r="WSD43" s="33"/>
      <c r="WSE43" s="33"/>
      <c r="WSF43" s="33"/>
      <c r="WSG43" s="33"/>
      <c r="WSH43" s="33"/>
      <c r="WSI43" s="33"/>
      <c r="WSJ43" s="33"/>
      <c r="WSK43" s="33"/>
      <c r="WSL43" s="33"/>
      <c r="WSM43" s="33"/>
      <c r="WSN43" s="33"/>
      <c r="WSO43" s="33"/>
      <c r="WSP43" s="33"/>
      <c r="WSQ43" s="33"/>
      <c r="WSR43" s="33"/>
      <c r="WSS43" s="33"/>
      <c r="WST43" s="33"/>
      <c r="WSU43" s="33"/>
      <c r="WSV43" s="33"/>
      <c r="WSW43" s="33"/>
      <c r="WSX43" s="33"/>
      <c r="WSY43" s="33"/>
      <c r="WSZ43" s="33"/>
      <c r="WTA43" s="33"/>
      <c r="WTB43" s="33"/>
      <c r="WTC43" s="33"/>
      <c r="WTD43" s="33"/>
      <c r="WTE43" s="33"/>
      <c r="WTF43" s="33"/>
      <c r="WTG43" s="33"/>
      <c r="WTH43" s="33"/>
      <c r="WTI43" s="33"/>
      <c r="WTJ43" s="33"/>
      <c r="WTK43" s="33"/>
      <c r="WTL43" s="33"/>
      <c r="WTM43" s="33"/>
      <c r="WTN43" s="33"/>
      <c r="WTO43" s="33"/>
      <c r="WTP43" s="33"/>
      <c r="WTQ43" s="33"/>
      <c r="WTR43" s="33"/>
      <c r="WTS43" s="33"/>
      <c r="WTT43" s="33"/>
      <c r="WTU43" s="33"/>
      <c r="WTV43" s="33"/>
      <c r="WTW43" s="33"/>
      <c r="WTX43" s="33"/>
      <c r="WTY43" s="33"/>
      <c r="WTZ43" s="33"/>
      <c r="WUA43" s="33"/>
      <c r="WUB43" s="33"/>
      <c r="WUC43" s="33"/>
      <c r="WUD43" s="33"/>
      <c r="WUE43" s="33"/>
      <c r="WUF43" s="33"/>
      <c r="WUG43" s="33"/>
      <c r="WUH43" s="33"/>
      <c r="WUI43" s="33"/>
      <c r="WUJ43" s="33"/>
      <c r="WUK43" s="33"/>
      <c r="WUL43" s="33"/>
      <c r="WUM43" s="33"/>
      <c r="WUN43" s="33"/>
      <c r="WUO43" s="33"/>
      <c r="WUP43" s="33"/>
      <c r="WUQ43" s="33"/>
      <c r="WUR43" s="33"/>
      <c r="WUS43" s="33"/>
      <c r="WUT43" s="33"/>
      <c r="WUU43" s="33"/>
      <c r="WUV43" s="33"/>
      <c r="WUW43" s="33"/>
      <c r="WUX43" s="33"/>
      <c r="WUY43" s="33"/>
      <c r="WUZ43" s="33"/>
      <c r="WVA43" s="33"/>
      <c r="WVB43" s="33"/>
      <c r="WVC43" s="33"/>
      <c r="WVD43" s="33"/>
      <c r="WVE43" s="33"/>
      <c r="WVF43" s="33"/>
      <c r="WVG43" s="33"/>
      <c r="WVH43" s="33"/>
      <c r="WVI43" s="33"/>
      <c r="WVJ43" s="33"/>
      <c r="WVK43" s="33"/>
      <c r="WVL43" s="33"/>
      <c r="WVM43" s="33"/>
      <c r="WVN43" s="33"/>
      <c r="WVO43" s="33"/>
      <c r="WVP43" s="33"/>
      <c r="WVQ43" s="33"/>
      <c r="WVR43" s="33"/>
      <c r="WVS43" s="33"/>
      <c r="WVT43" s="33"/>
      <c r="WVU43" s="33"/>
      <c r="WVV43" s="33"/>
      <c r="WVW43" s="33"/>
      <c r="WVX43" s="33"/>
      <c r="WVY43" s="33"/>
      <c r="WVZ43" s="33"/>
      <c r="WWA43" s="33"/>
      <c r="WWB43" s="33"/>
      <c r="WWC43" s="33"/>
      <c r="WWD43" s="33"/>
      <c r="WWE43" s="33"/>
      <c r="WWF43" s="33"/>
      <c r="WWG43" s="33"/>
      <c r="WWH43" s="33"/>
      <c r="WWI43" s="33"/>
      <c r="WWJ43" s="33"/>
      <c r="WWK43" s="33"/>
      <c r="WWL43" s="33"/>
      <c r="WWM43" s="33"/>
      <c r="WWN43" s="33"/>
      <c r="WWO43" s="33"/>
      <c r="WWP43" s="33"/>
      <c r="WWQ43" s="33"/>
      <c r="WWR43" s="33"/>
      <c r="WWS43" s="33"/>
      <c r="WWT43" s="33"/>
      <c r="WWU43" s="33"/>
      <c r="WWV43" s="33"/>
      <c r="WWW43" s="33"/>
      <c r="WWX43" s="33"/>
      <c r="WWY43" s="33"/>
      <c r="WWZ43" s="33"/>
      <c r="WXA43" s="33"/>
      <c r="WXB43" s="33"/>
      <c r="WXC43" s="33"/>
      <c r="WXD43" s="33"/>
      <c r="WXE43" s="33"/>
      <c r="WXF43" s="33"/>
      <c r="WXG43" s="33"/>
      <c r="WXH43" s="33"/>
      <c r="WXI43" s="33"/>
      <c r="WXJ43" s="33"/>
      <c r="WXK43" s="33"/>
      <c r="WXL43" s="33"/>
      <c r="WXM43" s="33"/>
      <c r="WXN43" s="33"/>
      <c r="WXO43" s="33"/>
      <c r="WXP43" s="33"/>
      <c r="WXQ43" s="33"/>
      <c r="WXR43" s="33"/>
      <c r="WXS43" s="33"/>
      <c r="WXT43" s="33"/>
      <c r="WXU43" s="33"/>
      <c r="WXV43" s="33"/>
      <c r="WXW43" s="33"/>
      <c r="WXX43" s="33"/>
      <c r="WXY43" s="33"/>
      <c r="WXZ43" s="33"/>
      <c r="WYA43" s="33"/>
      <c r="WYB43" s="33"/>
      <c r="WYC43" s="33"/>
      <c r="WYD43" s="33"/>
      <c r="WYE43" s="33"/>
      <c r="WYF43" s="33"/>
      <c r="WYG43" s="33"/>
      <c r="WYH43" s="33"/>
      <c r="WYI43" s="33"/>
      <c r="WYJ43" s="33"/>
      <c r="WYK43" s="33"/>
      <c r="WYL43" s="33"/>
      <c r="WYM43" s="33"/>
      <c r="WYN43" s="33"/>
      <c r="WYO43" s="33"/>
      <c r="WYP43" s="33"/>
      <c r="WYQ43" s="33"/>
      <c r="WYR43" s="33"/>
      <c r="WYS43" s="33"/>
      <c r="WYT43" s="33"/>
      <c r="WYU43" s="33"/>
      <c r="WYV43" s="33"/>
      <c r="WYW43" s="33"/>
      <c r="WYX43" s="33"/>
      <c r="WYY43" s="33"/>
      <c r="WYZ43" s="33"/>
      <c r="WZA43" s="33"/>
      <c r="WZB43" s="33"/>
      <c r="WZC43" s="33"/>
      <c r="WZD43" s="33"/>
      <c r="WZE43" s="33"/>
      <c r="WZF43" s="33"/>
      <c r="WZG43" s="33"/>
      <c r="WZH43" s="33"/>
      <c r="WZI43" s="33"/>
      <c r="WZJ43" s="33"/>
      <c r="WZK43" s="33"/>
      <c r="WZL43" s="33"/>
      <c r="WZM43" s="33"/>
      <c r="WZN43" s="33"/>
      <c r="WZO43" s="33"/>
      <c r="WZP43" s="33"/>
      <c r="WZQ43" s="33"/>
      <c r="WZR43" s="33"/>
      <c r="WZS43" s="33"/>
      <c r="WZT43" s="33"/>
      <c r="WZU43" s="33"/>
      <c r="WZV43" s="33"/>
      <c r="WZW43" s="33"/>
      <c r="WZX43" s="33"/>
      <c r="WZY43" s="33"/>
      <c r="WZZ43" s="33"/>
      <c r="XAA43" s="33"/>
      <c r="XAB43" s="33"/>
      <c r="XAC43" s="33"/>
      <c r="XAD43" s="33"/>
      <c r="XAE43" s="33"/>
      <c r="XAF43" s="33"/>
      <c r="XAG43" s="33"/>
      <c r="XAH43" s="33"/>
      <c r="XAI43" s="33"/>
      <c r="XAJ43" s="33"/>
      <c r="XAK43" s="33"/>
      <c r="XAL43" s="33"/>
      <c r="XAM43" s="33"/>
      <c r="XAN43" s="33"/>
      <c r="XAO43" s="33"/>
      <c r="XAP43" s="33"/>
      <c r="XAQ43" s="33"/>
      <c r="XAR43" s="33"/>
      <c r="XAS43" s="33"/>
      <c r="XAT43" s="33"/>
      <c r="XAU43" s="33"/>
      <c r="XAV43" s="33"/>
      <c r="XAW43" s="33"/>
      <c r="XAX43" s="33"/>
      <c r="XAY43" s="33"/>
      <c r="XAZ43" s="33"/>
      <c r="XBA43" s="33"/>
      <c r="XBB43" s="33"/>
      <c r="XBC43" s="33"/>
      <c r="XBD43" s="33"/>
      <c r="XBE43" s="33"/>
      <c r="XBF43" s="33"/>
      <c r="XBG43" s="33"/>
      <c r="XBH43" s="33"/>
      <c r="XBI43" s="33"/>
      <c r="XBJ43" s="33"/>
      <c r="XBK43" s="33"/>
      <c r="XBL43" s="33"/>
      <c r="XBM43" s="33"/>
      <c r="XBN43" s="33"/>
      <c r="XBO43" s="33"/>
      <c r="XBP43" s="33"/>
      <c r="XBQ43" s="33"/>
      <c r="XBR43" s="33"/>
      <c r="XBS43" s="33"/>
      <c r="XBT43" s="33"/>
      <c r="XBU43" s="33"/>
      <c r="XBV43" s="33"/>
      <c r="XBW43" s="33"/>
      <c r="XBX43" s="33"/>
      <c r="XBY43" s="33"/>
      <c r="XBZ43" s="33"/>
      <c r="XCA43" s="33"/>
      <c r="XCB43" s="33"/>
      <c r="XCC43" s="33"/>
      <c r="XCD43" s="33"/>
      <c r="XCE43" s="33"/>
      <c r="XCF43" s="33"/>
      <c r="XCG43" s="33"/>
      <c r="XCH43" s="33"/>
      <c r="XCI43" s="33"/>
      <c r="XCJ43" s="33"/>
      <c r="XCK43" s="33"/>
      <c r="XCL43" s="33"/>
      <c r="XCM43" s="33"/>
      <c r="XCN43" s="33"/>
      <c r="XCO43" s="33"/>
      <c r="XCP43" s="33"/>
      <c r="XCQ43" s="33"/>
      <c r="XCR43" s="33"/>
      <c r="XCS43" s="33"/>
      <c r="XCT43" s="33"/>
      <c r="XCU43" s="33"/>
      <c r="XCV43" s="33"/>
      <c r="XCW43" s="33"/>
      <c r="XCX43" s="33"/>
      <c r="XCY43" s="33"/>
      <c r="XCZ43" s="33"/>
      <c r="XDA43" s="33"/>
      <c r="XDB43" s="33"/>
      <c r="XDC43" s="33"/>
      <c r="XDD43" s="33"/>
      <c r="XDE43" s="33"/>
      <c r="XDF43" s="33"/>
      <c r="XDG43" s="33"/>
      <c r="XDH43" s="33"/>
      <c r="XDI43" s="33"/>
      <c r="XDJ43" s="33"/>
      <c r="XDK43" s="33"/>
      <c r="XDL43" s="33"/>
      <c r="XDM43" s="33"/>
      <c r="XDN43" s="33"/>
      <c r="XDO43" s="33"/>
      <c r="XDP43" s="33"/>
      <c r="XDQ43" s="33"/>
      <c r="XDR43" s="33"/>
      <c r="XDS43" s="33"/>
      <c r="XDT43" s="33"/>
      <c r="XDU43" s="33"/>
      <c r="XDV43" s="33"/>
      <c r="XDW43" s="33"/>
      <c r="XDX43" s="33"/>
      <c r="XDY43" s="33"/>
      <c r="XDZ43" s="33"/>
      <c r="XEA43" s="33"/>
      <c r="XEB43" s="33"/>
      <c r="XEC43" s="33"/>
      <c r="XED43" s="33"/>
      <c r="XEE43" s="33"/>
      <c r="XEF43" s="33"/>
      <c r="XEG43" s="33"/>
      <c r="XEH43" s="33"/>
      <c r="XEI43" s="33"/>
      <c r="XEJ43" s="33"/>
      <c r="XEK43" s="33"/>
      <c r="XEL43" s="33"/>
      <c r="XEM43" s="33"/>
      <c r="XEN43" s="33"/>
      <c r="XEO43" s="33"/>
      <c r="XEP43" s="33"/>
      <c r="XEQ43" s="33"/>
      <c r="XER43" s="33"/>
      <c r="XES43" s="33"/>
      <c r="XET43" s="33"/>
      <c r="XEU43" s="33"/>
      <c r="XEV43" s="33"/>
      <c r="XEW43" s="33"/>
      <c r="XEX43" s="33"/>
      <c r="XEY43" s="33"/>
      <c r="XEZ43" s="33"/>
      <c r="XFA43" s="33"/>
      <c r="XFB43" s="33"/>
      <c r="XFC43" s="33"/>
    </row>
    <row r="44" spans="1:16383" s="1" customFormat="1" ht="20.100000000000001" customHeight="1">
      <c r="A44" s="13"/>
      <c r="B44" s="9"/>
      <c r="C44" s="9"/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10"/>
      <c r="T44" s="28"/>
    </row>
    <row r="45" spans="1:16383" s="181" customFormat="1" ht="32.25" customHeight="1">
      <c r="A45" s="374" t="s">
        <v>32</v>
      </c>
      <c r="B45" s="374"/>
      <c r="C45" s="374"/>
      <c r="D45" s="374"/>
      <c r="E45" s="374"/>
      <c r="F45" s="374"/>
      <c r="G45" s="374"/>
      <c r="H45" s="374"/>
      <c r="I45" s="374"/>
      <c r="J45" s="374"/>
      <c r="K45" s="374"/>
      <c r="L45" s="374"/>
      <c r="M45" s="374"/>
      <c r="N45" s="374"/>
      <c r="O45" s="374"/>
      <c r="P45" s="374"/>
      <c r="Q45" s="374"/>
      <c r="R45" s="374"/>
      <c r="S45" s="374"/>
      <c r="T45" s="180"/>
    </row>
    <row r="46" spans="1:16383" s="179" customFormat="1" ht="35.25" customHeight="1">
      <c r="A46" s="375" t="s">
        <v>33</v>
      </c>
      <c r="B46" s="375"/>
      <c r="C46" s="375"/>
      <c r="D46" s="375"/>
      <c r="E46" s="375"/>
      <c r="F46" s="375"/>
      <c r="G46" s="375"/>
      <c r="H46" s="375"/>
      <c r="I46" s="375"/>
      <c r="J46" s="375"/>
      <c r="K46" s="375"/>
      <c r="L46" s="375"/>
      <c r="M46" s="375"/>
      <c r="N46" s="375"/>
      <c r="O46" s="375"/>
      <c r="P46" s="375"/>
      <c r="Q46" s="375"/>
      <c r="R46" s="375"/>
      <c r="S46" s="375"/>
      <c r="T46" s="182"/>
    </row>
    <row r="47" spans="1:16383" s="179" customFormat="1" ht="35.25" customHeight="1">
      <c r="A47" s="322" t="s">
        <v>34</v>
      </c>
      <c r="B47" s="322"/>
      <c r="C47" s="322"/>
      <c r="D47" s="322"/>
      <c r="E47" s="322"/>
      <c r="F47" s="322"/>
      <c r="G47" s="322"/>
      <c r="H47" s="322"/>
      <c r="I47" s="322"/>
      <c r="J47" s="322"/>
      <c r="K47" s="322"/>
      <c r="L47" s="322"/>
      <c r="M47" s="322"/>
      <c r="N47" s="322"/>
      <c r="O47" s="322"/>
      <c r="P47" s="322"/>
      <c r="Q47" s="322"/>
      <c r="R47" s="376" t="s">
        <v>35</v>
      </c>
      <c r="S47" s="376"/>
      <c r="T47" s="182"/>
    </row>
    <row r="48" spans="1:16383" s="172" customFormat="1" ht="25.5" customHeight="1">
      <c r="A48" s="376"/>
      <c r="B48" s="376"/>
      <c r="C48" s="376"/>
      <c r="D48" s="376"/>
      <c r="E48" s="376"/>
      <c r="F48" s="376"/>
      <c r="G48" s="376"/>
      <c r="H48" s="376"/>
      <c r="I48" s="87" t="s">
        <v>6</v>
      </c>
      <c r="J48" s="87" t="s">
        <v>7</v>
      </c>
      <c r="K48" s="87" t="s">
        <v>8</v>
      </c>
      <c r="L48" s="87" t="s">
        <v>9</v>
      </c>
      <c r="M48" s="87" t="s">
        <v>10</v>
      </c>
      <c r="N48" s="87" t="s">
        <v>36</v>
      </c>
      <c r="O48" s="87" t="s">
        <v>37</v>
      </c>
      <c r="P48" s="87" t="s">
        <v>38</v>
      </c>
      <c r="Q48" s="87" t="s">
        <v>39</v>
      </c>
      <c r="R48" s="376"/>
      <c r="S48" s="376"/>
      <c r="T48" s="183"/>
    </row>
    <row r="49" spans="1:21" s="1" customFormat="1" ht="23.25" customHeight="1">
      <c r="A49" s="368" t="s">
        <v>22</v>
      </c>
      <c r="B49" s="368"/>
      <c r="C49" s="368"/>
      <c r="D49" s="368"/>
      <c r="E49" s="368"/>
      <c r="F49" s="368"/>
      <c r="G49" s="368"/>
      <c r="H49" s="368"/>
      <c r="I49" s="115">
        <f>47+194+1-2+1-3-238+13+3+11+2-10+239+25-8+1-1-1-2+1-1-27-2-100-1-1-1-1-2-1</f>
        <v>136</v>
      </c>
      <c r="J49" s="115">
        <f>49+375-10-1-1+1-4-2-13+1-1+5-3-396+35+2+10-2-1+2+2-30+306+1-3+80-8+1-4-2-3-3-3-10-1-2+1-1-1-3-1-1-1-1-3-1-2-1-3-3-100-2-4-1+100-1-1+1-10-1-2-1-5-1-1</f>
        <v>317</v>
      </c>
      <c r="K49" s="115">
        <f>46+30-1-4-6-6+2+1-4-9-1-1-1-1-1-1+12-9-3-43+5+10+11-2+1+1-4-1+1+27+10-8-1+150-12+1-9-3-12-5-5-7-15-1-4+1-14-2-1-3-3-2-1-21-1-1-6-19-3-50-2+100-1-1-2-1-1-1-1+1-1-6-1-20-1-1-1-1+1-2-1-31-1-1-1</f>
        <v>25</v>
      </c>
      <c r="L49" s="115">
        <f>0+12-1-1-8-2+3+10+5-2-6-1+2-6-1-2-3+1+50-11-35+1+126-2-1-6-1-13-5-13-7-5-1-4-1+1-9-1-1-4-1-1-1-1-4-2-9-2-1-6-1-14-15+50-1-1-1-1+1-1-1-1-1-5-1-2-1-1-1-3</f>
        <v>29</v>
      </c>
      <c r="M49" s="115">
        <f>1-1+45-40-2-3+2-2+2+1-2-1+80-11-9+1-4-11-3-1-6-6-1+1-3-1-10-1-2-1-1-5-4-2+20-1-1-1-1+1-1-1-3-1-4-1-3-1</f>
        <v>2</v>
      </c>
      <c r="N49" s="115">
        <f>0+2-1-1+1-1+3-1+1-3+1-1+49-7-2-3-1+1-1-1-1-2-3-1+1-14-3-1-1+1-1-1-1-1-1</f>
        <v>6</v>
      </c>
      <c r="O49" s="115">
        <f>0+5-1-1-3+1-1+1+1+25-7-1+1-1-2-1-1+1-1+1-1-1+1-1-1</f>
        <v>13</v>
      </c>
      <c r="P49" s="115">
        <f>5-1-4+5-1-3+8-1+1</f>
        <v>9</v>
      </c>
      <c r="Q49" s="115">
        <f>6-1-5+12+2+8-1+1</f>
        <v>22</v>
      </c>
      <c r="R49" s="369">
        <f>SUM(I49:Q49)</f>
        <v>559</v>
      </c>
      <c r="S49" s="369"/>
      <c r="T49" s="29"/>
    </row>
    <row r="50" spans="1:21" s="1" customFormat="1" ht="23.25" customHeight="1">
      <c r="A50" s="368" t="s">
        <v>40</v>
      </c>
      <c r="B50" s="368"/>
      <c r="C50" s="368"/>
      <c r="D50" s="368"/>
      <c r="E50" s="368"/>
      <c r="F50" s="368"/>
      <c r="G50" s="368"/>
      <c r="H50" s="368"/>
      <c r="I50" s="115">
        <f>0+6+3+3-3-6-1-2+74-8-8+2-2+1-2-2+30+10+1-2-1-8-2-1+1-1-1-3-1</f>
        <v>77</v>
      </c>
      <c r="J50" s="115">
        <f>19-19+2+1+4-1-5-1+131-25-1-25-1-5-12-10-13+35-20+19-2+1-3-1-3-1-1+1+100-1+30-1-1+1-2-1-6-8-6-28-1-3-3-2-9-6-1-2-2-2-1-1-1-1-2-1-2-1-1-1-17-1-1-1-1</f>
        <v>77</v>
      </c>
      <c r="K50" s="115">
        <f>22+1-22-1+1-7-17+23+10-10+5-1-1-3+19-19+2+3+22-1-10-1-5+77-32-39-5-3-7+120-40-5-1-10-2-5-3-5+20-1+160-1-1+51-1+1-5-3-1-5-16-9-1-14-52-1-1-2-1-9-21-1-13-1+1-6-3-1-1-4-1-1-1-1-2-2-1-12-9-1-1-1-1-2-28-1-1-1-5</f>
        <v>36</v>
      </c>
      <c r="L50" s="115">
        <f>19-19+1+15-16+14-1-1-2-10+42-2-23-17+3+115-12-46+73-5-24-38-7-17+40-20-5+13-9-1-1-1-5-3-7-1-1+159+35-1-1+1-1-2-6-32-1-15-16-41-1-1-18-19-9-1-1-1-12-5-1-1-1-1-8-1-1-1-2-2-1-1-1-1-1-10-6-1-1-1-1-5-3</f>
        <v>0</v>
      </c>
      <c r="M50" s="115">
        <f>9+2-9-1-1+3-2-1+100-8-5-8-16-8-2-5-1-1+2-1-3+28-4-3-1-3-2+50-1-1+1-2-3-1-16-4-1-10-13-6-9-7-3-2-2-5-1-1-1-1-1-2-5-3-1-6-2</f>
        <v>0</v>
      </c>
      <c r="N50" s="168">
        <f>23+13+13-23-13-13+2-6+4+2-2+1+80-2-1-2-2-1+15+1-1-3-3-1-2-1-1-6-2-2-1-5-7-1-4-9-40</f>
        <v>0</v>
      </c>
      <c r="O50" s="115">
        <f>2-2-1+1+1+1+1-1-2+38-1-2-1+15-1-1-1-4</f>
        <v>42</v>
      </c>
      <c r="P50" s="115">
        <f>10+2-1-1</f>
        <v>10</v>
      </c>
      <c r="Q50" s="115">
        <f>10+2-1</f>
        <v>11</v>
      </c>
      <c r="R50" s="369">
        <f>SUM(I50:Q50)</f>
        <v>253</v>
      </c>
      <c r="S50" s="369"/>
      <c r="T50" s="29"/>
    </row>
    <row r="51" spans="1:21" s="1" customFormat="1" ht="29.25" customHeight="1">
      <c r="A51" s="140"/>
      <c r="B51" s="21"/>
      <c r="C51" s="21"/>
      <c r="D51" s="21"/>
      <c r="E51" s="21"/>
      <c r="F51" s="21"/>
      <c r="G51" s="21"/>
      <c r="H51" s="21"/>
      <c r="I51" s="162"/>
      <c r="J51" s="162"/>
      <c r="K51" s="162"/>
      <c r="L51" s="162"/>
      <c r="M51" s="162"/>
      <c r="N51" s="162"/>
      <c r="O51" s="162"/>
      <c r="P51" s="21"/>
      <c r="Q51" s="21"/>
      <c r="R51" s="351">
        <f>SUM(R49:R50)</f>
        <v>812</v>
      </c>
      <c r="S51" s="351"/>
      <c r="T51" s="29"/>
    </row>
    <row r="52" spans="1:21" s="1" customFormat="1" ht="5.25" customHeight="1">
      <c r="A52" s="13"/>
      <c r="B52" s="9"/>
      <c r="C52" s="9"/>
      <c r="D52" s="9"/>
      <c r="E52" s="9"/>
      <c r="F52" s="9"/>
      <c r="G52" s="9"/>
      <c r="H52" s="9"/>
      <c r="I52" s="14"/>
      <c r="J52" s="14"/>
      <c r="K52" s="14"/>
      <c r="L52" s="14"/>
      <c r="M52" s="14"/>
      <c r="N52" s="14"/>
      <c r="O52" s="14"/>
      <c r="P52" s="9"/>
      <c r="Q52" s="9"/>
      <c r="R52" s="34"/>
      <c r="S52" s="34"/>
      <c r="T52" s="29"/>
    </row>
    <row r="53" spans="1:21" s="1" customFormat="1" ht="19.5" customHeight="1">
      <c r="A53" s="13"/>
      <c r="B53" s="9"/>
      <c r="C53" s="9"/>
      <c r="D53" s="9"/>
      <c r="E53" s="9"/>
      <c r="F53" s="9"/>
      <c r="G53" s="9"/>
      <c r="H53" s="9"/>
      <c r="I53" s="14"/>
      <c r="J53" s="14"/>
      <c r="K53" s="14"/>
      <c r="L53" s="14"/>
      <c r="M53" s="14"/>
      <c r="N53" s="14"/>
      <c r="O53" s="14"/>
      <c r="P53" s="9"/>
      <c r="Q53" s="9"/>
      <c r="R53" s="34"/>
      <c r="S53" s="34"/>
      <c r="T53" s="29"/>
    </row>
    <row r="54" spans="1:21" s="1" customFormat="1" ht="30.75" customHeight="1">
      <c r="A54" s="352" t="s">
        <v>41</v>
      </c>
      <c r="B54" s="352"/>
      <c r="C54" s="352"/>
      <c r="D54" s="352"/>
      <c r="E54" s="352"/>
      <c r="F54" s="352"/>
      <c r="G54" s="352"/>
      <c r="H54" s="352"/>
      <c r="I54" s="352"/>
      <c r="J54" s="352"/>
      <c r="K54" s="352"/>
      <c r="L54" s="352"/>
      <c r="M54" s="352"/>
      <c r="N54" s="352"/>
      <c r="O54" s="352"/>
      <c r="P54" s="352"/>
      <c r="Q54" s="352"/>
      <c r="R54" s="352"/>
      <c r="S54" s="352"/>
      <c r="T54" s="352"/>
      <c r="U54" s="352"/>
    </row>
    <row r="55" spans="1:21" s="1" customFormat="1" ht="23.25" customHeight="1">
      <c r="A55" s="35"/>
      <c r="B55" s="36"/>
      <c r="C55" s="36"/>
      <c r="D55" s="36"/>
      <c r="E55" s="36"/>
      <c r="F55" s="36"/>
      <c r="G55" s="36"/>
      <c r="H55" s="36"/>
      <c r="I55" s="36"/>
      <c r="J55" s="36"/>
      <c r="K55" s="36"/>
      <c r="L55" s="36"/>
      <c r="M55" s="36"/>
      <c r="N55" s="36"/>
      <c r="O55" s="36"/>
      <c r="P55" s="36"/>
      <c r="Q55" s="36"/>
      <c r="R55" s="36"/>
      <c r="S55" s="36"/>
      <c r="T55" s="36"/>
    </row>
    <row r="56" spans="1:21" s="1" customFormat="1" ht="47.25" customHeight="1">
      <c r="A56" s="342" t="s">
        <v>42</v>
      </c>
      <c r="B56" s="342"/>
      <c r="C56" s="342"/>
      <c r="D56" s="342"/>
      <c r="E56" s="342"/>
      <c r="F56" s="342"/>
      <c r="G56" s="342"/>
      <c r="H56" s="342"/>
      <c r="I56" s="342"/>
      <c r="J56" s="342"/>
      <c r="K56" s="342"/>
      <c r="L56" s="342"/>
      <c r="M56" s="342"/>
      <c r="N56" s="342"/>
      <c r="O56" s="342"/>
      <c r="P56" s="342"/>
      <c r="Q56" s="342"/>
      <c r="R56" s="342"/>
      <c r="S56" s="342"/>
      <c r="T56" s="342"/>
    </row>
    <row r="57" spans="1:21" s="1" customFormat="1" ht="20.100000000000001" customHeight="1" thickBot="1">
      <c r="A57" s="70"/>
      <c r="B57" s="336"/>
      <c r="C57" s="336"/>
      <c r="D57" s="336"/>
      <c r="E57" s="336"/>
      <c r="F57" s="336"/>
      <c r="G57" s="336"/>
      <c r="H57" s="336"/>
      <c r="I57" s="336"/>
      <c r="J57" s="336"/>
      <c r="K57" s="336"/>
      <c r="L57" s="336"/>
      <c r="M57" s="336"/>
      <c r="N57" s="336"/>
      <c r="O57" s="336"/>
      <c r="P57" s="336"/>
      <c r="Q57" s="336"/>
      <c r="R57" s="336"/>
      <c r="S57" s="336"/>
      <c r="T57" s="336"/>
    </row>
    <row r="58" spans="1:21" s="179" customFormat="1" ht="33" customHeight="1">
      <c r="A58" s="184"/>
      <c r="B58" s="355" t="s">
        <v>3</v>
      </c>
      <c r="C58" s="355"/>
      <c r="D58" s="355"/>
      <c r="E58" s="355"/>
      <c r="F58" s="355"/>
      <c r="G58" s="355"/>
      <c r="H58" s="355"/>
      <c r="I58" s="355"/>
      <c r="J58" s="355"/>
      <c r="K58" s="106"/>
      <c r="L58" s="106"/>
      <c r="M58" s="322" t="s">
        <v>4</v>
      </c>
      <c r="N58" s="322"/>
      <c r="O58" s="322"/>
      <c r="P58" s="322"/>
      <c r="Q58" s="322"/>
      <c r="R58" s="322"/>
      <c r="S58" s="322"/>
      <c r="T58" s="322"/>
    </row>
    <row r="59" spans="1:21" s="172" customFormat="1" ht="24.75" customHeight="1">
      <c r="A59" s="187" t="s">
        <v>5</v>
      </c>
      <c r="B59" s="87" t="s">
        <v>6</v>
      </c>
      <c r="C59" s="87" t="s">
        <v>7</v>
      </c>
      <c r="D59" s="87" t="s">
        <v>8</v>
      </c>
      <c r="E59" s="87" t="s">
        <v>9</v>
      </c>
      <c r="F59" s="87" t="s">
        <v>10</v>
      </c>
      <c r="G59" s="87" t="s">
        <v>11</v>
      </c>
      <c r="H59" s="87" t="s">
        <v>12</v>
      </c>
      <c r="I59" s="87" t="s">
        <v>13</v>
      </c>
      <c r="J59" s="87" t="s">
        <v>14</v>
      </c>
      <c r="K59" s="87" t="s">
        <v>6</v>
      </c>
      <c r="L59" s="87" t="s">
        <v>21</v>
      </c>
      <c r="M59" s="87" t="s">
        <v>8</v>
      </c>
      <c r="N59" s="87" t="s">
        <v>9</v>
      </c>
      <c r="O59" s="87" t="s">
        <v>10</v>
      </c>
      <c r="P59" s="87" t="s">
        <v>11</v>
      </c>
      <c r="Q59" s="87" t="s">
        <v>12</v>
      </c>
      <c r="R59" s="87" t="s">
        <v>13</v>
      </c>
      <c r="S59" s="87" t="s">
        <v>14</v>
      </c>
      <c r="T59" s="188" t="s">
        <v>15</v>
      </c>
    </row>
    <row r="60" spans="1:21" s="1" customFormat="1" ht="27.75" customHeight="1">
      <c r="A60" s="185" t="s">
        <v>16</v>
      </c>
      <c r="B60" s="115">
        <f>25+60+11-6-1-2+1-15+1-1+1-2-1-1-2-2-6-1-3-1-1-1-1-1-2-1-1-1-2-1-2-3-2-2-1-2-1-1-1-4-1-1-2-2-11-1-6+14-1-1-1-1-1+1-1-9+1-1+4-3-1+50-5-1+30-1-47-17-1-1-2-2-1+1-3+50-1-2-1-1-1-2-1-1-1-1-2-1-1-1-1-1-1-1-2-4-1-1-2-3+30-2-2+30-20-2-1-13-3-4+30</f>
        <v>59</v>
      </c>
      <c r="C60" s="115">
        <f>1+51+48+50+50+35+50+62+50+50+4-2-1+1-1-6-1+1-1-1-1+150-1-1-1-1-1-2-1-1-1-1-1+3+1-2+1+1-25-6-4-1-2+1-2-2-6-5-3-8-1-3-4-1-3-1+30-10-1+2+1-1-1-29-29-1-1-3-3-23-2-1-1+8-1-1-9-1+1-20-1-1-2-2-1-1-3-2-20-1-1-1-5-9+4-3-3-1-2-3-1-1-3-1-2-3-1-2-21-1-2-1-1-3-1-1-1-4-11-1-1-1+1-3-6-1-14-3-1-1-5-4-1-1-1-1-1+1-1-20-46-2-2-1-50-1-1-2-1-1-1-2-1-1-1-1+2-1-6-2-2-2-3-2-6+2-1-6-3-1+23-5-1-1-1-1+1-11-1-2-1-2-2-1-2-1-2-7-4-1-1-1-1-1-2-2-1-1-1-1-3-1-1+3-2-1-1-3-1-1-1-1-9-3-2-1-2-2-1-1-1-1-1-2-1-4-2+100-5-2-3-1-2-1+50-98-1-1-1-1-1-2-1+1-1-1-1-1-2-3-6-1-3-4-1-2-1-1-3+1-1+70-1-25-1-6-37+25-1-5-1-2-1-1-1-1-1-1-9-1+43-2-1-3-2-10-2+4-23-1-3+30+39-1-2+39-1-1-2-1-1-1-7-23-4-8-1-1-1-4-1-1-3-1-1-1-1-1-6-1-1-1-1-1-1-8-1-1-9+60+160+60-1+9-4-1-5+120-2-2-21+75-1-1-6-1-1-15-2-3-14-1-2-6-6-1-2-2-1+68+50-6+100-4</f>
        <v>599</v>
      </c>
      <c r="D60" s="115">
        <f>13-8-1-1-2-1+31-2-2-1-2-5-4-1-3-2-2-1-1-2-1-1-1+8-1-2-3-2+100-7-2-8-2-1-2+150-142-7-6-1-2-1-1-1-1-2-19-1-3-2-1-1+1-1-1-1-3-1-1-1-2-1-5-1-3-3-4-10+10+120-10-1-2-3-1-1-29-1-1-6-1-1-10-2-2-1-3-4-29-9-1-1-1+29-5-3-1-2-1-3-2-5-1-1-1-3-1-1-1-8+67-1-1-2-10-1-1-1-1-2-1+14-1-18-1-17-2-1-1+57+79-1-1-4-1+1-1-4-1-1-1-1-1-2-1-5-1-1-12-1-4-1-2-1-3-1-1-3-1-1-8-1-2-1-2-2-5-2-1-1-2-1-1-1-2-5-1-10-1-1-10-2+128+200+128-1-1+10-3-1-4-1-1+118-1-1-20-2-2-27-1+52-5-1-1-30-2-1-1-20-1-2-2-21-1-2-1-1-7-3-1-3-1-3+50+15-1+80-6</f>
        <v>634</v>
      </c>
      <c r="E60" s="115">
        <f>45+41+45+45+45+65+37+9+13-1-1+23-1-18-2-8-1-1-3-1-1-2-1-2-1-3-1-1-2+5+1+2-1-4-2+1+1-7-2+1-2-1-1-1-1-1-4-1-1-3-1-1-5-10-1-1-2-1-1-1-2-2-13-10-1-1-10-4-1+5-2-1-1-19-7-1-1-3-2-1-2-3-22-1-1-3-2+3-1-2-3-1-29-1-1-1-2-1-1-2-2-1-2-3-2-1-1-1-2-1-3-2-2+1-3-1-9-1-1-6-3-1-4-1-1-1-2-7-4-2-2-4-1-1-1-9-2-2-2-1-1-1-3-1+1-11-9+79-1-26-1-1-3-1-1-2-1-2-1-1-2-1-2-1-2-1-2+1-1-7-3-1-1-1+1+4+119+227-2-5-30-65-3-1+182-1-6-2-2-1+13-1+1-1+1-5-1-4-1-2-2-1-2-1-1-1-1-1-1-2-1-1-7-2-5-1-1-2-7-5-8-9-1-2-1-2-1-1-1-2-3-1-8-10-114-2-1-1-1-1-1-1+3-3-1-1-5-1-1-1-2-6-4-4-2-1-3-1-2-1-1-1-2-13-5-1-1-1-2-1-1-5-1-1-6-2-7-1-3-1+70-162-1-17-1-4-1-2-2+119-3-1-3+10-10-1-1-2-4-3-2-3-3-10-1-1-4-5-3-69+69-2-2-1-6-1-1-6-1-2-2-1-1-1-9-2-4-2-1-3-1-3-1-1-1-4-1-1-2-1-1-4+32-1-1-25-1+6-1-9+60+159-13-1-1+1-1-1-1-1-1-2-1-1-4-1-4-7-1-1-1-1-3-1-1-6-1-1-4-1-1-1-1-2-2-4-3-13-1-10+130+101+130-1+10-4-2+55-1-13-1-2-2-14-1+50-1-1-2-2-2-1-30-1+44+15-20-1-2-2-1-16-2-1-1+5-1+50-1-2</f>
        <v>579</v>
      </c>
      <c r="F60" s="115">
        <f>1-1+19-1-1+3+2-2+1-2-1+100-1-4-4-1-2-11-2-1-3-1+40-5-2+4-1-1-1-6-4-1-1-1-1-2-2-1-11-1-1+3-1-1-13-2-1-1-1-2-1-1-1-1-1-1-3-1-4-3-1-1-4-1-3-2-2-2-4-2-32+37-3-32-2+2+55+200-2-2-20-36-1-2-4-1+1-2-1-1-2-1-1-2-11-1-1-2-1-1-1-2-1-1-1+2-1-3-4-1-1-1-2-1-1-1-3-1-1-1-1-79-37-4-3-1-1-2-1-1-5-1-1+1-1+60-1-1-2-1-6-1-1-2-1-1-1-5-1-1-1-11-1-1-1-1+24-13-1-1-2-2+2-2-6-3+15-1-1-1-1-1-1-1-1-1-1+78-3-2-3-7-1-4-1-4-1-1-1-1-1-1-1-3-3-6-1+119-1-1-1-5-2+89-1-1-1+99-1-1-1+70+1+1-3</f>
        <v>413</v>
      </c>
      <c r="G60" s="115">
        <f>45+27+12+1-1-2-1+30-1-2-1-1-1+5+3-1+1-1-1-1-3-7-2-3-1-1-8-1-3+2-2-1-1-4-2-1-1-2-1-1-2-1-2-1-1-3-2-1-2-1-7-1-1-4-6-2-1-1-15-1-12+50+1+50+1-4+1-1-1-3-1-2-3-1-1-1-1+2-1-1-1-1-1-1-4-19-1-1-1-1-4-1-1-1-1-4-3-1-1-1-11-2-2-1-3-10-1-1-1-1-1-1+41-6-1-1+38+45-2-1-2+35+49+1-1+30</f>
        <v>225</v>
      </c>
      <c r="H60" s="115">
        <f>40+9+1+29-2+16+29-1+5-1+1-1-3-1-1-2-2-1-1-2-1-2-15-8-2-50+2-1+1-1-1-1-1-1-1+40-1-4-1-1-1+1-1-1-1-1-1-2-1-1-1-1-1-6-1-6+30-1+15+30-1+10</f>
        <v>121</v>
      </c>
      <c r="I60" s="21">
        <f>10+11+3+9+10+6+6+1+10-1-2-40-1-1-1-2-1-1-1+10+15+10</f>
        <v>50</v>
      </c>
      <c r="J60" s="189">
        <f>10+10+39+10+8+10+15+1+10-1-15-50-1-1-2-1-1+10+10+15</f>
        <v>76</v>
      </c>
      <c r="K60" s="275">
        <f>49+45+25-1-1-1+2+1+1+1-15-1-2-20-1-1-2+40-2-3-1-1-1-1-1-1-40-2-3-1-4-2+2-6-1-1-2-1-5-2-1-1-1-2-4-1-4-1-1-2-1-2-8-1+6-1-1-2+43-1-1-2-1-3-1-1-3-1-1-1-1-1-1+50-1-2-1-1-1-10-2-9-6-1-1-1-3-1-2-1-1-1+30-2-1+38-2+18</f>
        <v>122</v>
      </c>
      <c r="L60" s="4">
        <f>50+14+50+45+45+15+49+35+31-1-2-1-3-1-1-2-1-1-1-1-3+8+1+5-1-2-2-1-8-2+1-2-1-2-1-1-2-1-1-2-3-1-3-1-6-17-1-31-1-1-1-2-1-2-1+90-1-2-2-1+1+2-2-1-47-21+1-1-1-1-1-1+1-1-2-25-2-1-1+4-1-3-1-1-1-5-1-1-1-1-3-1-1-6-1-1-1-12-3-6-1-1-1+1+2-15-1-3-1-1-4-9-1-1-1-3-1-1-5-1-1-2-1-1+139-1-2-1-5-2-1-1-1-6-3-1-1-1-1-2-5-1-1-1-1-6+1-1-10-4-2-2-1-4-4-21+4-11-30-1-1-23-1-1-1-1-15-1-3-1-2-1-1-1-1-1-1-20-2-1-1+1-1-1-1-3-2+2+60-2-1-1-11-1-5-3+1-7-2-1-3-1-2-1-1-1-1-1-1-1-1-1-1-2-1-1-1-2-1-2-1-1-1-7-3-4-1-1-1-2-1-2-8-3+2-2+250-1-2-1-2-2-2-2-10-2-1-1-5-1-2-1-2-1-1-2-1-1-1-1-2-2-2-1-1-5-30-1-1-1-5-1-1-1-5-8-1-1-6-2-3-1-1-1-1-5-1-1-1-1-2-2-2-1-1-3-1-1-3-1-1-1-1-8-3-1-1-7-2-2-23-1-1-1-1-1-2-1-1-1-22+25-1-4-1-5-2-1-6-3-3-2-1-2-1-1-1-1-3+150-1-1-22-11-5-2-5-1-1-7-1-2-5-1-19-1-1-10-1-1-1-2-2+30-3-9-1-8-2-1-2-1-1-1-4-1-1-2+20+52-7+2-3+40+108-4-13-8-1-1-3-8-1+60-15-1+150-5-5-24-1-1-2-1-3-1+18-5-3-1-7</f>
        <v>366</v>
      </c>
      <c r="M60" s="129">
        <f>36+50+50+24+45+50+50+50+50+55+40+54+55+48+50+50+50+50+46+57-2-3+1-3-10-2-4-1+1-10-1-8-2-2-2-1-1-1-1-2-1-1-1-1-1+21+1+49-1-7-4-1-2-1-2-1-6-1-2+1+1-5-1-2-25-3-3-5-2-3-7-10-14-5-7-1-3-7-2-1-1-1-2-1-4-37-4-17-1-34-1-2-1-1-9-5-9-5-5-1-2-2-1+30-1-3-1+1-1+6+6-5-4-1-1-1-1-1-157+1+5-2-2-2-2-1+1-1-1-7-1-3-1-10-1-21-3-2-2-5+15-1-1-19-6-2-1-1-1-1-1-21-1-1-1-1-1-1-8-1-4-8-3-2-1-2-10-9-18-2-1-1-1-6-1-3-1-1-1+1+11-1-3-1-10-1-1-6-1-1-10-1-1-1-18-1-1-3-5-1-1-1-2-1-1+75-3-2-5-9-1-2-1-1-1-1-8-7-1-1-1-1-1-1-1-1-1-4-1-2-5-1-1-2+1-1-8-6-3-6-1+100+75-3-35-2-5-12-1-1-5-2-5-2-1-2-2-1+2-1-13-1-60-1-1-1-19-1-5-2-1-1-1-4-2-5-1-4-1-6-1-8-1-1-3-1-3-1-1-3-1-1-3-13-1-20-3-3-1-1-2-1-1+3+119-2+1-2-1-1-10-5-1-4-1+2+19-3-1-1-1-2-21-1-1-11-1-1-2-5-1-1-12+1-1-1-7-8-2-1-3-1-7-3-1-1-1-1-1-22-1-1-2-3-1-2-1-1-1-1-1-1-1-1-1-6-22-2-1-1-1-1-1-2-4-1-3-1-1-1-2-2-3-5-1-10-1-18-2-1-21-1-1+6-1-2-1-3-1-2-1-3-1-1-1-1-1-2-1-3-15-1-2-3-2-2+6-2-1-1-1-1+60-1-45-14+120-65-6-21-1-1-1-7-8-2-5-2-1+169-1-1-5-3-1-7-2-1-8-6-1-2-2-1-4-4-3-1-3-85-1-1-2-2-1-5-5-1-1-5-3-1+5-2-1-2+116+49-45-5-1-1-2-1-2-1-9-1-1+2-10-1-6-1-5-3-8-6-1-7-3-2-1-2-14+1-1-3-1-15-1-1-3-1-1-1-1+76+25-1-20-9-12-2-1-6-1-1-1-1-6-4-6-11-2-1+49+95-8-21-1-5+26-1-9-1-1-1-1-2-2-4-5-1-1-1-1-2-1-8-1-16-22-2-6-1-1+149-1-1-1-1-1-17-4-1-1-4-1-1-1-1-8-1-1-2-5-2-1-34-1-2-1-1-10+222+306-1-2-2-1-1-3-2-1-3-2-1-1-1-1+127-4-2-2-1-7-2-1-1-1-1-8-10+50-1-1-7-1+8-1-8-4-1+98-2+42-3-2-1-1-1-4-31-13+197-1-1-7-1-1-60-13+118-1-20-21-1-1-2-2+50+3-6-33-22-7-4-3-6-2-12+2+2-1-4-2-1-12</f>
        <v>938</v>
      </c>
      <c r="N60" s="129">
        <f>45+46+26+50+65-1-2-2+1-3-15-1+412-30-15-2-1-2-4-2-1+1-1-1-1-1-2+1+37-1-4+2-1-1-8-2-3-4-1-1-6-3-1+3+1-2-1-5+2+2-23-2-2-1-1-3-3-14-15-3-1-1-9-1-3-1-19-2-1-20-68-4-2-1-1-3-1-20-2-1+151-1-1-1-4-1-1-1+24-5-1-6-1+1+4+4-1-1+11+4-4-5-2-143-1-1-2-1-10+10-1-1+1-1-1-7-1-4-13-22-3-1-4-3-4-30+12-2-1-2-1-4-18-4-1+150-1-25-1-3-1-1-1-1-1-1-5-7-1-1-2-1-7-7-1-2-5-1-6-20-2-3-1-6-1-1-4-1-1+1-1-2-2-1-2-1-7-12-3+100-3-17-1-1-5-1+1-9-1-2-8-1-3-1-12-6-9-1+1-1-2-6-1-8-1-1-1-1-1-1-2-1-1-1-4-1-9+200-6-4-1-1-3-4-20-8-19-3-1-5-3-2-1-3-1-1-1+3-14-60-1-25-1-2-3-1-1-6-1-1-12-1-10-1-1-4-8-2-2-1-3-3-1-3-2-1-1-1-1-2-1-1-3-2-1-3-22-11-2-1-2-2-1-7-1-1+3-22-1+2-3-2-1-3-3+1+18-6-1-2-21-1-1-9-1-2-1-10-1-13-1+1+1-1-1-8+146-1-2-2-3-7-1-1-2-1+279-1-1-1-1-1-1-2-16-15-2-8-15-21+1-1+3-5-5-1-6-3-3-4-2-1-2-9-1-4-3-1-2-2-1-2-1-2-1-1-2-5-1-6-1-1-1-2-1-2-1-2-12-4-1-4-1-1-2-2-1-1-1-1-5-1-48-1-1-6-1-1-14+1-1-3-1-1-1+100-1-1-106-1-1-6-1-2-4-1-3-2-1-2-1-5-3-2-1-1-1-1-3-10-1-1-2-2-2-1-1-2-2-1-3-1-2-1-3+14-50+129-129+19+260-4-1+110-146-2-1-1-2-2-9-4-2-2-1-1-1+4-22-2-1-4-7-1-1-6-1-3-3-1-3-3-2-1-1-12-1-3-2-129-1-3+2-3+248-7-9-2-13-20-6-2-1-1-1-7-2-1-2-8+9-2-1-1-12-16-1-6+200-6-1-1-2-1-13-1-3-1-1-1-1-1-6-1-1-3-1-1-4-1-1-1-1-2-4-12-1-2-1-4-11-1-8-2-1-3-3-3-1-21-1-45-1-1-1-1+75-1-1-3-1-1-1+350-3-2-9-2-1-1-3-2-4-1-1-2-1-25-1-1-7-15-2+75-2-1-1-4-1+7-12-3-1+100-1-2+195-1-6-1-2-30-17-3+200-1-10-1-27-1-17-1+98+42-1-20-20-1-1-2-1-3-1-30-12-1-30-2-1-5-7-2-9+43+5+3--2-3-1-5</f>
        <v>952</v>
      </c>
      <c r="O60" s="129">
        <f>0-1-1-2-1-1+6+10-3-2-4-1+1+43+14-3-5-3+80-2-1-2-4+1+2+1+1-1+31-3-1-1-2+2+1-1+2-1-4-1-2-11-3-1-1-1-2-1-7-3-11+1-1-8-93+6+3-1-1-1-1-1+4-3+98-47-2-1-2-1-3-9-21-2-3-3-1-8+2-1-1+88-1-28-1-1-5-2-1-1-3-2-10-1-1-5-1-1-16-1-1-2-1-3+160-3-1-1-4-10-1-1-1-8-4-10-1-1-4-3-2-1-1-2-1-1-4-6-2-1-1-8+79+1-2-5-1-3-22-2-2-1-2-4-3-1-1-2-1-1-15+1-4-2-1-50-2-1-12-1-1-2-2-11-1+1-1+2+4-1-5+2+1+100-3-2-10-2-1-1-2-1-1-3-1-2-19-3-1-2-4-1-10-1-1-14-1+1-1-1-9-1-2-1-3+1-1+150-1-4-1-21-1-4-1-15-2-5-9-1-2-2-6-4-1-4-5-1-1-1-2-2-2-3-1-3-1-1-1-1-1-2-1-3-1-1-1-2-1-1-1-22-1-1-2+196-1-70-21-1-4-5-6-5-1-2-1-3-1-1-2-1-1-1-2-2-1-3-1-1-2-5-2-45-5+40+35-75+40+80-35-1-1-2-3-1-4-2-1-6-1-5-1-1-1-1-2-3-2-10+35-1-2-2-10-1-5-1-30-12-2-3+1-1-1-2+14+95-2-3-5-5-1-4-1-5-1-2-9-5-1-4+50-1+24-2-2-2-1-2-6-1-1-1-1-2-5-21-21-1-2-1-1-4-7-1-1-5-13-1-1-2-1-5-1-1-1-16-1+60-2-2-3-1-1-4-2-2-1-1-1-1-1-4-15+156-1-2-1+4-4-1+100-2+120-1-1-1-7-10+30-1-1-1-43-10+60-10-2-2-1-1-2-2+75-10-4-3+45-2-3-1-5+35+4-2-2-5</f>
        <v>504</v>
      </c>
      <c r="P60" s="129">
        <f>0+1-1-21+50+1-2-3-1-1-1-1-1+9-1+1+5+1-1-2-2+1-3-3-1-2-15-6-1+2-2+1+3-2+2-1-19-1-3-1-5-6+150-2-2-1-1-5-3-1-1-4-21-1-15-1-1-2-2-1-1-1-2-3-1-4-3-2-1-1-1-2-3-1-2-1-1-1-1-3+1-6-1-1+30-6-1-3-1-1-1-5-1-1-1-8-1-1-2-2-5-2+2-1-1+2+8-10+1-1+80-5-4-21-1-2-3-1-1-2-1-2-1-1-1-1-1-1-3-2-2-1-1-2-1-1-1-1-6-1-1+80-6-2-2-1+2-1-2-1-2-1-18-1-1-1-2-2-2-3-1-1-21-1-2-2-1-2-1-1-1-1-1-1-2+25-1-1-2-1-4-1+27-2-2-2-4-1-2-1+51-1-1-2-1-1-1-1-1-2-1-2-1-3-1-15-1-1-1-2-1-1-1-1-1-1-21-16+30+99+80-1-1-1-21+40-1-10-1+50+6-4-4-1-1</f>
        <v>259</v>
      </c>
      <c r="Q60" s="115">
        <f>6-1+25+1+70-3-1-1-1+1+3-1-2+10-1-1-1-1-4-35-16-1-3-3-1-2-2-2-2-2-1-1-1-12-1-1-1-2-6-1-2+1+3+60-3-1-1-15-2-2-2-1-2-3+1-4-1-1-2-1-1-2-2-1-1-1-1-2-2-1-1-4-5+50-4-11-1-2-1-1-1-2-1-8-1-3-2+10-1+4-1-1-1-1-1-1-1-1-11-2-4+50-1-1-1-1-1-4-6-1-11-1-1-1-1-1-1-1-1-2-2+30-1-1-1-1-1-1+30-10-1+20-3</f>
        <v>71</v>
      </c>
      <c r="R60" s="115">
        <f>1-1+1+2+1+40-1-1-1+7+5-1-2-35-1-1-1-2-2-1-7+15-2-1-1-1-4-1-3-1-1+10-9-1+22+10-1-2-1-1+10+10-2</f>
        <v>45</v>
      </c>
      <c r="S60" s="129">
        <f>24-3-1+2-1-2-1-1+1-1-1-1-1-1-1-1-2-1-1-1-1-4+4-1+30-15-1-1-7-4-1-1+10-1-6-2-4-1+25+10-10-1-1+10+10</f>
        <v>43</v>
      </c>
      <c r="T60" s="144">
        <f>SUM(B60:S60)</f>
        <v>6056</v>
      </c>
    </row>
    <row r="61" spans="1:21" s="1" customFormat="1" ht="29.25" customHeight="1">
      <c r="A61" s="185" t="s">
        <v>18</v>
      </c>
      <c r="B61" s="115">
        <f>46+20+1+12-1-6+1-1-1-1-1-3-1-2-1-1-2+1-1+1+4-4-1-6-1-2-2-1-1-2-1-2-1-1-3-4-1-1-2-1-6-1-1-1-1-1-2-7-1-2-1-1-2+20-6-4-2-6-1-1+1-1+19-2-1-1-5+1-1-1-6-1-1-1+25-2+5-2-1-1-1-1-1-1-4-1-1</f>
        <v>14</v>
      </c>
      <c r="C61" s="115">
        <f>40+48+25+7+6-12+1-14-1-2+1+1+5+6-1-3-19-3-1-4-2-1-1-1+1-1+3-1-1+62-3-2-61-4-1-5-3-19-1-1-1-2-10-3-3-1-2-10-5+45-7-38-1+80-7-7-2-1-2-1-1-1-2-26-1-5-1+1-1-6-7-7-1-1-1+18-2-1-10-1-2-1-1+2-1-1+1-1+52-4-1-4-1-10-1-2-1-8-5+5-1-4-1-1-13+38-11-4+8-11-1-1-1-1-1-2-10-3</f>
        <v>0</v>
      </c>
      <c r="D61" s="115">
        <f>30+50+45+50+46+6+20-1-2-3-2-1-40-3+3-5-3-22+3+2-1+6+1-2-3-1-1-14-15-6-14-1-10-1-1-1-1+1-3+14-1-3+15-3-93-5-7-23+129-10-10-47-1-2-1+1-2-2-2-1-1-4-1-1-1-1-2-1-14-1-1-1-17-4+4-1-1-4+1-1+90-6-18-6+30-1-2-4-1-1-1-4-4-25-1-7-1-1+1-1-1-1-1-1-4-8-1-1-14-1-1-1+20-1-1-1-1-1-13-1-1-2+110-1-27-4-10-5-8-1-16-1-1-3-1-6-6-9+8-1-1-1-5-7-4+50-31-6-1-1-11+66-2-1-3-3-3-24-1-1-12-1+1-1-1-11-1-1-1+97-4-9-3-1-3-12-2-1-2-1-1-2-1-2-2-2-1-1-1-9-1-1</f>
        <v>35</v>
      </c>
      <c r="E61" s="115">
        <f>38+47+38+50+45+45+50+12+72+4-1-1-2-2-1-34+1+2-2-13+2+2-1-2-1-11-6-6-11-1-12-5-8-1-3-1-5-4-4-7-2-1-3-2-5-1-1+1+11+1-1+108-3-59-7+3-1-1-2-1-73-1-1-1-1-1-1-3-34-5-3-5-1-2-2-10-1-1-1-1-4-6-6-1-3-1-1+1-1-1-1-1-1-2-1-1-1-11-1-1-1-4-1+1-3-1-1-1-7-1-1-1+1-9-2-74+28-1+1-2-1-1-1-1+45-4-26-1-1+65-1-1+9-2-1+1-1-2-2-28-5-4-1+1-1-1-1-10-4-14-1-8-1-1-1-1-1-3-1-1-1-1-1-2-1+1-1-1-1-2-3+108-15-7-4-8-1-11-2-2-4-1-3-7-3-8+8-5-2-1-3-28-1+28+210-2-6-210-1-3-2+31-2-1-2-2-10+51-1-4-1-1-3-3-7-13-1-1-1-1-20-1-2-4-2-1-10-2+47-5-1-3-11-1-1-10-1-1-2-1-1-1-1-1-2-2-2</f>
        <v>0</v>
      </c>
      <c r="F61" s="115">
        <f>248-1-5-7-1-1-3-2-8-7-9-1-2-1-2-1+5-2-1-129-2-19-7-1-41+70-23-2-15-1-10+1-3-17+15-4-2-1-1-4-1-2+1-1+50-12-1-1-1-3-1-16-5-1+1-1-6-3+1-1+48-12-6-1-6-1-1-1-1-4+2-1+1-2-1-4-9-1+32+80-16-8-80+27-3-6-8-1-1-1-1-1-1-7-1-1-1-2</f>
        <v>0</v>
      </c>
      <c r="G61" s="115">
        <f>35+4-1-1-34+1-3+2-2+1-1-1+1+1+1+6-1-1-7+40-5-2-2-1-1-2-1-2-24+50-1-1-1-1-5-1-4-2-3-1-1-1-4+2-1-1-1-1-1-2-2-17+40-1-39+25-2-3-3-1-1-1-1-1-2-1-1-1-2-5</f>
        <v>0</v>
      </c>
      <c r="H61" s="115">
        <f>40+1-1-22-1-1-2-1-1-3-2+29-5-2-4-2-2-1-2-1-1-1-1-1-1-1-1-1-3-5-1+19-1-2-1+1-1-1+25-25-3+25-2-1-1-1-6-1-1-1-1-2</f>
        <v>19</v>
      </c>
      <c r="I61" s="115">
        <f>28+15-4-5-2-1-2-3-4-1+18-1-1-1-2-1-1+25-1-1-1-1</f>
        <v>53</v>
      </c>
      <c r="J61" s="190">
        <f>20+27-4-1-1-1-1-2-1-1-2-3-2-1-1+17-1-1-1-1+10-10-1</f>
        <v>38</v>
      </c>
      <c r="K61" s="129">
        <f>10+18+30-2-1+2-3+1-4-10-13-3-1-2+1+51-1-1-2-7-1-3-1-5-27-1+1-1-1-8-1-1-10-1-3+30-5+8-1+1+8-1-1-1+1+6-1-2-1-6-1+10-2-1-1-1-1-1-1-7-9</f>
        <v>20</v>
      </c>
      <c r="L61" s="129">
        <f>9+14+29+5-1-1-1-1-1-2-1-1-1-1-16-1+1-1+1-3-2-9-1-1-1-2-10-1+1+1+1+1+1+181-2-90-11-14+50-3-25-1-2-1-1-1-3-1-1+1+200-6-3-10-3-5-1-1-10+2-1-3-1-8-1-4-4-40-1-1-1+1-1-2-1-3-1-1-2-1-2-1-11-1-1-6-2-2-4-1-1-5-6-1-1-1-1-1-26-2-1-1-1-1-1-2-1-1-1-1-1-4-13-3-1-1-1-1-1-55+1-1+10-1-1+96-16-1-1-2-5+44-1-1-3+1+14-1-1-1-1-1-2-2-1-1-2-3-1-10-1-2-1-2-1-1-1-1-16-5-1-1-1-1-1-3-1-1+1-3-2-1-2-9-15-2-1-1-5-13-1+49-1-1-1-3-1-3-1-1-1-1-1-4-1-3-1-1-13-1-6-1-1-1-1-4-2-5</f>
        <v>0</v>
      </c>
      <c r="M61" s="129">
        <f>53+24+1-1-2-2-4-3-2-30-3-2+9+7-1+1-8-6-5-8-5-1-5-4-3+80-4-46-1-2+4+1-3-1+5-3-7-1-3-5-10-4-1+120-117-1-1+50-1-1-7-35-1+1-1-5+227-15-10-10-1-1-2-2+7-1-2-1+3+182-71-2-5-1-15-1+68-33-4-1+1-1-1-2-5+2-4-1-1-4-2-1-4-2-1-1-1-4-1-4-3-1-1-3-5-5-15-4-1-1-1-14-1-6-1-1-1-1-5-2-2-1-5-1-1-27-1-1-9-2-1-2-2-1-1-4-1-3-1-1+1-2-12-1-5-15-14-25-1-3-1-1-2+21-1-2-1-3-1-1-5-1-1-1+3-8-1-1-1-2-1-1-1-1-1-7-9-4-1+1-1-2-1-1-2-11-1-1-1+10-10+82-4-5-1-3-1-16-2-1-1-7-5-2-4+113-1-1-4-1-1-3-4-1-5-3-9-1-3-1-9-1+44-10+10-36-1+6-14-1-8-1-4-1-10-1-11-2-1-10-1-1-6-1-8+8-1-1-1-5-1-15-11+220-1-5-3-1-9-4-3-17-31-1-4-1-8-7-1-1-1-3-1-2-1-1-1-1-1-3-1-1-5-3-7-6-2-1-6-1-1-1-1-1-3-1-34-7-18-4-1-3</f>
        <v>0</v>
      </c>
      <c r="N61" s="129">
        <f>59+52+1-1-2-2-4-1-8-3+8-1-1-16+6+4-1+1-2-8-4-23-1-6-3-41-2-1+67-3-1-1-2-4+1-6-1+6+1-1-6+12-1-3-9-12-29+135-100-2-3-6-17-1-1-2+200-1-2-22-1+1-1-2-47-8-2-4-5-4-1-1-1-10-3-1-1-2-2-1-1-1+236-29-2-1-2-1-10-10-7-1-22-1-1-13-2-1+1-1-1-2-1-6-2-1-1-2-6-2-2-1-6-1-4-1-1-1-1-6+4-2-5-8-2-11-1-4-1-2-1-1+1-1-1-22-18-3-1-1-2-2-1-22-6-1-1-11-1-7-1-2-2+1-5-8-1-1+89-3+15-35-1-2+27-1-1-5+2-6-1-1-3-1-1-2-1-2-1-1-3-35-1-8-4-12-1+1-17-1-4+10-5-2+130-3-1-11-1-3-1-1-15-1-3-1-12-4+55-1-1-1-1+1-1-3-2-1-1-3-1-4-13-3-3-5-3-1-1-10+50-2-1-1+2-46-1-3-12-6-1-7-1-5-16-1-1-1-1-1-3-1-1-1-2-8-1-1-8+7+1+43-2-2-2-22-1-1-2-11+210-5-9-4-1-7-3-5-1-1-1-1-1-1-14-1-6-1-1-1-3-2-1-1-2-4-1-1-8-3-1-5-9-1-7-4-9-1-1+30-1-7-1-1-1-1-2-2-2-45-4-1-1-29-2-4-6-2</f>
        <v>0</v>
      </c>
      <c r="O61" s="129">
        <f>23+51+1-2-2-4-1-18+5-7-11-1-4+6+5-1+1-1-1-1-9-1-5-1-3-15-1-2-1+5-2-2+1+5+1-1-5-1-1+36-36+47-3-32-1-1+99-16-4-1-3-1-1-10-5-1-1-2+117-1+5-1-6-5-14-1-7-1+1-1-2-1-1-2-1-2-3-1-1-2-5+3-4-1-1-1-4-1-3-1-1-2-10-2-6-2-1-1-1-4-5-1-1-1-1-1-3-1-1-5-4-2+23-1-19-1-1-1-3-1-1-1-1-6-3-1+1-7-1-1-1-2-5-10-1-2-1-1-2-1-5-1-2-1+38-4-1-1-1-1-1-8-2-1-3-1-1+1-1-1-1-1-5-5+47-2-5-1-9-2-5-3-2-11-1+3-5+5-2-3-2-2+43-1-2-1-3-8-1-7-1-1+80-1-2-4-1-1-3-1-1-1-3-4-5-1-1-8-1-1-1-6-2-1-2-1-1-2-20-1-16-2-4</f>
        <v>0</v>
      </c>
      <c r="P61" s="129">
        <f>0+1+1-1-1+5-1-3+1+1-1-2+10-10+49+29-20-2-5-1-5-5-3-1-1-1-1-1-1-1+60-1-1-1-50-1+4-5-1-2-2-3-1-2-2-1-3-1-1-1-1-1-2-7-1-1-1-1+11-1-3-2+26+14-7-2-1+3-1-1+1-1-1-3-1+21-1-2-1-1-2-1-1-1-2-1+38-1-1-1+1-1-1-3-2-2-1-5-3-1-6-2-2-7-1-1+1-3-1-1-1-3-1+40-2-1-2-3-1-1-1-1-1-1-2-4-1-1-1-1-15-1-15-2-1-6-1-1</f>
        <v>2</v>
      </c>
      <c r="Q61" s="129">
        <f>36+12+1-2-10-8+1-4+1+1-1-1-1-1-5-7-2-4-6+3-1-1+30-1-1-1-3-1-2-1-2-2-1-1-1-1-1-1-1-3-1-4-1+26-1-1-1+3-1-1-2-1-1-1+10-1-3-1+1-1-1-1-1-1-1-1-1-1-1-1-1+25-1-1-1-1-1-1-1-1-1-7-11-1-1-1-4</f>
        <v>5</v>
      </c>
      <c r="R61" s="129">
        <f>5+2+2+1-2-2-1+13-8-1-1-5-3+10-1-1-1-1-1-1-1-1-1-1</f>
        <v>0</v>
      </c>
      <c r="S61" s="129">
        <f>18+10-2+2-5-2-1-1+16-5-5-1-1-1-1-2-2-1-3+10-1-1-1-2-1</f>
        <v>17</v>
      </c>
      <c r="T61" s="144">
        <f>SUM(B61:S61)</f>
        <v>203</v>
      </c>
      <c r="U61" s="15"/>
    </row>
    <row r="62" spans="1:21" s="1" customFormat="1" ht="40.5" hidden="1" customHeight="1">
      <c r="A62" s="185" t="s">
        <v>43</v>
      </c>
      <c r="B62" s="115">
        <f>6-1</f>
        <v>5</v>
      </c>
      <c r="C62" s="115">
        <f>60-1</f>
        <v>59</v>
      </c>
      <c r="D62" s="115">
        <f>47</f>
        <v>47</v>
      </c>
      <c r="E62" s="115">
        <f>111-1</f>
        <v>110</v>
      </c>
      <c r="F62" s="115">
        <f>35</f>
        <v>35</v>
      </c>
      <c r="G62" s="115">
        <f>8</f>
        <v>8</v>
      </c>
      <c r="H62" s="115">
        <f>28-1</f>
        <v>27</v>
      </c>
      <c r="I62" s="115">
        <f>51</f>
        <v>51</v>
      </c>
      <c r="J62" s="190">
        <f>27</f>
        <v>27</v>
      </c>
      <c r="K62" s="129">
        <f>52</f>
        <v>52</v>
      </c>
      <c r="L62" s="129">
        <f>186-1-2-1-1</f>
        <v>181</v>
      </c>
      <c r="M62" s="129">
        <f ca="1">-M62</f>
        <v>0</v>
      </c>
      <c r="N62" s="129">
        <v>0</v>
      </c>
      <c r="O62" s="129"/>
      <c r="P62" s="129">
        <f>1+2+1</f>
        <v>4</v>
      </c>
      <c r="Q62" s="129">
        <v>0</v>
      </c>
      <c r="R62" s="129">
        <f>5</f>
        <v>5</v>
      </c>
      <c r="S62" s="129">
        <f>10</f>
        <v>10</v>
      </c>
      <c r="T62" s="144">
        <f ca="1">SUM(B62:S62)</f>
        <v>615</v>
      </c>
      <c r="U62" s="15"/>
    </row>
    <row r="63" spans="1:21" s="1" customFormat="1" ht="32.25" customHeight="1">
      <c r="A63" s="246" t="s">
        <v>44</v>
      </c>
      <c r="B63" s="315">
        <v>0</v>
      </c>
      <c r="C63" s="315">
        <f>50+20+68+60+45+1+19-1-1-1-4-4-2-1+1-2-6-6-4-4-1-1-1-1-6-1-7-1-1-2-1-24-1-1-3-1-1-1-3-2-1-5-1-1-1+1-1-1-1-5-1-1-1-3-3-1-1-6-4-1-2-2-8-2-1-7-7-1-1-1-1-11-1-1-1-1-1-1-1-1-2-2-1-1</f>
        <v>72</v>
      </c>
      <c r="D63" s="315">
        <f>32+50+30+10+49+5-1-1-4-18-4-1-4-3-1-5-3-3-1-1-3+1-2-3-4-1-1-9+4-1-21-1-1-3-3-1-15-1-3-2-2-5-7-6-1-4-1-1-1+7-1-1-2-1-5-1-1-3-3-1-1-6-3-1-1-1-2-1</f>
        <v>0</v>
      </c>
      <c r="E63" s="315">
        <f>74-14-1-1-1-1-1-6-2-1-2-2-1-2-1-3-28-1-2-3-1+25</f>
        <v>25</v>
      </c>
      <c r="F63" s="315">
        <f>14+13+50-1-1-1-4-3-6-2-1-8+17-2-1-1-1-1-2-2-1-1-4-1-1+1-1-1-1-2-1-1-1-1-2-4-2-1-1-1-5-10-1-1-1-1-1-1-1-1-1-1-1-4</f>
        <v>0</v>
      </c>
      <c r="G63" s="315">
        <f>17-1-1-2-2-3</f>
        <v>8</v>
      </c>
      <c r="H63" s="315">
        <f>10-10</f>
        <v>0</v>
      </c>
      <c r="I63" s="315">
        <f>10-1</f>
        <v>9</v>
      </c>
      <c r="J63" s="316">
        <f>10</f>
        <v>10</v>
      </c>
      <c r="K63" s="315">
        <f>40+34+1+2-1-1-1-1+44-1-13-1-1-1-2</f>
        <v>98</v>
      </c>
      <c r="L63" s="315">
        <f>1-1+55-1-8-1-20-1-1-1-3-1-1-1-7</f>
        <v>9</v>
      </c>
      <c r="M63" s="315">
        <f>1-1</f>
        <v>0</v>
      </c>
      <c r="N63" s="315">
        <f>4+16-1-1-1-1-2-1-2-6-1-1-2+1-2</f>
        <v>0</v>
      </c>
      <c r="O63" s="315">
        <v>0</v>
      </c>
      <c r="P63" s="315">
        <f>32+1-2-6-10+3-2+2-4-10+5-3-1-1-4</f>
        <v>0</v>
      </c>
      <c r="Q63" s="315">
        <f>0</f>
        <v>0</v>
      </c>
      <c r="R63" s="315">
        <f>8-1-4-3</f>
        <v>0</v>
      </c>
      <c r="S63" s="315">
        <f>7</f>
        <v>7</v>
      </c>
      <c r="T63" s="317">
        <f>SUM(B63:S63)</f>
        <v>238</v>
      </c>
      <c r="U63" s="15"/>
    </row>
    <row r="64" spans="1:21" s="1" customFormat="1" ht="30" customHeight="1">
      <c r="A64" s="246" t="s">
        <v>17</v>
      </c>
      <c r="B64" s="276">
        <f>19+29+10+1</f>
        <v>59</v>
      </c>
      <c r="C64" s="276">
        <f>55+135-1-9+53+51+1-1-1-4-6-1</f>
        <v>272</v>
      </c>
      <c r="D64" s="276">
        <f>125+19+22+147-1+33-1-1-1-10+100+20+1+5+69-2+4</f>
        <v>529</v>
      </c>
      <c r="E64" s="276">
        <f>169+19+85+49+177-1+1-2-3-1-2-1-2-14-1-1</f>
        <v>472</v>
      </c>
      <c r="F64" s="276">
        <f>4-1+90+95-1-4+120+19-1-1-1-1</f>
        <v>318</v>
      </c>
      <c r="G64" s="276">
        <f>45+82-1-1-1-1</f>
        <v>123</v>
      </c>
      <c r="H64" s="276">
        <f>30+27-2</f>
        <v>55</v>
      </c>
      <c r="I64" s="276">
        <v>10</v>
      </c>
      <c r="J64" s="277">
        <v>9</v>
      </c>
      <c r="K64" s="276">
        <f>50-41+30+1</f>
        <v>40</v>
      </c>
      <c r="L64" s="276">
        <f>30+55+80-2-1+100+58+132-38-14+1+2-1-1-7-1</f>
        <v>393</v>
      </c>
      <c r="M64" s="276">
        <f>42+125+73+5+57+62-1-1-8-4-1+150-16-1-1+8+139+43-57+1+64-7-1-1-1</f>
        <v>669</v>
      </c>
      <c r="N64" s="276">
        <f>37+78+114+34+3+30+169+117+95+112-38+28+3-1-3</f>
        <v>778</v>
      </c>
      <c r="O64" s="276">
        <f>180-4-1-4-1-1+103+100+4-9-10-4-1-1-1</f>
        <v>350</v>
      </c>
      <c r="P64" s="276">
        <f>13+87-1+68+3-1</f>
        <v>169</v>
      </c>
      <c r="Q64" s="276">
        <f>50+13+18</f>
        <v>81</v>
      </c>
      <c r="R64" s="276"/>
      <c r="S64" s="276"/>
      <c r="T64" s="278">
        <f>SUM(B64:S64)</f>
        <v>4327</v>
      </c>
      <c r="U64" s="15"/>
    </row>
    <row r="65" spans="1:21" s="1" customFormat="1" ht="36.75" customHeight="1">
      <c r="A65" s="186" t="s">
        <v>19</v>
      </c>
      <c r="B65" s="149">
        <f>0+1-1-1+1+14-1-1-1-3-2+10-2-1-1-1</f>
        <v>11</v>
      </c>
      <c r="C65" s="149">
        <f>10-5-5+1-1+15-1-12-2+25-1-1-2-1-1-1-1-1-1-1</f>
        <v>14</v>
      </c>
      <c r="D65" s="149">
        <f>10-10+1-1+28-1-1-21-2-3+45-7-1-1-1-3-2-1-1-1-1-1-1-1-1-1-1-2-1</f>
        <v>17</v>
      </c>
      <c r="E65" s="149">
        <f>10-9+4-1-1-3+1-1+28-2-15-2-9+45-1-2-6-1-1-1-1-2-1-1-1-1-2</f>
        <v>24</v>
      </c>
      <c r="F65" s="149">
        <f>10-12+3+4-1-3-1+14-1-3-8-2+25-3-3-1-2-1-1</f>
        <v>14</v>
      </c>
      <c r="G65" s="149">
        <f>10-1-1-1-1-2-9+5+2-1-1+10-1-3-3-1+10-1-2-1</f>
        <v>8</v>
      </c>
      <c r="H65" s="149">
        <f>12-2-1-1-1-1-1-1+4-1-1-1-1-1-1</f>
        <v>2</v>
      </c>
      <c r="I65" s="149">
        <f>10-2-1+4-2-1</f>
        <v>8</v>
      </c>
      <c r="J65" s="191">
        <f>13-1+4-2-1</f>
        <v>13</v>
      </c>
      <c r="K65" s="192">
        <f>19-1+3+5-5-1+1-1-1-1-1+10-8+5-1-1-2-3-2-1</f>
        <v>14</v>
      </c>
      <c r="L65" s="192">
        <f>4-1+5-3-1-1+1-2-1-1+23-2-2-18-1+45-4-1-2-1-1-1-1-1-1</f>
        <v>32</v>
      </c>
      <c r="M65" s="192">
        <f>12-1+12-3-5-4-1-2-1-1-2-1-1-2+47-2-1-1-16-4-1-13-1+1-4-4-1+44-8-1-1-4-10-2-1-1-1-1-1-2-1</f>
        <v>10</v>
      </c>
      <c r="N65" s="192">
        <f>1-1+47-2-2-15-2-1-13+1-1-1-1-1+45-4-2-1-1-6-4-2-1-1-1-1-1-1</f>
        <v>28</v>
      </c>
      <c r="O65" s="192">
        <f>23-2-11-5-1-2-1-1+25-1-1-3-6-2-1-1</f>
        <v>10</v>
      </c>
      <c r="P65" s="192">
        <f>3-1+12-9+6-1-8-2+11-7-4+4-1-1-1-1+15-2-2-1-1</f>
        <v>9</v>
      </c>
      <c r="Q65" s="192">
        <f>3-3+11-3-1+4-1-1+15-2-1</f>
        <v>21</v>
      </c>
      <c r="R65" s="192">
        <f>8-2+2+4-1+1-2-1</f>
        <v>9</v>
      </c>
      <c r="S65" s="192">
        <f>3+1-2+4-1+1-2-1</f>
        <v>3</v>
      </c>
      <c r="T65" s="144">
        <f>SUM(B65:S65)</f>
        <v>247</v>
      </c>
    </row>
    <row r="66" spans="1:21" s="1" customFormat="1" ht="20.100000000000001" customHeight="1">
      <c r="A66" s="150"/>
      <c r="B66" s="150"/>
      <c r="C66" s="150"/>
      <c r="D66" s="150"/>
      <c r="E66" s="150"/>
      <c r="F66" s="150"/>
      <c r="G66" s="150"/>
      <c r="H66" s="150"/>
      <c r="I66" s="150"/>
      <c r="J66" s="150"/>
      <c r="K66" s="150"/>
      <c r="L66" s="150"/>
      <c r="M66" s="150"/>
      <c r="N66" s="150"/>
      <c r="O66" s="150"/>
      <c r="P66" s="150"/>
      <c r="Q66" s="150"/>
      <c r="R66" s="150"/>
      <c r="S66" s="150"/>
      <c r="T66" s="193">
        <f>T60+T61+T63+T65</f>
        <v>6744</v>
      </c>
    </row>
    <row r="67" spans="1:21" s="1" customFormat="1" ht="34.5" customHeight="1"/>
    <row r="68" spans="1:21" s="179" customFormat="1" ht="27" customHeight="1">
      <c r="A68" s="358" t="s">
        <v>45</v>
      </c>
      <c r="B68" s="358"/>
      <c r="C68" s="358"/>
      <c r="D68" s="358"/>
      <c r="E68" s="358"/>
      <c r="F68" s="358"/>
      <c r="G68" s="358"/>
      <c r="H68" s="358"/>
      <c r="I68" s="358"/>
      <c r="J68" s="358"/>
      <c r="K68" s="358"/>
      <c r="L68" s="358"/>
      <c r="M68" s="358"/>
      <c r="N68" s="358"/>
      <c r="O68" s="358"/>
      <c r="P68" s="358"/>
      <c r="Q68" s="358"/>
      <c r="R68" s="358"/>
      <c r="S68" s="358"/>
      <c r="T68" s="358"/>
    </row>
    <row r="69" spans="1:21" s="1" customFormat="1" ht="29.25" customHeight="1">
      <c r="A69" s="198"/>
      <c r="B69" s="83" t="s">
        <v>3</v>
      </c>
      <c r="C69" s="83"/>
      <c r="D69" s="83"/>
      <c r="E69" s="83"/>
      <c r="F69" s="83"/>
      <c r="G69" s="83"/>
      <c r="H69" s="83"/>
      <c r="I69" s="83"/>
      <c r="J69" s="83"/>
      <c r="K69" s="106"/>
      <c r="L69" s="106"/>
      <c r="M69" s="83" t="s">
        <v>4</v>
      </c>
      <c r="N69" s="83"/>
      <c r="O69" s="83"/>
      <c r="P69" s="83"/>
      <c r="Q69" s="83"/>
      <c r="R69" s="83"/>
      <c r="S69" s="83"/>
      <c r="T69" s="83"/>
    </row>
    <row r="70" spans="1:21" s="1" customFormat="1" ht="26.25" customHeight="1">
      <c r="A70" s="103" t="s">
        <v>5</v>
      </c>
      <c r="B70" s="4" t="s">
        <v>6</v>
      </c>
      <c r="C70" s="4" t="s">
        <v>7</v>
      </c>
      <c r="D70" s="4" t="s">
        <v>8</v>
      </c>
      <c r="E70" s="4" t="s">
        <v>9</v>
      </c>
      <c r="F70" s="4" t="s">
        <v>10</v>
      </c>
      <c r="G70" s="4" t="s">
        <v>11</v>
      </c>
      <c r="H70" s="4" t="s">
        <v>12</v>
      </c>
      <c r="I70" s="4" t="s">
        <v>13</v>
      </c>
      <c r="J70" s="4" t="s">
        <v>14</v>
      </c>
      <c r="K70" s="4" t="s">
        <v>6</v>
      </c>
      <c r="L70" s="4" t="s">
        <v>21</v>
      </c>
      <c r="M70" s="4" t="s">
        <v>8</v>
      </c>
      <c r="N70" s="4" t="s">
        <v>9</v>
      </c>
      <c r="O70" s="4" t="s">
        <v>10</v>
      </c>
      <c r="P70" s="4" t="s">
        <v>11</v>
      </c>
      <c r="Q70" s="4" t="s">
        <v>12</v>
      </c>
      <c r="R70" s="4" t="s">
        <v>13</v>
      </c>
      <c r="S70" s="4" t="s">
        <v>14</v>
      </c>
      <c r="T70" s="199" t="s">
        <v>15</v>
      </c>
    </row>
    <row r="71" spans="1:21" s="1" customFormat="1" ht="27" customHeight="1">
      <c r="A71" s="165" t="s">
        <v>16</v>
      </c>
      <c r="B71" s="129">
        <f>22+15-1-1-2-1-1-1-1-1</f>
        <v>28</v>
      </c>
      <c r="C71" s="115">
        <f>5+45-1-1-1-1-1-1-1-1-1-1-1-1-5-4+1-3-3</f>
        <v>24</v>
      </c>
      <c r="D71" s="115">
        <f>3-3+2-1-1+25-3-1-4+1-3-1-1-1-10-1-1</f>
        <v>0</v>
      </c>
      <c r="E71" s="115">
        <f>18-2+1-7-1-1+1-1-1-1-1+25-2-1-1-2-1-1-1-2-1-1-6</f>
        <v>11</v>
      </c>
      <c r="F71" s="115">
        <f>14+2-1-1-1-2-1</f>
        <v>10</v>
      </c>
      <c r="G71" s="115">
        <f>12+2-1-1-1-1</f>
        <v>10</v>
      </c>
      <c r="H71" s="115">
        <f>11-1-1</f>
        <v>9</v>
      </c>
      <c r="I71" s="115">
        <f>7</f>
        <v>7</v>
      </c>
      <c r="J71" s="115">
        <f>6</f>
        <v>6</v>
      </c>
      <c r="K71" s="115">
        <f>11-2+15-1-1-1-1</f>
        <v>20</v>
      </c>
      <c r="L71" s="115">
        <f>40+5-6-4+16-1-1-3-1-1-3-1-1-1-1</f>
        <v>37</v>
      </c>
      <c r="M71" s="115">
        <f>27-22+2-2-1-2-2+73-6-1-6-1-1-5-8-1-1-1-1-1-1-1-1+1+1</f>
        <v>39</v>
      </c>
      <c r="N71" s="115">
        <f>1+7-7-1+29-2-22-2-1-2+78-5-6-1-1-1-2-2-1-1-1-1-2-1-2-1-1-1-1-1-1-1-1-1-2-1-5</f>
        <v>34</v>
      </c>
      <c r="O71" s="115">
        <f>1+4-2-3+9-1-2-5+40-1-1-6-1-1-1-4-1-1-1-4</f>
        <v>19</v>
      </c>
      <c r="P71" s="115">
        <f>1+4-1-1-1-1-1+15-3-1-2-1</f>
        <v>8</v>
      </c>
      <c r="Q71" s="115">
        <f>0+4-1-1-1-1+5-1</f>
        <v>4</v>
      </c>
      <c r="R71" s="115">
        <f>0+15</f>
        <v>15</v>
      </c>
      <c r="S71" s="115">
        <f>16-3</f>
        <v>13</v>
      </c>
      <c r="T71" s="144">
        <f>SUM(B71:S71)</f>
        <v>294</v>
      </c>
    </row>
    <row r="72" spans="1:21" ht="36.75" customHeight="1">
      <c r="A72" s="165" t="s">
        <v>30</v>
      </c>
      <c r="B72" s="115">
        <f>9-1-1-6-1</f>
        <v>0</v>
      </c>
      <c r="C72" s="115">
        <f>41+30+2-3-2-1-1-12-1-1-1-1-5-1-1-1-1-2-1+1-1-1</f>
        <v>37</v>
      </c>
      <c r="D72" s="115">
        <f>0+11-9-1-1+1-1+4-1-1-1-1+1-1</f>
        <v>0</v>
      </c>
      <c r="E72" s="115">
        <f>27+26+3-4-1+5-1-1-14-16-1-1-1-3-11-1-1-1-1-2-1</f>
        <v>0</v>
      </c>
      <c r="F72" s="115">
        <f>4+33-1-8-1-2-1-1-5-1-1</f>
        <v>16</v>
      </c>
      <c r="G72" s="115">
        <f>0+27-1-1-1-1-2-1-1</f>
        <v>19</v>
      </c>
      <c r="H72" s="115">
        <f>10+14-1-1-1</f>
        <v>21</v>
      </c>
      <c r="I72" s="115">
        <f>0+3-1-2</f>
        <v>0</v>
      </c>
      <c r="J72" s="115">
        <f>0+4-1-1</f>
        <v>2</v>
      </c>
      <c r="K72" s="115">
        <f>19+21-1-1-1-1-1-1</f>
        <v>34</v>
      </c>
      <c r="L72" s="115">
        <f>1+3+31+45+27-6-1-1-1-1-1-1-6-1-1-1-1-1-3-1-1-1-2-4+1+1-1</f>
        <v>73</v>
      </c>
      <c r="M72" s="115">
        <f>20+45+45+45+45+15-47-1-1-1-1-1+2+3+2-1-11-1-1-1-1-1-4-16-1-6-2-1-2-4-1-1-1-1-1</f>
        <v>112</v>
      </c>
      <c r="N72" s="115">
        <f>13+11+45+31+45+45+1-46-1+1+7+5-1-10-1-1-15-1-7-1-12-1-1-3-1-1-1-4-1-1</f>
        <v>94</v>
      </c>
      <c r="O72" s="115">
        <f>32+10+30+18+30+30-14-2-2-3-1-1-4-1-4-7-2-1-1-1</f>
        <v>106</v>
      </c>
      <c r="P72" s="115">
        <f>45+17-3-1-1-1-1-1-2-1-1</f>
        <v>50</v>
      </c>
      <c r="Q72" s="115">
        <f>35+4-1-1-2-1-1</f>
        <v>33</v>
      </c>
      <c r="R72" s="115">
        <f>0+3+1-1-1</f>
        <v>2</v>
      </c>
      <c r="S72" s="115">
        <f>8+5-1</f>
        <v>12</v>
      </c>
      <c r="T72" s="144">
        <f>SUM(B72:S72)</f>
        <v>611</v>
      </c>
    </row>
    <row r="73" spans="1:21" ht="30.75" customHeight="1">
      <c r="A73" s="41"/>
      <c r="B73" s="162"/>
      <c r="C73" s="194"/>
      <c r="D73" s="194"/>
      <c r="E73" s="194"/>
      <c r="F73" s="194"/>
      <c r="G73" s="195"/>
      <c r="H73" s="194"/>
      <c r="I73" s="194"/>
      <c r="J73" s="194"/>
      <c r="K73" s="194"/>
      <c r="L73" s="194"/>
      <c r="M73" s="194"/>
      <c r="N73" s="194"/>
      <c r="O73" s="195"/>
      <c r="P73" s="194"/>
      <c r="Q73" s="194"/>
      <c r="R73" s="194"/>
      <c r="S73" s="194"/>
      <c r="T73" s="196">
        <f>SUM(T71:T72)</f>
        <v>905</v>
      </c>
    </row>
    <row r="74" spans="1:21" s="1" customFormat="1" ht="34.5" customHeight="1"/>
    <row r="75" spans="1:21" s="179" customFormat="1" ht="24.75" customHeight="1">
      <c r="A75" s="342" t="s">
        <v>46</v>
      </c>
      <c r="B75" s="325"/>
      <c r="C75" s="325"/>
      <c r="D75" s="325"/>
      <c r="E75" s="325"/>
      <c r="F75" s="325"/>
      <c r="G75" s="325"/>
      <c r="H75" s="325"/>
      <c r="I75" s="325"/>
      <c r="J75" s="325"/>
      <c r="K75" s="325"/>
      <c r="L75" s="325"/>
      <c r="M75" s="325"/>
      <c r="N75" s="325"/>
      <c r="O75" s="325"/>
      <c r="P75" s="325"/>
      <c r="Q75" s="325"/>
      <c r="R75" s="325"/>
      <c r="S75" s="326"/>
      <c r="T75" s="203"/>
    </row>
    <row r="76" spans="1:21" s="1" customFormat="1" ht="23.25" customHeight="1">
      <c r="A76" s="106" t="s">
        <v>47</v>
      </c>
      <c r="B76" s="83" t="s">
        <v>3</v>
      </c>
      <c r="C76" s="84"/>
      <c r="D76" s="84"/>
      <c r="E76" s="84"/>
      <c r="F76" s="84"/>
      <c r="G76" s="84"/>
      <c r="H76" s="84"/>
      <c r="I76" s="84"/>
      <c r="J76" s="85"/>
      <c r="K76" s="106"/>
      <c r="L76" s="83" t="s">
        <v>4</v>
      </c>
      <c r="M76" s="84"/>
      <c r="N76" s="84"/>
      <c r="O76" s="84"/>
      <c r="P76" s="84"/>
      <c r="Q76" s="84"/>
      <c r="R76" s="84"/>
      <c r="S76" s="85"/>
      <c r="T76" s="201"/>
    </row>
    <row r="77" spans="1:21" s="1" customFormat="1" ht="22.5" customHeight="1">
      <c r="A77" s="103" t="s">
        <v>5</v>
      </c>
      <c r="B77" s="87" t="s">
        <v>6</v>
      </c>
      <c r="C77" s="87" t="s">
        <v>7</v>
      </c>
      <c r="D77" s="87" t="s">
        <v>8</v>
      </c>
      <c r="E77" s="87" t="s">
        <v>9</v>
      </c>
      <c r="F77" s="87" t="s">
        <v>10</v>
      </c>
      <c r="G77" s="87" t="s">
        <v>11</v>
      </c>
      <c r="H77" s="87" t="s">
        <v>12</v>
      </c>
      <c r="I77" s="87" t="s">
        <v>13</v>
      </c>
      <c r="J77" s="87" t="s">
        <v>14</v>
      </c>
      <c r="K77" s="87" t="s">
        <v>6</v>
      </c>
      <c r="L77" s="87" t="s">
        <v>7</v>
      </c>
      <c r="M77" s="87" t="s">
        <v>8</v>
      </c>
      <c r="N77" s="87" t="s">
        <v>9</v>
      </c>
      <c r="O77" s="200" t="s">
        <v>10</v>
      </c>
      <c r="P77" s="87" t="s">
        <v>11</v>
      </c>
      <c r="Q77" s="87" t="s">
        <v>12</v>
      </c>
      <c r="R77" s="87" t="s">
        <v>13</v>
      </c>
      <c r="S77" s="87" t="s">
        <v>14</v>
      </c>
      <c r="T77" s="148" t="s">
        <v>48</v>
      </c>
      <c r="U77" s="9"/>
    </row>
    <row r="78" spans="1:21" s="1" customFormat="1" ht="22.5" customHeight="1">
      <c r="A78" s="165" t="s">
        <v>16</v>
      </c>
      <c r="B78" s="115">
        <f>32+25-1-1-5-1-1-1-1-1-1-1-1-1</f>
        <v>41</v>
      </c>
      <c r="C78" s="115">
        <f>30+45+27+32+38+2+3+3-1-5+1-1-1-10-1-1-1-1-1-1-1-1-1-3-1-1-2+1-1-1-2-2-1-1-1-2-1-11-1-1-1-1-1-1-1-2</f>
        <v>116</v>
      </c>
      <c r="D78" s="115">
        <f>66+45+45+32+53+29+45+50+45-1+4-1-4+16+1-1-2-15-1-2-2-1-1-2-1-1-1-2-1-1-1-1-6-2-4+2-1-1-1-2-1-3-1-2-1-2-1-1-1-1-1-3-15-4-1-1-1-1-1-1-1</f>
        <v>330</v>
      </c>
      <c r="E78" s="115">
        <f>35+38+34+45+18+45+45+45+45+45+45-1+3-3+16-1-5-3-1-1-1-1-1-1-1+1-1-4-3-13-2-1+1-3-2-1-4-1-1-1-1-1-1-4-1-3-20-1-4-1-1-2</f>
        <v>364</v>
      </c>
      <c r="F78" s="115">
        <f>26+45+45+13+50+2+45-1-3-1-1-1-1-1-3-1-1-6+3-1-8-1-1-3-10-1-1-1</f>
        <v>182</v>
      </c>
      <c r="G78" s="115">
        <f>10+30+50+35+20+30+20-1-2-1-1-1-2-1-1-1-4+2-1-1-7-1-1</f>
        <v>171</v>
      </c>
      <c r="H78" s="115">
        <f>15+1+20+13+10-1-1-1-3-1-2+1-1-1-3</f>
        <v>46</v>
      </c>
      <c r="I78" s="115">
        <f>3-3</f>
        <v>0</v>
      </c>
      <c r="J78" s="115">
        <f>19+10-1-1</f>
        <v>27</v>
      </c>
      <c r="K78" s="129">
        <f>12+33-1-1-1-1-1+1-1-1-1+1-1</f>
        <v>38</v>
      </c>
      <c r="L78" s="129">
        <f>27+21+36+45+21-1-1-6+2-1-2-2-10-3-3-1-2-1-1-1-1-1-4-1-1-3-2-1+1-3-1-1-4-1-2-1-1-3-1-1-1-1-1-1-1-1-1-1-1-15-1-4-1-1-1-1-1+1-1-1-1-1-1-1</f>
        <v>46</v>
      </c>
      <c r="M78" s="115">
        <f>18+50+50+50+30+45-1-1-11-4-1-11+4-1-1-3-3-10-15-1-6-1-1-1-1-1-2-4-2-1-1-1-1-2-3-1-7-1-1-2-3-1-5-17+1-2-1-1-1-1-2-1-1-1-1-2-1-3-1-1-1-3-4-1-1+50-1-5-1-1-1-1-1-5-1-1-2-1-1-12-8-1-1-1-3+1-1-1-4-3-1-1-1-2-1-2-1-1-1</f>
        <v>72</v>
      </c>
      <c r="N78" s="115">
        <f>44+45+45+1+2+1-25-1-1-1-1-4+4-1-2-3-4-30-8-1-1-1-1-1-1-3-2-1-1-1-1-5-1-2-1-3-1-6-5-17-5+1-1+150-1-2-1-1-2-1-1-1-1-1-2-1+1+1-1-1-1-3-1-1-3-1-15-10-1-1-1-1-1-1-2-1-1-1-1-1-1-1-1-1-1-2-1-1</f>
        <v>78</v>
      </c>
      <c r="O78" s="115">
        <f>5+35+35+6-7-5+2-1-1-2-15-11-1-1-1-1-1-1-1-1-2-4-1-2-10-5-6-3+1-1+79-1-1-1-5-1-2-1-1-1-1-1-1-1-1-1-1-1-8-1-1-4-1-1-1-1-2-1-1-1-1-1-1-2-1-2</f>
        <v>26</v>
      </c>
      <c r="P78" s="115">
        <f>33-2-2+2-1-1-4-6-1-1-1-3-1-1-1-2-2-4-1+1-1-1+40-2-1-1-1-1-1-1-1-1</f>
        <v>30</v>
      </c>
      <c r="Q78" s="115">
        <f>17-1-1-2-1-4-1-1-1-1-1-2-1+1-1+20-1-1-1-1-1-1-1</f>
        <v>13</v>
      </c>
      <c r="R78" s="129">
        <f>0</f>
        <v>0</v>
      </c>
      <c r="S78" s="129">
        <f>15-1-2-1-1-1-1-1-2-1</f>
        <v>4</v>
      </c>
      <c r="T78" s="144">
        <f>SUM(B78:S78)</f>
        <v>1584</v>
      </c>
      <c r="U78" s="9"/>
    </row>
    <row r="79" spans="1:21" s="1" customFormat="1" ht="26.25" customHeight="1">
      <c r="A79" s="165" t="s">
        <v>18</v>
      </c>
      <c r="B79" s="115">
        <f>40-1-1-1</f>
        <v>37</v>
      </c>
      <c r="C79" s="115">
        <f>25+2-6-1-1+1-2-1-2-1-1-1-1-1-1-5-4</f>
        <v>0</v>
      </c>
      <c r="D79" s="115">
        <f>17+1+34-1-3-7-1-1-2-1-1-1-7-1-1-1-1-1-1-1-1-1-1-1+1-2-5-2-1-2-3</f>
        <v>2</v>
      </c>
      <c r="E79" s="115">
        <f>9+37+2+26-2-1-11-1-1-1-7-1-1-1-1-6-1-3-5</f>
        <v>31</v>
      </c>
      <c r="F79" s="115">
        <f>13+25+7-1-5-2-6-1-1-1-3-2</f>
        <v>23</v>
      </c>
      <c r="G79" s="115">
        <f>0+29+11+5-1-1-1-1-1-1</f>
        <v>39</v>
      </c>
      <c r="H79" s="115">
        <f>29+35-1-5</f>
        <v>58</v>
      </c>
      <c r="I79" s="115">
        <f>7+15+1</f>
        <v>23</v>
      </c>
      <c r="J79" s="115">
        <f>18</f>
        <v>18</v>
      </c>
      <c r="K79" s="129">
        <f>14+27+20+6-1-1+1</f>
        <v>66</v>
      </c>
      <c r="L79" s="129">
        <f>24+22+26-3-1-1-1-1+20-1-1-4-1-1-1-1-1-1-4-1-1-1-1-2-1-1-2-1</f>
        <v>58</v>
      </c>
      <c r="M79" s="129">
        <f>18+37+44+45+8+45+16+19+1-4-2-1-6-1-11+20-1-1-1-1-22-3-1-7-1-1-1-2-1-3-1+1-1-3-1-1-1-1-1-2-1-1-1-1+1-1-1-1-1-1</f>
        <v>163</v>
      </c>
      <c r="N79" s="129">
        <f>10+26+50+21+49+45+6+16-1-3+1-25+1+20-3+1-1-1-1-20-1-6-1-7-2-2-2-2-3-1-1-1-1-1-1+35-3-1-1-1-2-1-1-1-1-1-5-1-1-3-1</f>
        <v>170</v>
      </c>
      <c r="O79" s="129">
        <f>4+39-1-1-5-7+20-1-1-32-3-1-1-1-1-1-1-1-2-1-1-1</f>
        <v>0</v>
      </c>
      <c r="P79" s="115">
        <f>27+45+45+45+39+5-2-2-2-1-1-22-1-1+1-2-1-1-1-1</f>
        <v>169</v>
      </c>
      <c r="Q79" s="129">
        <f>14+15-1-1-2-8-1-1</f>
        <v>15</v>
      </c>
      <c r="R79" s="129">
        <f>1-2+1</f>
        <v>0</v>
      </c>
      <c r="S79" s="129">
        <f>6+3-1-1</f>
        <v>7</v>
      </c>
      <c r="T79" s="144">
        <f>SUM(B79:S79)</f>
        <v>879</v>
      </c>
    </row>
    <row r="80" spans="1:21" s="1" customFormat="1" ht="18.75" customHeight="1">
      <c r="A80" s="41"/>
      <c r="B80" s="162"/>
      <c r="C80" s="194"/>
      <c r="D80" s="194"/>
      <c r="E80" s="194"/>
      <c r="F80" s="194"/>
      <c r="G80" s="195"/>
      <c r="H80" s="194"/>
      <c r="I80" s="194"/>
      <c r="J80" s="194"/>
      <c r="K80" s="194"/>
      <c r="L80" s="194"/>
      <c r="M80" s="194"/>
      <c r="N80" s="194"/>
      <c r="O80" s="195"/>
      <c r="P80" s="194"/>
      <c r="Q80" s="194"/>
      <c r="R80" s="194"/>
      <c r="S80" s="194"/>
      <c r="T80" s="202">
        <f>SUM(T78:T79)</f>
        <v>2463</v>
      </c>
    </row>
    <row r="81" spans="1:81" s="1" customFormat="1" ht="18.75" customHeight="1">
      <c r="A81" s="16"/>
      <c r="B81" s="14"/>
      <c r="C81" s="17"/>
      <c r="D81" s="17"/>
      <c r="E81" s="17"/>
      <c r="F81" s="17"/>
      <c r="G81" s="18"/>
      <c r="H81" s="17"/>
      <c r="I81" s="17"/>
      <c r="J81" s="17"/>
      <c r="K81" s="17"/>
      <c r="L81" s="17"/>
      <c r="M81" s="17"/>
      <c r="N81" s="17"/>
      <c r="O81" s="18"/>
      <c r="P81" s="17"/>
      <c r="Q81" s="17"/>
      <c r="R81" s="17"/>
      <c r="S81" s="17"/>
      <c r="T81" s="30"/>
    </row>
    <row r="82" spans="1:81" s="1" customFormat="1" ht="33.950000000000003" customHeight="1">
      <c r="A82" s="342" t="s">
        <v>49</v>
      </c>
      <c r="B82" s="325"/>
      <c r="C82" s="325"/>
      <c r="D82" s="325"/>
      <c r="E82" s="325"/>
      <c r="F82" s="325"/>
      <c r="G82" s="325"/>
      <c r="H82" s="325"/>
      <c r="I82" s="325"/>
      <c r="J82" s="325"/>
      <c r="K82" s="325"/>
      <c r="L82" s="325"/>
      <c r="M82" s="325"/>
      <c r="N82" s="325"/>
      <c r="O82" s="325"/>
      <c r="P82" s="325"/>
      <c r="Q82" s="325"/>
      <c r="R82" s="325"/>
      <c r="S82" s="325"/>
      <c r="T82" s="326"/>
      <c r="U82" s="205"/>
    </row>
    <row r="83" spans="1:81" s="179" customFormat="1" ht="24.75" customHeight="1">
      <c r="A83" s="106" t="s">
        <v>47</v>
      </c>
      <c r="B83" s="322" t="s">
        <v>3</v>
      </c>
      <c r="C83" s="323"/>
      <c r="D83" s="323"/>
      <c r="E83" s="323"/>
      <c r="F83" s="323"/>
      <c r="G83" s="323"/>
      <c r="H83" s="323"/>
      <c r="I83" s="323"/>
      <c r="J83" s="323"/>
      <c r="K83" s="324"/>
      <c r="L83" s="322" t="s">
        <v>4</v>
      </c>
      <c r="M83" s="323"/>
      <c r="N83" s="323"/>
      <c r="O83" s="323"/>
      <c r="P83" s="323"/>
      <c r="Q83" s="323"/>
      <c r="R83" s="323"/>
      <c r="S83" s="323"/>
      <c r="T83" s="324"/>
      <c r="U83" s="207"/>
    </row>
    <row r="84" spans="1:81" s="172" customFormat="1" ht="24" customHeight="1">
      <c r="A84" s="103" t="s">
        <v>5</v>
      </c>
      <c r="B84" s="87" t="s">
        <v>6</v>
      </c>
      <c r="C84" s="87" t="s">
        <v>7</v>
      </c>
      <c r="D84" s="87" t="s">
        <v>8</v>
      </c>
      <c r="E84" s="87" t="s">
        <v>9</v>
      </c>
      <c r="F84" s="87" t="s">
        <v>10</v>
      </c>
      <c r="G84" s="87" t="s">
        <v>11</v>
      </c>
      <c r="H84" s="87" t="s">
        <v>12</v>
      </c>
      <c r="I84" s="87" t="s">
        <v>13</v>
      </c>
      <c r="J84" s="87" t="s">
        <v>14</v>
      </c>
      <c r="K84" s="87" t="s">
        <v>50</v>
      </c>
      <c r="L84" s="87" t="s">
        <v>6</v>
      </c>
      <c r="M84" s="87" t="s">
        <v>7</v>
      </c>
      <c r="N84" s="87" t="s">
        <v>8</v>
      </c>
      <c r="O84" s="87" t="s">
        <v>9</v>
      </c>
      <c r="P84" s="87" t="s">
        <v>10</v>
      </c>
      <c r="Q84" s="87" t="s">
        <v>11</v>
      </c>
      <c r="R84" s="87" t="s">
        <v>12</v>
      </c>
      <c r="S84" s="87" t="s">
        <v>13</v>
      </c>
      <c r="T84" s="148" t="s">
        <v>14</v>
      </c>
      <c r="U84" s="87" t="s">
        <v>15</v>
      </c>
    </row>
    <row r="85" spans="1:81" s="1" customFormat="1" ht="27.75" customHeight="1">
      <c r="A85" s="165" t="s">
        <v>22</v>
      </c>
      <c r="B85" s="115">
        <f>28-1+49-1-1-1-2-1-1-1-1-2-3-1-1-5-4+28</f>
        <v>79</v>
      </c>
      <c r="C85" s="115">
        <f>10+1+4+2-1-2-1-1-1-1-1-1-4-2-1-1+29-1-1-1-3-11-10-1-1+93+15-1</f>
        <v>107</v>
      </c>
      <c r="D85" s="115">
        <f>0+2+21+1-1-3-1-5-1-7-5-1+25-4-1-1-4-1-2-12+87-1-1-1-1-2-1-1-3-24-1-6-11-26-8+174-1</f>
        <v>173</v>
      </c>
      <c r="E85" s="115">
        <f>40+36-1-1-1-3-1-2-2-1-1-1+1-25-1-25-4-1-1-2-1-2-1+90-1-1-1-3-22-12-4-22-12-12+171</f>
        <v>171</v>
      </c>
      <c r="F85" s="115">
        <f>0+26+1-1-2-1-1-10-7-1-4+30-3-12-2-13+95-1</f>
        <v>94</v>
      </c>
      <c r="G85" s="115">
        <f>20+1+9-1-1-1-1-1-1-2-1-16-5+1+8-1-3-5+50-2-1</f>
        <v>47</v>
      </c>
      <c r="H85" s="115">
        <f>30+6-1-1-13-1-1-3+1-3-10-3-1+30</f>
        <v>30</v>
      </c>
      <c r="I85" s="115">
        <f>4+6-1-5-1-3+15</f>
        <v>15</v>
      </c>
      <c r="J85" s="115">
        <f>4+11-5-2+15</f>
        <v>23</v>
      </c>
      <c r="K85" s="168">
        <f>0</f>
        <v>0</v>
      </c>
      <c r="L85" s="115">
        <f>35+30+3+1-1+42-1-1-1-1-1-3-5-1-6-2-1+50-1</f>
        <v>136</v>
      </c>
      <c r="M85" s="115">
        <f>45-1-2+22+4-1-2-1-1-1-1-1+1-1-3-10-5-2-1-2-1-1-1-2-3-10-15-4+100+100-2-1-1</f>
        <v>196</v>
      </c>
      <c r="N85" s="115">
        <f>10+27+50+50+45+39+50+40+45+2-1+11-4+14-1-3-1-1-2-1-1-1-1+1-1-1-4-20-1-2-1-1-1-3-1-1-1-2-1-2-2-1-1-1-1-1-1-3-1-3-1-17-1-14-5-6-21-48-10-1-1-1+188-7+127+34-1</f>
        <v>524</v>
      </c>
      <c r="O85" s="115">
        <f>43+45-1-1+2+6-6-1-1-3-1-1-2-1-1+1-1-1+1-7-2-1-1-1-1-2-3-4-1-3-20-2-1-9-1-1-2-4-1-1-1-1-1+67+23-1-1-1-3-1-3-20-1-18-35-2-10+226+10+117-1</f>
        <v>352</v>
      </c>
      <c r="P85" s="115">
        <f>16+1-1-1+21-2+4-1-2-1-1-1-1-4-1-5-10-3-1-7+52+38-2-3-18-8-26-18-10-1-1+34-1-4+175-1-2</f>
        <v>204</v>
      </c>
      <c r="Q85" s="115">
        <f>0+1-1-1+46-1-1-1-1-1+1-1-1-1-3-9-1-4-2-1-1-2-1-1+2-1-3-10-1+1-1+56-1</f>
        <v>55</v>
      </c>
      <c r="R85" s="115">
        <f>8+19+11-1-1-3-1-4-1-1-1-3-1-9-9-2+54</f>
        <v>55</v>
      </c>
      <c r="S85" s="115">
        <f>6+26-1-1-8-2-1+29</f>
        <v>48</v>
      </c>
      <c r="T85" s="144">
        <f>7+2-2-2-2-3+27</f>
        <v>27</v>
      </c>
      <c r="U85" s="115">
        <f>SUM(B85:T85)</f>
        <v>2336</v>
      </c>
    </row>
    <row r="86" spans="1:81" s="1" customFormat="1" ht="26.25" customHeight="1">
      <c r="A86" s="165" t="s">
        <v>30</v>
      </c>
      <c r="B86" s="149">
        <f>50+45+15-1-1</f>
        <v>108</v>
      </c>
      <c r="C86" s="149">
        <f>25+40+50+50+50+26-2+1+1-2-1-2-1-2-1-1-1-1</f>
        <v>229</v>
      </c>
      <c r="D86" s="149">
        <f>22-1-1-1-1-4-1-1-11-1</f>
        <v>0</v>
      </c>
      <c r="E86" s="149">
        <f>40+40+45+45+50+1-2-1-2-1-1-8-1-1-1-1-1</f>
        <v>201</v>
      </c>
      <c r="F86" s="149">
        <f>18+30+45+30+11+1-1-7-1-1-1-1-1-1-1-1</f>
        <v>119</v>
      </c>
      <c r="G86" s="149">
        <f>40+14+8-1-1-1-1-1-1-1</f>
        <v>55</v>
      </c>
      <c r="H86" s="149">
        <f>20+4-1</f>
        <v>23</v>
      </c>
      <c r="I86" s="149">
        <f>0+12</f>
        <v>12</v>
      </c>
      <c r="J86" s="149">
        <f>0+12</f>
        <v>12</v>
      </c>
      <c r="K86" s="279">
        <v>0</v>
      </c>
      <c r="L86" s="192">
        <f>13+30+31+28+32-1+50</f>
        <v>183</v>
      </c>
      <c r="M86" s="149">
        <f>50+50+50+20+50+27+18+40+40+34-1-1-2-1-2-5-2-4-1-2-1-1-1</f>
        <v>355</v>
      </c>
      <c r="N86" s="149">
        <f>45+15+45+45+48+50+48+50+48+45+45+45+19+16-4-3-4-2-1+1-1-3-1-1-1-12-1+1-1-1-5-1-4-1-2-1-1-2-1-1+200</f>
        <v>711</v>
      </c>
      <c r="O86" s="149">
        <f>30+45+11+49+23+23+45+45+45+35+45+45+45+27+48+42-4-6-1-1-3-1-1-1-2-9-1-1-1-5-1-2-1-1-2-1-1-1-1-1+90</f>
        <v>644</v>
      </c>
      <c r="P86" s="149">
        <f>16+45+26+19+31+45+50+32-1-1-1-2-1-1-1-3-2+1-1-1-5-1-1-1-1-1</f>
        <v>240</v>
      </c>
      <c r="Q86" s="149">
        <f>20+14+1+30+29-1-1-2-1-1</f>
        <v>88</v>
      </c>
      <c r="R86" s="149">
        <f>28+18-1-1-1-1</f>
        <v>42</v>
      </c>
      <c r="S86" s="149"/>
      <c r="T86" s="280"/>
      <c r="U86" s="149">
        <f>SUM(B86:T86)</f>
        <v>3022</v>
      </c>
    </row>
    <row r="87" spans="1:81" s="1" customFormat="1" ht="27.75" customHeight="1">
      <c r="A87" s="281" t="s">
        <v>17</v>
      </c>
      <c r="B87" s="312">
        <f>30+61</f>
        <v>91</v>
      </c>
      <c r="C87" s="312">
        <f>129+60</f>
        <v>189</v>
      </c>
      <c r="D87" s="312">
        <f>180-1-1+89-1-1</f>
        <v>265</v>
      </c>
      <c r="E87" s="313">
        <f>179+1-2</f>
        <v>178</v>
      </c>
      <c r="F87" s="313">
        <f>60+15+15-2+88</f>
        <v>176</v>
      </c>
      <c r="G87" s="313">
        <f>25+25+40</f>
        <v>90</v>
      </c>
      <c r="H87" s="313">
        <f>30+20</f>
        <v>50</v>
      </c>
      <c r="I87" s="313">
        <v>15</v>
      </c>
      <c r="J87" s="313">
        <v>15</v>
      </c>
      <c r="K87" s="314"/>
      <c r="L87" s="313">
        <f>50+100</f>
        <v>150</v>
      </c>
      <c r="M87" s="313">
        <f>181+201</f>
        <v>382</v>
      </c>
      <c r="N87" s="313">
        <f>348-1-3</f>
        <v>344</v>
      </c>
      <c r="O87" s="313">
        <f>256+94-6+234</f>
        <v>578</v>
      </c>
      <c r="P87" s="313">
        <f>178+2-2</f>
        <v>178</v>
      </c>
      <c r="Q87" s="313">
        <v>50</v>
      </c>
      <c r="R87" s="313">
        <f>49+1</f>
        <v>50</v>
      </c>
      <c r="S87" s="312">
        <f>0+25+1</f>
        <v>26</v>
      </c>
      <c r="T87" s="312">
        <f>23</f>
        <v>23</v>
      </c>
      <c r="U87" s="282">
        <f>SUM(B87:T87)</f>
        <v>2850</v>
      </c>
    </row>
    <row r="88" spans="1:81" s="1" customFormat="1" ht="29.25" customHeight="1">
      <c r="A88" s="16"/>
      <c r="B88" s="14"/>
      <c r="C88" s="17"/>
      <c r="D88" s="17"/>
      <c r="E88" s="17"/>
      <c r="F88" s="17"/>
      <c r="G88" s="18"/>
      <c r="H88" s="17"/>
      <c r="I88" s="17"/>
      <c r="J88" s="17"/>
      <c r="K88" s="17"/>
      <c r="L88" s="17"/>
      <c r="M88" s="17"/>
      <c r="N88" s="17"/>
      <c r="O88" s="18"/>
      <c r="P88" s="17"/>
      <c r="Q88" s="17"/>
      <c r="R88" s="17"/>
      <c r="S88" s="17"/>
      <c r="T88" s="30"/>
      <c r="U88" s="283">
        <f>SUM(U85:U87)</f>
        <v>8208</v>
      </c>
    </row>
    <row r="89" spans="1:81" s="204" customFormat="1" ht="39.950000000000003" customHeight="1">
      <c r="A89" s="342" t="s">
        <v>51</v>
      </c>
      <c r="B89" s="325"/>
      <c r="C89" s="325"/>
      <c r="D89" s="325"/>
      <c r="E89" s="325"/>
      <c r="F89" s="325"/>
      <c r="G89" s="325"/>
      <c r="H89" s="325"/>
      <c r="I89" s="325"/>
      <c r="J89" s="325"/>
      <c r="K89" s="325"/>
      <c r="L89" s="325"/>
      <c r="M89" s="325"/>
      <c r="N89" s="325"/>
      <c r="O89" s="325"/>
      <c r="P89" s="325"/>
      <c r="Q89" s="325"/>
      <c r="R89" s="325"/>
      <c r="S89" s="325"/>
      <c r="T89" s="325"/>
      <c r="U89" s="9"/>
      <c r="V89" s="9"/>
      <c r="W89" s="9"/>
      <c r="X89" s="9"/>
      <c r="Y89" s="9"/>
      <c r="Z89" s="9"/>
      <c r="AA89" s="9"/>
      <c r="AB89" s="9"/>
      <c r="AC89" s="9"/>
      <c r="AD89" s="9"/>
      <c r="AE89" s="9"/>
      <c r="AF89" s="9"/>
      <c r="AG89" s="9"/>
      <c r="AH89" s="9"/>
      <c r="AI89" s="9"/>
      <c r="AJ89" s="9"/>
      <c r="AK89" s="9"/>
      <c r="AL89" s="9"/>
      <c r="AM89" s="9"/>
      <c r="AN89" s="9"/>
      <c r="AO89" s="9"/>
      <c r="AP89" s="9"/>
      <c r="AQ89" s="9"/>
      <c r="AR89" s="9"/>
      <c r="AS89" s="9"/>
      <c r="AT89" s="9"/>
      <c r="AU89" s="9"/>
      <c r="AV89" s="9"/>
      <c r="AW89" s="9"/>
      <c r="AX89" s="9"/>
      <c r="AY89" s="9"/>
      <c r="AZ89" s="9"/>
      <c r="BA89" s="9"/>
      <c r="BB89" s="9"/>
      <c r="BC89" s="9"/>
      <c r="BD89" s="9"/>
      <c r="BE89" s="9"/>
      <c r="BF89" s="9"/>
      <c r="BG89" s="9"/>
      <c r="BH89" s="9"/>
      <c r="BI89" s="9"/>
      <c r="BJ89" s="9"/>
      <c r="BK89" s="9"/>
      <c r="BL89" s="9"/>
      <c r="BM89" s="9"/>
      <c r="BN89" s="9"/>
      <c r="BO89" s="9"/>
      <c r="BP89" s="9"/>
      <c r="BQ89" s="9"/>
      <c r="BR89" s="9"/>
      <c r="BS89" s="9"/>
      <c r="BT89" s="9"/>
      <c r="BU89" s="9"/>
      <c r="BV89" s="9"/>
      <c r="BW89" s="9"/>
      <c r="BX89" s="9"/>
      <c r="BY89" s="9"/>
      <c r="BZ89" s="9"/>
      <c r="CA89" s="9"/>
      <c r="CB89" s="9"/>
      <c r="CC89" s="9"/>
    </row>
    <row r="90" spans="1:81" s="179" customFormat="1" ht="27" customHeight="1">
      <c r="A90" s="210"/>
      <c r="B90" s="322" t="s">
        <v>3</v>
      </c>
      <c r="C90" s="323"/>
      <c r="D90" s="323"/>
      <c r="E90" s="323"/>
      <c r="F90" s="323"/>
      <c r="G90" s="323"/>
      <c r="H90" s="323"/>
      <c r="I90" s="323"/>
      <c r="J90" s="324"/>
      <c r="K90" s="106"/>
      <c r="L90" s="106"/>
      <c r="M90" s="322" t="s">
        <v>4</v>
      </c>
      <c r="N90" s="323"/>
      <c r="O90" s="323"/>
      <c r="P90" s="323"/>
      <c r="Q90" s="323"/>
      <c r="R90" s="323"/>
      <c r="S90" s="323"/>
      <c r="T90" s="323"/>
      <c r="U90" s="211"/>
      <c r="V90" s="211"/>
      <c r="W90" s="211"/>
      <c r="X90" s="211"/>
      <c r="Y90" s="211"/>
      <c r="Z90" s="211"/>
      <c r="AA90" s="211"/>
      <c r="AB90" s="211"/>
      <c r="AC90" s="211"/>
      <c r="AD90" s="211"/>
      <c r="AE90" s="211"/>
      <c r="AF90" s="211"/>
      <c r="AG90" s="211"/>
      <c r="AH90" s="211"/>
      <c r="AI90" s="211"/>
      <c r="AJ90" s="211"/>
      <c r="AK90" s="211"/>
      <c r="AL90" s="211"/>
      <c r="AM90" s="211"/>
      <c r="AN90" s="211"/>
      <c r="AO90" s="211"/>
      <c r="AP90" s="211"/>
      <c r="AQ90" s="211"/>
      <c r="AR90" s="211"/>
      <c r="AS90" s="211"/>
      <c r="AT90" s="211"/>
      <c r="AU90" s="211"/>
      <c r="AV90" s="211"/>
      <c r="AW90" s="211"/>
      <c r="AX90" s="211"/>
      <c r="AY90" s="211"/>
      <c r="AZ90" s="211"/>
      <c r="BA90" s="211"/>
      <c r="BB90" s="211"/>
      <c r="BC90" s="211"/>
      <c r="BD90" s="211"/>
      <c r="BE90" s="211"/>
      <c r="BF90" s="211"/>
      <c r="BG90" s="211"/>
      <c r="BH90" s="211"/>
      <c r="BI90" s="211"/>
      <c r="BJ90" s="211"/>
      <c r="BK90" s="211"/>
      <c r="BL90" s="211"/>
      <c r="BM90" s="211"/>
      <c r="BN90" s="211"/>
      <c r="BO90" s="211"/>
      <c r="BP90" s="211"/>
      <c r="BQ90" s="211"/>
      <c r="BR90" s="211"/>
      <c r="BS90" s="211"/>
      <c r="BT90" s="211"/>
      <c r="BU90" s="211"/>
      <c r="BV90" s="211"/>
      <c r="BW90" s="211"/>
      <c r="BX90" s="211"/>
      <c r="BY90" s="211"/>
      <c r="BZ90" s="211"/>
      <c r="CA90" s="211"/>
      <c r="CB90" s="211"/>
      <c r="CC90" s="211"/>
    </row>
    <row r="91" spans="1:81" s="172" customFormat="1" ht="26.25" customHeight="1">
      <c r="A91" s="103" t="s">
        <v>5</v>
      </c>
      <c r="B91" s="87" t="s">
        <v>6</v>
      </c>
      <c r="C91" s="87" t="s">
        <v>7</v>
      </c>
      <c r="D91" s="87" t="s">
        <v>8</v>
      </c>
      <c r="E91" s="87" t="s">
        <v>9</v>
      </c>
      <c r="F91" s="87" t="s">
        <v>10</v>
      </c>
      <c r="G91" s="87" t="s">
        <v>11</v>
      </c>
      <c r="H91" s="87" t="s">
        <v>12</v>
      </c>
      <c r="I91" s="87" t="s">
        <v>13</v>
      </c>
      <c r="J91" s="87" t="s">
        <v>14</v>
      </c>
      <c r="K91" s="87" t="s">
        <v>6</v>
      </c>
      <c r="L91" s="87" t="s">
        <v>7</v>
      </c>
      <c r="M91" s="87" t="s">
        <v>8</v>
      </c>
      <c r="N91" s="87" t="s">
        <v>9</v>
      </c>
      <c r="O91" s="87" t="s">
        <v>10</v>
      </c>
      <c r="P91" s="87" t="s">
        <v>11</v>
      </c>
      <c r="Q91" s="87" t="s">
        <v>12</v>
      </c>
      <c r="R91" s="87" t="s">
        <v>13</v>
      </c>
      <c r="S91" s="87" t="s">
        <v>14</v>
      </c>
      <c r="T91" s="148"/>
    </row>
    <row r="92" spans="1:81" s="1" customFormat="1" ht="25.5" customHeight="1">
      <c r="A92" s="165" t="s">
        <v>22</v>
      </c>
      <c r="B92" s="115">
        <f>16+23-14+5+1-1-1-1-1+1+3-1+1-1-1-1+60-1-1-1-1-1</f>
        <v>83</v>
      </c>
      <c r="C92" s="115">
        <f>46+45+45+30+30+45+45+45+45+45+25+30+30+45-3-10-4-1-1+1-17-1-2-4-66-1-4-1+2-2-1+1-1-6+4-1-1-1-1+1-4+6-1-1-1+1-4-1-1-1-1-3+1-1-3-1-1-3-1-1-1-2-5-1-5-3-4-1-4-1-1-3-3-2-1-1-4-1-1</f>
        <v>366</v>
      </c>
      <c r="D92" s="115">
        <f>21+45+45+45+30+30+25-5-9-1-8-4-1-1-2+1+45-20-1-2-90-2-1-4+1-2+1-4-1-1-1+1-1-3+3-1-2-1-4-1+1-1-2-6+3-1-1-1-1-1-1+1-53-2-1+2-2-1-2-1-9-1-1-1-1-3+45+45+45+45-2-3-5-1-3-1-26-1-2-1-1-6-1-1-1-3-1-3-4-2-1-2-1-1-3-1-1-1</f>
        <v>135</v>
      </c>
      <c r="E92" s="115">
        <f>11+45+45+45+40+45+45+27+30+35+30+9+20-2-11-5-10-13-1-7+1+1-17-3-102-1-5+20+1+1+1+1-4-2-1+1-1-3-1-1-1-4-1-1+0-3-1-1-3+2-1-2-1-1+1-41-1-1+1-1-5+1-1-1-2-9-1-1-1+45+45+45+45-1-4-2-1-1-1-1-14-1-1-1-1-1-1-3-3-1-3-5-2-1-1-6-5-1-3-3-1-1-2-2-1</f>
        <v>289</v>
      </c>
      <c r="F92" s="121">
        <f>19+45+45+41+30+8-5-7-17-1+1-20-1-1-5-121-11+45+45+45+25+21-104+1+20+30-1-1+1+1-4+2-1-2-1+1-1-1-1-1-3+3-1-1+1-6-1-1-2-2-3-1-1-3-13-1-2-1-2-4-1-2-1-3-5-7-10-1-2-1-2-3-1-1-1-5-1-1-2-4-7-1-1-1-2</f>
        <v>9</v>
      </c>
      <c r="G92" s="115">
        <f>13+45+30+8+7-2-4-1-1-9-1-80-30+25+1+1-1-1+6-3+40-3+1-1+1-1-2-1-1-1-1-1-1-1-1-6-2-3-1-1-1</f>
        <v>16</v>
      </c>
      <c r="H92" s="115">
        <f>11-1-5-1+35-12-4-17-1-5+1+1+36+2-1-1-1-1-2-1-2-2-1</f>
        <v>28</v>
      </c>
      <c r="I92" s="115">
        <f>7+7-14+14+5-1-5-2-1-1-1-1</f>
        <v>7</v>
      </c>
      <c r="J92" s="115">
        <f>12+1-11+5-1-1-2-2-1</f>
        <v>0</v>
      </c>
      <c r="K92" s="115">
        <f>50-10-2-1-2-7-1+1-1-10-2-1+10+10+6-1-2-1-1-1-1-1-1-1</f>
        <v>30</v>
      </c>
      <c r="L92" s="115">
        <f>56+45-3-2-2-30-2-5-8+45-24+1+10-23-5-1-2-1-45-4+1-1-1+1+1-1+1-1+45-1-1+1+2-1+109+2+1-2-4+8-2-1-1-4+1-1-2-2-5+4-1+1-2+1-3-1-1-4-1-1-1-3-1-2-1-1-10-4-3-1-1-5-1-1-4-1-1-1+1-10-1-1-1-2-1-1</f>
        <v>76</v>
      </c>
      <c r="M92" s="115">
        <f>17+14-3-14-1-35-1-5-3-21-15-6+45+45-45-35+1-19-10+32+45+45-179+45+45+58+15+1-1-1-14-2+2+1+1-2-1+1+1-1+2+86-1-3-1-1-1-1+300+6-2+1-1-6+21-11-1-3-1-4-1-8+1-2-1-1-2-8-7+6-1-1-1-1-1-3-1-1-1-3-1-5+1-1-33-2-2-1-3-9-1-5-3-1-6-2-1-3-2-1-14-2-1-1-1-3-6-1-3-2-1-1-1-3-1-10-10-7-3-4-8-1-1-1-4-1-2-1-10-1-1-1-1-1-1-6-1-1-4-10-1-1-2-2-1-1-1-1-5-1-1-1-1-1-4-1</f>
        <v>104</v>
      </c>
      <c r="N92" s="115">
        <f>21+11-8-14-1-40-1-1-22-10-5+45+45-1-84+1+1-11+41+45-85+76-1+10-1-3-1-2+3-4-1-3+1+1-1+1-2+49-1-27-5+270+4-1+2-1-2-3+16-1-12-1-5-1-3-1-8+1-7-1-4-10+3-1-3-1-4-3-1-10-2-1-1-1-3-1-1-35-2-1-1+4-1-1-7-11-1-4-4-8-1-5-1-5-1-6-2-2-4-1-9-4-1-1-1-4-1-1-2-1-1-10-2-1-1-13-6-1-1-1-1-18-1-1-1-1-5-4-1-1-5-7-1-2-1-1-1-1-1-1-1</f>
        <v>0</v>
      </c>
      <c r="O92" s="115">
        <f>54+13+45-9-3-14-5-25-11-5-2-31+1-8+1+20-5-1-1-14+150+1-1-1-4+5-2-1-2-1-1+1-1-3-1-3-8-1+4-1-1-1-5-1-1-4-1-13-2-2-8-1-7-1-1-29-2-2-1-1-2-3-4-2-1-2-3-1-1-3-1-1-2-1-6-1-10-2</f>
        <v>0</v>
      </c>
      <c r="P92" s="115">
        <f>12+45-3-3-4-4-1-1-2-3-7+1-1-1-2-3-18-5+1-1+10-10+75-1+10-2-1-1+1-1+1-1-1-1-1-1-2-7-1-1-1-1-1-4-1-1-3-2-1-1-1-2-1-1-1-1-4-2+1-2-1-1-1-1-1-7-3-7-2-1-4-5-1</f>
        <v>0</v>
      </c>
      <c r="Q92" s="115">
        <f>8-1-6-1+1-1+14+13-2-1-6+36+3-1-1-1-2-1-1-1-2-2-1-1-1-1-3-1-1-9-1-1-7-1</f>
        <v>17</v>
      </c>
      <c r="R92" s="115">
        <f>4-1-1+1-1-2+11-1+10-1+3-1-4-1-1</f>
        <v>15</v>
      </c>
      <c r="S92" s="115">
        <f>9+1-1-9+9+4-1-1-1-1</f>
        <v>9</v>
      </c>
      <c r="T92" s="144">
        <f t="shared" ref="T92:T97" si="1">SUM(B92:S92)</f>
        <v>1184</v>
      </c>
    </row>
    <row r="93" spans="1:81" s="1" customFormat="1" ht="25.5" customHeight="1">
      <c r="A93" s="165" t="s">
        <v>23</v>
      </c>
      <c r="B93" s="115">
        <v>50</v>
      </c>
      <c r="C93" s="115">
        <v>149</v>
      </c>
      <c r="D93" s="115">
        <v>200</v>
      </c>
      <c r="E93" s="115">
        <v>180</v>
      </c>
      <c r="F93" s="121">
        <v>98</v>
      </c>
      <c r="G93" s="115"/>
      <c r="H93" s="115"/>
      <c r="I93" s="115"/>
      <c r="J93" s="115"/>
      <c r="K93" s="115"/>
      <c r="L93" s="115">
        <v>180</v>
      </c>
      <c r="M93" s="115">
        <v>323</v>
      </c>
      <c r="N93" s="115">
        <f>10-5-3-1+314</f>
        <v>315</v>
      </c>
      <c r="O93" s="115">
        <f>159-1-3</f>
        <v>155</v>
      </c>
      <c r="P93" s="115">
        <f>80-1</f>
        <v>79</v>
      </c>
      <c r="Q93" s="115">
        <f>40-6</f>
        <v>34</v>
      </c>
      <c r="R93" s="115">
        <v>15</v>
      </c>
      <c r="S93" s="115">
        <v>15</v>
      </c>
      <c r="T93" s="144">
        <f>SUM(B93:S93)</f>
        <v>1793</v>
      </c>
    </row>
    <row r="94" spans="1:81" s="1" customFormat="1" ht="22.5" customHeight="1">
      <c r="A94" s="165" t="s">
        <v>30</v>
      </c>
      <c r="B94" s="115">
        <f>132-10-5-4-2-1-15-2-1-1-1+1-1-1-1-1-1-1</f>
        <v>85</v>
      </c>
      <c r="C94" s="115">
        <f>130-1+44-3-1-2-1-1-2-9-2+1-1-2-1-1-1-1-1-2-1-1-7</f>
        <v>134</v>
      </c>
      <c r="D94" s="115">
        <f>16-1-15+96-1-12-3+1-1-7-6-1-1-8-4-1-1-5-5-1-7-1-1-1</f>
        <v>30</v>
      </c>
      <c r="E94" s="115">
        <f>115-7-1+135-4-5-2-3-2-3-1-10-1-2-2+1-1-4-5-1-4-1-1-20-1-1-3-1-3-2-20-1-2-2</f>
        <v>135</v>
      </c>
      <c r="F94" s="115">
        <f>6+80-79-2-1+4+80-1-3+1-1-1-1-1-1-1-8-1-1-5-1-1-5</f>
        <v>57</v>
      </c>
      <c r="G94" s="115">
        <f>9-5+1+3-1+80-80+1-1-4+35-1-1-1+1-2-1-1-3-3</f>
        <v>26</v>
      </c>
      <c r="H94" s="115">
        <f>35-1+4-4-1-1-1-7-4</f>
        <v>20</v>
      </c>
      <c r="I94" s="115">
        <f>14+1-1-1-2</f>
        <v>11</v>
      </c>
      <c r="J94" s="115">
        <f>10-1</f>
        <v>9</v>
      </c>
      <c r="K94" s="129">
        <f>36+1+5-1+1-1-1-1-1-1-3</f>
        <v>34</v>
      </c>
      <c r="L94" s="115">
        <f>0+5-1+62-60-1-1-2-1-1+130-1-1-1-1-1-6-1-1+1-18-1-8-2-1-1-3-1-1-1-1-1+1-1-1-1-1-1+1-1-1-1-1</f>
        <v>72</v>
      </c>
      <c r="M94" s="115">
        <f>0+150+10-160+40-19-4-4-4-5+40+218-1-5-1-3-1-1-1-21-6-1-1-1+1-3+1+1-31-1-44-4-1-1-1-3-1-1-2-1-4-1-2-1-5-3-1-1-1-3-15-2-1-1-1-4-11-1-1-1-1</f>
        <v>67</v>
      </c>
      <c r="N94" s="115">
        <f>84-84+348-348+130-6-20-2-1-4-10-1-1+131-1-1-2-1-1-3-1-26-3-1-2-1+1+1-3-19-5-52-1-2-3-1-1-1-1-1-1-3-26-1-2-3-12-1-1-1-1-6-1-1-2-15-2-6</f>
        <v>0</v>
      </c>
      <c r="O94" s="115">
        <f>0+1+336-334-1-2+130-6-14-2-1-6-1-2-1-1-2-3-1-1-9-3-2-1-1+1-1-5-1-15-3-1-4-2-1-1-1-1-3-1-1-7-1-2-3-1-1-4-4-2-3-1-4</f>
        <v>0</v>
      </c>
      <c r="P94" s="115">
        <f>0+158-158+15-8-2+15+45-2-1-5-1+2-5+1-2-12-1-1-1-1-1-1-1-1-4</f>
        <v>28</v>
      </c>
      <c r="Q94" s="115">
        <f>1+2-1+20+3-2+128-128-1-1-1-3+30-3-2-1-1-1-2-1-1-1-1</f>
        <v>33</v>
      </c>
      <c r="R94" s="115">
        <f>0+4+3-2-1-1-1</f>
        <v>2</v>
      </c>
      <c r="S94" s="115">
        <f>0+1+7-1-1-1-1-1</f>
        <v>3</v>
      </c>
      <c r="T94" s="144">
        <f t="shared" si="1"/>
        <v>746</v>
      </c>
    </row>
    <row r="95" spans="1:81" s="1" customFormat="1" ht="22.5" customHeight="1">
      <c r="A95" s="165" t="s">
        <v>17</v>
      </c>
      <c r="B95" s="115"/>
      <c r="C95" s="115"/>
      <c r="D95" s="115"/>
      <c r="E95" s="115"/>
      <c r="F95" s="115"/>
      <c r="G95" s="115"/>
      <c r="H95" s="115"/>
      <c r="I95" s="115"/>
      <c r="J95" s="115"/>
      <c r="K95" s="129">
        <v>45</v>
      </c>
      <c r="L95" s="115"/>
      <c r="M95" s="115">
        <v>319</v>
      </c>
      <c r="N95" s="115">
        <v>319</v>
      </c>
      <c r="O95" s="115">
        <v>135</v>
      </c>
      <c r="P95" s="115"/>
      <c r="Q95" s="115"/>
      <c r="R95" s="115"/>
      <c r="S95" s="115">
        <v>4</v>
      </c>
      <c r="T95" s="144"/>
    </row>
    <row r="96" spans="1:81" s="1" customFormat="1" ht="24" customHeight="1">
      <c r="A96" s="165" t="s">
        <v>25</v>
      </c>
      <c r="B96" s="115">
        <f>7</f>
        <v>7</v>
      </c>
      <c r="C96" s="115">
        <f>6+1</f>
        <v>7</v>
      </c>
      <c r="D96" s="115">
        <f>1-1</f>
        <v>0</v>
      </c>
      <c r="E96" s="115">
        <f>13-1</f>
        <v>12</v>
      </c>
      <c r="F96" s="115">
        <f>1</f>
        <v>1</v>
      </c>
      <c r="G96" s="115">
        <f>9-1</f>
        <v>8</v>
      </c>
      <c r="H96" s="115">
        <f>4</f>
        <v>4</v>
      </c>
      <c r="I96" s="115">
        <v>0</v>
      </c>
      <c r="J96" s="115">
        <v>0</v>
      </c>
      <c r="K96" s="115">
        <f>10</f>
        <v>10</v>
      </c>
      <c r="L96" s="115">
        <f>19-1+1</f>
        <v>19</v>
      </c>
      <c r="M96" s="115">
        <f>1-1</f>
        <v>0</v>
      </c>
      <c r="N96" s="115">
        <f>0</f>
        <v>0</v>
      </c>
      <c r="O96" s="115">
        <v>0</v>
      </c>
      <c r="P96" s="115">
        <v>0</v>
      </c>
      <c r="Q96" s="115">
        <v>0</v>
      </c>
      <c r="R96" s="115">
        <v>0</v>
      </c>
      <c r="S96" s="115">
        <f>1</f>
        <v>1</v>
      </c>
      <c r="T96" s="144">
        <f t="shared" si="1"/>
        <v>69</v>
      </c>
    </row>
    <row r="97" spans="1:21" s="1" customFormat="1" ht="24" customHeight="1">
      <c r="A97" s="165" t="s">
        <v>52</v>
      </c>
      <c r="B97" s="115">
        <f>19-1-1</f>
        <v>17</v>
      </c>
      <c r="C97" s="115">
        <f>3-1-1-1</f>
        <v>0</v>
      </c>
      <c r="D97" s="115">
        <f>0</f>
        <v>0</v>
      </c>
      <c r="E97" s="115">
        <f>0</f>
        <v>0</v>
      </c>
      <c r="F97" s="115">
        <f>7-2-1-2-2</f>
        <v>0</v>
      </c>
      <c r="G97" s="115">
        <f>24-2-5-1-3-1-1</f>
        <v>11</v>
      </c>
      <c r="H97" s="115">
        <f>14-5-1</f>
        <v>8</v>
      </c>
      <c r="I97" s="115">
        <f>4-4</f>
        <v>0</v>
      </c>
      <c r="J97" s="115">
        <f>9</f>
        <v>9</v>
      </c>
      <c r="K97" s="115">
        <f>6-1-1+1</f>
        <v>5</v>
      </c>
      <c r="L97" s="115">
        <f>3-1-1-1</f>
        <v>0</v>
      </c>
      <c r="M97" s="115">
        <f>1-1</f>
        <v>0</v>
      </c>
      <c r="N97" s="115">
        <f>6-4-1-1</f>
        <v>0</v>
      </c>
      <c r="O97" s="115">
        <f>0</f>
        <v>0</v>
      </c>
      <c r="P97" s="115">
        <f>3-1-1-1</f>
        <v>0</v>
      </c>
      <c r="Q97" s="115">
        <f>1-1</f>
        <v>0</v>
      </c>
      <c r="R97" s="115">
        <f>7</f>
        <v>7</v>
      </c>
      <c r="S97" s="115">
        <f>9</f>
        <v>9</v>
      </c>
      <c r="T97" s="144">
        <f t="shared" si="1"/>
        <v>66</v>
      </c>
    </row>
    <row r="98" spans="1:21" s="1" customFormat="1" ht="31.5" customHeight="1">
      <c r="A98" s="206"/>
      <c r="B98" s="131"/>
      <c r="C98" s="176"/>
      <c r="D98" s="131"/>
      <c r="E98" s="131"/>
      <c r="F98" s="131"/>
      <c r="G98" s="131"/>
      <c r="H98" s="131"/>
      <c r="I98" s="131"/>
      <c r="J98" s="131"/>
      <c r="K98" s="131"/>
      <c r="L98" s="131"/>
      <c r="M98" s="131"/>
      <c r="N98" s="131"/>
      <c r="O98" s="131"/>
      <c r="P98" s="131"/>
      <c r="Q98" s="131"/>
      <c r="R98" s="131"/>
      <c r="S98" s="131"/>
      <c r="T98" s="212">
        <f>T97+T96+T94+T92</f>
        <v>2065</v>
      </c>
    </row>
    <row r="99" spans="1:21" s="1" customFormat="1" ht="36.6" customHeight="1">
      <c r="A99" s="342" t="s">
        <v>53</v>
      </c>
      <c r="B99" s="325"/>
      <c r="C99" s="325"/>
      <c r="D99" s="325"/>
      <c r="E99" s="325"/>
      <c r="F99" s="325"/>
      <c r="G99" s="325"/>
      <c r="H99" s="325"/>
      <c r="I99" s="325"/>
      <c r="J99" s="325"/>
      <c r="K99" s="325"/>
      <c r="L99" s="325"/>
      <c r="M99" s="325"/>
      <c r="N99" s="325"/>
      <c r="O99" s="325"/>
      <c r="P99" s="325"/>
      <c r="Q99" s="325"/>
      <c r="R99" s="325"/>
      <c r="S99" s="326"/>
      <c r="T99" s="29"/>
    </row>
    <row r="100" spans="1:21" s="179" customFormat="1" ht="24" customHeight="1">
      <c r="A100" s="322" t="s">
        <v>33</v>
      </c>
      <c r="B100" s="323"/>
      <c r="C100" s="323"/>
      <c r="D100" s="323"/>
      <c r="E100" s="323"/>
      <c r="F100" s="323"/>
      <c r="G100" s="323"/>
      <c r="H100" s="323"/>
      <c r="I100" s="323"/>
      <c r="J100" s="323"/>
      <c r="K100" s="323"/>
      <c r="L100" s="323"/>
      <c r="M100" s="323"/>
      <c r="N100" s="323"/>
      <c r="O100" s="323"/>
      <c r="P100" s="323"/>
      <c r="Q100" s="323"/>
      <c r="R100" s="323"/>
      <c r="S100" s="324"/>
      <c r="T100" s="182"/>
    </row>
    <row r="101" spans="1:21" s="179" customFormat="1" ht="24" customHeight="1">
      <c r="A101" s="322" t="s">
        <v>54</v>
      </c>
      <c r="B101" s="323"/>
      <c r="C101" s="323"/>
      <c r="D101" s="323"/>
      <c r="E101" s="323"/>
      <c r="F101" s="323"/>
      <c r="G101" s="323"/>
      <c r="H101" s="323"/>
      <c r="I101" s="323"/>
      <c r="J101" s="323"/>
      <c r="K101" s="323"/>
      <c r="L101" s="323"/>
      <c r="M101" s="323"/>
      <c r="N101" s="323"/>
      <c r="O101" s="323"/>
      <c r="P101" s="323"/>
      <c r="Q101" s="323"/>
      <c r="R101" s="323"/>
      <c r="S101" s="324"/>
      <c r="T101" s="182"/>
      <c r="U101" s="211"/>
    </row>
    <row r="102" spans="1:21" s="1" customFormat="1" ht="27" customHeight="1">
      <c r="A102" s="359" t="s">
        <v>5</v>
      </c>
      <c r="B102" s="360"/>
      <c r="C102" s="360"/>
      <c r="D102" s="360"/>
      <c r="E102" s="360"/>
      <c r="F102" s="360"/>
      <c r="G102" s="360"/>
      <c r="H102" s="361"/>
      <c r="I102" s="87" t="s">
        <v>6</v>
      </c>
      <c r="J102" s="87" t="s">
        <v>7</v>
      </c>
      <c r="K102" s="87" t="s">
        <v>8</v>
      </c>
      <c r="L102" s="87" t="s">
        <v>9</v>
      </c>
      <c r="M102" s="87" t="s">
        <v>10</v>
      </c>
      <c r="N102" s="87" t="s">
        <v>11</v>
      </c>
      <c r="O102" s="87" t="s">
        <v>12</v>
      </c>
      <c r="P102" s="87" t="s">
        <v>13</v>
      </c>
      <c r="Q102" s="87" t="s">
        <v>14</v>
      </c>
      <c r="R102" s="362"/>
      <c r="S102" s="363"/>
      <c r="T102" s="69" t="s">
        <v>55</v>
      </c>
    </row>
    <row r="103" spans="1:21" s="1" customFormat="1" ht="20.100000000000001" customHeight="1">
      <c r="A103" s="329" t="s">
        <v>22</v>
      </c>
      <c r="B103" s="330"/>
      <c r="C103" s="330"/>
      <c r="D103" s="330"/>
      <c r="E103" s="330"/>
      <c r="F103" s="330"/>
      <c r="G103" s="330"/>
      <c r="H103" s="331"/>
      <c r="I103" s="115">
        <f>43+31+71+49+60+45+25+68+55+40+18+30+60+20+1+2-5+1+48+1-663+569+49-15-3-3-3-5-5-2-7-30-3-4+1-11-2-3-2-1-1-1-11-11+1-1-2-1</f>
        <v>493</v>
      </c>
      <c r="J103" s="115">
        <f>52+8+7+25+30+79+37+60+13+50+23-64-91-10+15+6+1-29+1-213+197+20-2-2-1-6-35-2-4-4-1-2-1-16-9-3-1-2-1-12-2-50-1-11-1-8-1-3-31+200-1-1-6-1-1-1-1-2-1-3-1-1-9-1-3-1-32-14-6-32-1-2-1+1-1-8-5-1-31-1-3-1-1-1-2-3-2-1-6-1-1-15+49-4-14-3-1-1-5+27-3+20-1-1-1-3-1-2-5</f>
        <v>51</v>
      </c>
      <c r="K103" s="115">
        <f>1-13-8+98-52-22-1-1-1+202-3-8-1-1-1-9-2-3-1-4-30-15-1-3-5-1-10-31-1-20-1-28-1-1-1-7-1-1-4-1-1-3+7-10+23-1-1-8-1+200-12-50-1-2-1+6-3-1-1-2-1-1-3-1-1-16-3-5-19-34-1-4-2-19-1-2-1-6-1-1-1-3-2-12-1-4+1-1+168-2-17-4-14-14-1-1-8-3-8+11-1-8-1-1-1-1-1-16-5-7-1-33-31</f>
        <v>0</v>
      </c>
      <c r="L103" s="115">
        <f>32-1-11-1-1-1-1-1-2-1-1-11+50-2-2-8-1-1-4-1-1-4+9-1-1-1-1-3+200-50-1-1-1-2-4-31-1-1-5-1-13-4-3-18-1-1-1-8-21-1-1-1-1-1-6+1-1-1-1-1-1-1-1-1-9-1-1-31+1-1+1-1+178-3-28-15-32-1-2-5+2-3-3-1-1-5-1-1-2-1-3-31-5-1-1</f>
        <v>35</v>
      </c>
      <c r="M103" s="115">
        <f>26-5-20+1-3+1+3-1+97-9-6+3-1-2-1-4-3-5-4-13-3-1-1-21-1-1-1-1-8-2-1-3+1-1-1-1+48-1-21-1-2-1-1-2-1-11-1-4-10+1-1+50-5-4-5-6+35-21-5-1-1-2+12-5-11-31</f>
        <v>0</v>
      </c>
      <c r="N103" s="115">
        <f>38+4+60+48+19-1-25-48-1-1+2+1+1-1-1-95+81+41-6-1-1-8-3-1-6-17-2-11-4-40-2-1-1+80-3-1-2-2-1-1-11-3-11-6-4+1-1-1-5-1-1-1-1-11-11-1-1-1-6+48-1-1-1-4-1-1-1</f>
        <v>50</v>
      </c>
      <c r="O103" s="115">
        <f>13+19+20+26+47+40+17-3-1+1-1-178+166+15-1-9-8-1-3-6-2-1-15-1-1-4+1-1-1-1-2-1-10-3</f>
        <v>111</v>
      </c>
      <c r="P103" s="115">
        <f>24+1-25+25-1-1-2-1</f>
        <v>20</v>
      </c>
      <c r="Q103" s="115">
        <f>1-1+19-10</f>
        <v>9</v>
      </c>
      <c r="R103" s="353">
        <f>I103+J103+K103+L103+M103+N103+O103+P103+Q103</f>
        <v>769</v>
      </c>
      <c r="S103" s="354"/>
      <c r="T103" s="139">
        <f>1</f>
        <v>1</v>
      </c>
    </row>
    <row r="104" spans="1:21" s="1" customFormat="1" ht="20.100000000000001" customHeight="1">
      <c r="A104" s="329" t="s">
        <v>30</v>
      </c>
      <c r="B104" s="330"/>
      <c r="C104" s="330"/>
      <c r="D104" s="330"/>
      <c r="E104" s="330"/>
      <c r="F104" s="330"/>
      <c r="G104" s="330"/>
      <c r="H104" s="331"/>
      <c r="I104" s="115">
        <f>42+90+1+3-136+91+40-1-2-1-2-3-5-13-1-1-1+1-1-6-1-1-1-1-1</f>
        <v>90</v>
      </c>
      <c r="J104" s="115">
        <f>17+50+50+60+60+6-243+220+20-1-8-3-2-2+2+1-5-2-3-3-1-3-13-1-24-1-2-5+1-3-2-1-2-1-1-1-10+1-1-21-1-1-3-1-4-1-1-2-1-1-1-1-1-1-1-2-1-1-1-9</f>
        <v>88</v>
      </c>
      <c r="K104" s="115">
        <f>27+75+3-1-104+75+34-3-22-15-14+5-7-7+160+5-1+1-10-3-8-1-1-1-5-3-7-3-37-1-4-4-1-1-1+89+89-1-2-18-1+5-1-1-2-1-1-8-9-1-1-1-2-22-2+1+1-1-7-1-3-25-1-5-3-1-2-1-3-1-1-4-1-1-8-7-5-1-8-1-1-5-13-4-1-1-5-1-1-1-4-5-1-1-1-1-1-1-13</f>
        <v>79</v>
      </c>
      <c r="L104" s="115">
        <f>19+50+23+38+20+7-1-156+131+27-2-25-11-2-7+160+5-1-1-22-4-11-5-5-2-7-3-41-1-2-24-1-1-1-1-1+157-1-2-1-11-1-1-1+1-1-1-1-1-1-1-1+1-4-1-12-12-22-2+1-1-1-2-1-1-2-22-1-2-2-1-6-1-2-6-1-1-1-2-13-1-1-1-3-1-6-1-3-1-13-2-4-1-1-1-2-1-2-1-1-1-1-2-1-17</f>
        <v>86</v>
      </c>
      <c r="M104" s="115">
        <f>0+2+3-1-4+2+1-2+80-14-4-6-3-6-3-2-4-3-1-1-3-1-30+27-2-1+99-1+1-1-1-3-1-1-2-1-1-7-15-10-1-1+1-1-1-10-1-6-1-1-1-1-1-6-6-2-4-4-1-2-1-4-2-1-4</f>
        <v>18</v>
      </c>
      <c r="N104" s="115">
        <f>3-3-2+2+1+40-7-6-3-2-1-1-2-3-3-13+17-1-1-1-8-6</f>
        <v>0</v>
      </c>
      <c r="O104" s="115">
        <f>3+4+3+40-3-6-3-10-1-2-1-4-20+30-1-4-5-3-1-1-15</f>
        <v>0</v>
      </c>
      <c r="P104" s="115">
        <f>3+2-5+15-5-1</f>
        <v>9</v>
      </c>
      <c r="Q104" s="115">
        <f>29-29+33-1-1-1-1-1-1-1-1-1-1</f>
        <v>23</v>
      </c>
      <c r="R104" s="353">
        <f>I104+J104+K104+L104+M104+N104+O104+P104+Q104</f>
        <v>393</v>
      </c>
      <c r="S104" s="354"/>
      <c r="T104" s="31"/>
    </row>
    <row r="105" spans="1:21" s="1" customFormat="1" ht="20.25" customHeight="1">
      <c r="A105" s="329" t="s">
        <v>56</v>
      </c>
      <c r="B105" s="330"/>
      <c r="C105" s="330"/>
      <c r="D105" s="330"/>
      <c r="E105" s="330"/>
      <c r="F105" s="330"/>
      <c r="G105" s="330"/>
      <c r="H105" s="331"/>
      <c r="I105" s="115">
        <f>5+7</f>
        <v>12</v>
      </c>
      <c r="J105" s="115">
        <f>2-1</f>
        <v>1</v>
      </c>
      <c r="K105" s="115"/>
      <c r="L105" s="115">
        <v>15</v>
      </c>
      <c r="M105" s="115">
        <f>9+4-1</f>
        <v>12</v>
      </c>
      <c r="N105" s="115">
        <f>3+22-22-1-2</f>
        <v>0</v>
      </c>
      <c r="O105" s="115">
        <f>29-17-1-1-2</f>
        <v>8</v>
      </c>
      <c r="P105" s="115">
        <f>20-1</f>
        <v>19</v>
      </c>
      <c r="Q105" s="115">
        <f>23-1</f>
        <v>22</v>
      </c>
      <c r="R105" s="353">
        <f>SUM(I105:Q105)</f>
        <v>89</v>
      </c>
      <c r="S105" s="354"/>
      <c r="T105" s="213"/>
    </row>
    <row r="106" spans="1:21" s="1" customFormat="1" ht="31.5" customHeight="1">
      <c r="A106" s="20"/>
      <c r="B106"/>
      <c r="C106" s="12"/>
      <c r="D106"/>
      <c r="E106"/>
      <c r="F106"/>
      <c r="G106"/>
      <c r="H106"/>
      <c r="I106" s="131"/>
      <c r="J106" s="131"/>
      <c r="K106" s="131"/>
      <c r="L106" s="131"/>
      <c r="M106" s="131"/>
      <c r="N106" s="131"/>
      <c r="O106" s="131"/>
      <c r="P106" s="131"/>
      <c r="Q106" s="131"/>
      <c r="R106" s="356">
        <f>+R103+R104+R105</f>
        <v>1251</v>
      </c>
      <c r="S106" s="357"/>
      <c r="T106" s="197"/>
    </row>
    <row r="107" spans="1:21" s="1" customFormat="1" ht="36.75" customHeight="1">
      <c r="A107" s="342" t="s">
        <v>57</v>
      </c>
      <c r="B107" s="325"/>
      <c r="C107" s="325"/>
      <c r="D107" s="325"/>
      <c r="E107" s="325"/>
      <c r="F107" s="325"/>
      <c r="G107" s="325"/>
      <c r="H107" s="325"/>
      <c r="I107" s="325"/>
      <c r="J107" s="325"/>
      <c r="K107" s="326"/>
      <c r="L107" s="21"/>
      <c r="M107" s="21"/>
      <c r="N107" s="21"/>
      <c r="O107" s="21"/>
      <c r="P107" s="21"/>
      <c r="Q107" s="10"/>
      <c r="R107" s="10"/>
      <c r="S107" s="21"/>
    </row>
    <row r="108" spans="1:21" s="172" customFormat="1" ht="33.950000000000003" customHeight="1">
      <c r="A108" s="214" t="s">
        <v>5</v>
      </c>
      <c r="B108" s="103" t="s">
        <v>6</v>
      </c>
      <c r="C108" s="87" t="s">
        <v>7</v>
      </c>
      <c r="D108" s="87" t="s">
        <v>8</v>
      </c>
      <c r="E108" s="87" t="s">
        <v>9</v>
      </c>
      <c r="F108" s="87" t="s">
        <v>10</v>
      </c>
      <c r="G108" s="87" t="s">
        <v>11</v>
      </c>
      <c r="H108" s="87" t="s">
        <v>12</v>
      </c>
      <c r="I108" s="87" t="s">
        <v>13</v>
      </c>
      <c r="J108" s="87" t="s">
        <v>39</v>
      </c>
      <c r="K108" s="87" t="s">
        <v>15</v>
      </c>
      <c r="L108" s="209"/>
      <c r="M108" s="209"/>
      <c r="N108" s="209"/>
      <c r="O108" s="209"/>
      <c r="P108" s="209"/>
      <c r="Q108" s="209"/>
      <c r="R108" s="209"/>
      <c r="S108" s="209"/>
      <c r="T108" s="209"/>
      <c r="U108" s="209"/>
    </row>
    <row r="109" spans="1:21" s="65" customFormat="1" ht="29.25" customHeight="1">
      <c r="A109" s="165" t="s">
        <v>30</v>
      </c>
      <c r="B109" s="115">
        <f>24-2</f>
        <v>22</v>
      </c>
      <c r="C109" s="115">
        <f>35-1-3</f>
        <v>31</v>
      </c>
      <c r="D109" s="115">
        <f>3-3</f>
        <v>0</v>
      </c>
      <c r="E109" s="115">
        <f>1-1</f>
        <v>0</v>
      </c>
      <c r="F109" s="115">
        <f>1-1</f>
        <v>0</v>
      </c>
      <c r="G109" s="115">
        <f>44+65+1-6</f>
        <v>104</v>
      </c>
      <c r="H109" s="115">
        <f>27+57+24-1-1-4</f>
        <v>102</v>
      </c>
      <c r="I109" s="115">
        <f>52</f>
        <v>52</v>
      </c>
      <c r="J109" s="115">
        <f>45</f>
        <v>45</v>
      </c>
      <c r="K109" s="115">
        <f>SUM(B109:J109)</f>
        <v>356</v>
      </c>
      <c r="L109" s="64"/>
      <c r="M109" s="64"/>
      <c r="N109" s="64"/>
      <c r="O109" s="64"/>
      <c r="P109" s="64"/>
      <c r="Q109" s="64"/>
      <c r="R109" s="64"/>
      <c r="S109" s="64"/>
      <c r="T109" s="64"/>
    </row>
    <row r="110" spans="1:21" s="1" customFormat="1" ht="26.25" customHeight="1">
      <c r="A110" s="165" t="s">
        <v>58</v>
      </c>
      <c r="B110" s="115">
        <f>12</f>
        <v>12</v>
      </c>
      <c r="C110" s="115">
        <v>0</v>
      </c>
      <c r="D110" s="115">
        <v>0</v>
      </c>
      <c r="E110" s="115">
        <f>1-1</f>
        <v>0</v>
      </c>
      <c r="F110" s="115">
        <f>1-1</f>
        <v>0</v>
      </c>
      <c r="G110" s="115">
        <f>1</f>
        <v>1</v>
      </c>
      <c r="H110" s="115">
        <f>5+1</f>
        <v>6</v>
      </c>
      <c r="I110" s="115">
        <f>2</f>
        <v>2</v>
      </c>
      <c r="J110" s="115">
        <f>1</f>
        <v>1</v>
      </c>
      <c r="K110" s="115">
        <f>SUM(B110:J110)</f>
        <v>22</v>
      </c>
      <c r="L110" s="74"/>
      <c r="M110" s="9"/>
      <c r="N110" s="9"/>
      <c r="O110" s="9"/>
      <c r="P110" s="9"/>
      <c r="Q110" s="9"/>
      <c r="R110" s="9"/>
      <c r="S110" s="9"/>
      <c r="T110" s="9"/>
    </row>
    <row r="111" spans="1:21" s="1" customFormat="1" ht="22.5" customHeight="1">
      <c r="A111" s="165" t="s">
        <v>24</v>
      </c>
      <c r="B111" s="115">
        <f>29</f>
        <v>29</v>
      </c>
      <c r="C111" s="115">
        <f>1-1</f>
        <v>0</v>
      </c>
      <c r="D111" s="115">
        <f>1-1</f>
        <v>0</v>
      </c>
      <c r="E111" s="115">
        <f>0+2-2</f>
        <v>0</v>
      </c>
      <c r="F111" s="115">
        <f>3-1-2</f>
        <v>0</v>
      </c>
      <c r="G111" s="115">
        <f>0</f>
        <v>0</v>
      </c>
      <c r="H111" s="115">
        <f>0</f>
        <v>0</v>
      </c>
      <c r="I111" s="115">
        <f>16-1</f>
        <v>15</v>
      </c>
      <c r="J111" s="115">
        <f>23</f>
        <v>23</v>
      </c>
      <c r="K111" s="115">
        <f>+B111+C111+D111+E111+F111+G111+H111+I111+J111</f>
        <v>67</v>
      </c>
      <c r="L111" s="9"/>
      <c r="M111" s="9"/>
      <c r="N111" s="9"/>
      <c r="O111" s="9"/>
      <c r="P111" s="9"/>
      <c r="Q111" s="9"/>
      <c r="R111" s="9"/>
      <c r="S111" s="9"/>
      <c r="T111" s="9"/>
    </row>
    <row r="112" spans="1:21" s="1" customFormat="1" ht="25.5" customHeight="1">
      <c r="A112" s="165" t="s">
        <v>59</v>
      </c>
      <c r="B112" s="115">
        <f>78-1</f>
        <v>77</v>
      </c>
      <c r="C112" s="115">
        <f>64-2-2-1-1-6-7-1</f>
        <v>44</v>
      </c>
      <c r="D112" s="115">
        <f>40-15-15-1-1-1-1-1</f>
        <v>5</v>
      </c>
      <c r="E112" s="115">
        <f>7-2-3-1+4</f>
        <v>5</v>
      </c>
      <c r="F112" s="115">
        <f>0</f>
        <v>0</v>
      </c>
      <c r="G112" s="115">
        <f>80-1</f>
        <v>79</v>
      </c>
      <c r="H112" s="115">
        <f>45-1</f>
        <v>44</v>
      </c>
      <c r="I112" s="115">
        <f>41</f>
        <v>41</v>
      </c>
      <c r="J112" s="115">
        <f>29</f>
        <v>29</v>
      </c>
      <c r="K112" s="115">
        <f>SUM(B112:J112)</f>
        <v>324</v>
      </c>
      <c r="L112" s="9"/>
      <c r="M112" s="9"/>
      <c r="N112" s="9"/>
      <c r="O112" s="9"/>
      <c r="P112" s="9"/>
      <c r="Q112" s="9"/>
      <c r="R112" s="9"/>
      <c r="S112" s="9"/>
      <c r="T112" s="9"/>
    </row>
    <row r="113" spans="1:21" s="1" customFormat="1" ht="29.25" customHeight="1">
      <c r="A113" s="140"/>
      <c r="B113" s="21"/>
      <c r="C113" s="21"/>
      <c r="D113" s="21"/>
      <c r="E113" s="21"/>
      <c r="F113" s="21"/>
      <c r="G113" s="21"/>
      <c r="H113" s="21"/>
      <c r="I113" s="21"/>
      <c r="J113" s="215"/>
      <c r="K113" s="110">
        <f>SUM(K109:K112)</f>
        <v>769</v>
      </c>
      <c r="L113" s="9"/>
      <c r="M113" s="9"/>
      <c r="N113" s="9"/>
      <c r="O113" s="9"/>
      <c r="P113" s="9"/>
      <c r="Q113" s="9"/>
      <c r="R113" s="9"/>
      <c r="S113" s="9"/>
    </row>
    <row r="114" spans="1:21" s="9" customFormat="1" ht="20.100000000000001" customHeight="1">
      <c r="A114" s="13"/>
      <c r="J114" s="10"/>
      <c r="K114" s="14"/>
    </row>
    <row r="115" spans="1:21" s="1" customFormat="1" ht="41.25" customHeight="1">
      <c r="A115" s="349" t="s">
        <v>60</v>
      </c>
      <c r="B115" s="350"/>
      <c r="C115" s="350"/>
      <c r="D115" s="350"/>
      <c r="E115" s="350"/>
      <c r="F115" s="350"/>
      <c r="G115" s="350"/>
      <c r="H115" s="350"/>
      <c r="I115" s="350"/>
      <c r="J115" s="350"/>
      <c r="K115" s="350"/>
      <c r="L115" s="21"/>
      <c r="M115" s="21"/>
      <c r="N115" s="21"/>
      <c r="O115" s="21"/>
      <c r="P115" s="21"/>
      <c r="Q115" s="10"/>
      <c r="R115" s="10"/>
      <c r="S115" s="21"/>
    </row>
    <row r="116" spans="1:21" s="172" customFormat="1" ht="30.6" customHeight="1">
      <c r="A116" s="214" t="s">
        <v>5</v>
      </c>
      <c r="B116" s="244" t="s">
        <v>6</v>
      </c>
      <c r="C116" s="245" t="s">
        <v>7</v>
      </c>
      <c r="D116" s="245" t="s">
        <v>8</v>
      </c>
      <c r="E116" s="245" t="s">
        <v>9</v>
      </c>
      <c r="F116" s="245" t="s">
        <v>10</v>
      </c>
      <c r="G116" s="245" t="s">
        <v>11</v>
      </c>
      <c r="H116" s="245" t="s">
        <v>12</v>
      </c>
      <c r="I116" s="245" t="s">
        <v>13</v>
      </c>
      <c r="J116" s="245" t="s">
        <v>39</v>
      </c>
      <c r="K116" s="87" t="s">
        <v>15</v>
      </c>
      <c r="L116" s="209"/>
      <c r="M116" s="209"/>
      <c r="N116" s="209"/>
      <c r="O116" s="209"/>
      <c r="P116" s="209"/>
      <c r="Q116" s="209"/>
      <c r="R116" s="209"/>
      <c r="S116" s="209"/>
      <c r="T116" s="209"/>
      <c r="U116" s="209"/>
    </row>
    <row r="117" spans="1:21" s="1" customFormat="1" ht="24.75" customHeight="1">
      <c r="A117" s="216" t="s">
        <v>16</v>
      </c>
      <c r="B117" s="62">
        <f>42+173-2-9-5-5-10-1-2-1+1+80-7-2-1-1-1-1-1-10-1+1-1-1-1-3-11-10-1-97-2-100-10+50-2-4-4-1-1-1-1-1-1-2-1-3-4-17</f>
        <v>7</v>
      </c>
      <c r="C117" s="4">
        <f>9+386-2-6-14-4+4-2-3-3-1-5-5-5-5-1-2-2-7-1-1-1-80+1-1+110-2-6-5+40-1-30-2-1-3-27-1-15-1-1-2+1-1-1-1-1-1-1-25-1-35-5-19-1-3-1-100-1-19-1-6-61-19+4-1-3+197-1-2-1-1-1-15-1-1-14-1+1-1-1-3-1-2-1-12-1-1-5-1-1-1-17-30-1-4-28-1</f>
        <v>48</v>
      </c>
      <c r="D117" s="4">
        <f>63+269-1-7-1-26-17+5-8-1-1+1+8-1-5-17-6-12-5-5-5-1-1+1-1-8-14-1-3-7-2-1+1-1-1-1-2-1-1-2+62-105-2+1-4+318-1-7-3-1-2-4-5-30-13-1-1-1+1-1-2-1-1-4-1-1-20-1-15-2-1-5-1-1-2-1+5-1-2-1-1-1-1-1+1-1-1-1-3-30-44-1-1-25-4-1-11-1-1-100-28-13-4-52+1+1-1-1+14-1-1-10-1-1+19-2-1-1-2-13+210-1-1-30-60-1-1-3-1-33-1-2-5-1-1-1-1-4-1-1-2-1-1-3-1-1-1-1-13-1-1-2-1-29-3</f>
        <v>0</v>
      </c>
      <c r="E117" s="4">
        <f>20+211-1-5-30-6+12-1-28-2+1+28-3-1-16-9-2-1-1-12-5-5-1-5+1+1-2-21-3-3-1-2-1-1-1-1+1-1-1-1-3-20-1-1-1+400-65+1+1+44-2-1-2-3-1-2-1-6-21+2-50-2-1-1-1-1-5-11-20-2-1-6-1-10+6-1-2-1-1-1-1-1-1-1-1-1-10-26-1-1-14-5-3-14-8-100-22-8-90+5-1-4+29-2-1-2+165-24-60-1-1-1-6-1+16-2-6-1-2-4-1-3-1-1-4-1-1-1-1-51-1-1-2-1-3-23</f>
        <v>0</v>
      </c>
      <c r="F117" s="4">
        <f>53+132-3-6-2+37-1-1+1+1-1-3-4-1-3-5-5-1-3+1-1-1-3-5-1-3-1-1-1-3-2-1-1+72-1-1+38-25+1-2-1-1-4-10-1-1-50-2-1-2-1-5-1-1-4-1-12-1-1-1-1-1-5-19-6-5-1-7-3-30-10-10-15-30+45-2+64+20-43-15-1-1-1-1-1-1-1-1-51-1-2-2-5</f>
        <v>0</v>
      </c>
      <c r="G117" s="4">
        <f>21-2-2+2-1-1+1-1-5-12+1-1+22+128-2-2-8+1-2-2-1+1-1-2-1-1-1-2-5-1-6-2-1-2-42-5-1-21-1-2-1-1-1-6-2-1-1-1-1-1-1-1-1-1-1-1-3-1-1-2+60-28-1-1-2-1-3-1-2-9-1-1-1</f>
        <v>18</v>
      </c>
      <c r="H117" s="4">
        <f>24-3-1-1-1-1-17+1-1+2-1+10+65-3+1-1+2-1-1-1-1-1-3-2-2-1-1-1-1-1-1-1+30-1-7</f>
        <v>78</v>
      </c>
      <c r="I117" s="4">
        <f>3+1-4+40-1-1-1-1+15</f>
        <v>51</v>
      </c>
      <c r="J117" s="4">
        <f>10+1-2-5-1+15</f>
        <v>18</v>
      </c>
      <c r="K117" s="4">
        <f>SUM(B117:J117)</f>
        <v>220</v>
      </c>
      <c r="L117" s="9"/>
      <c r="M117" s="9"/>
      <c r="N117" s="9"/>
      <c r="O117" s="9"/>
      <c r="P117" s="9"/>
      <c r="Q117" s="9"/>
      <c r="R117" s="9"/>
      <c r="S117" s="9"/>
      <c r="T117" s="9"/>
      <c r="U117" s="9"/>
    </row>
    <row r="118" spans="1:21" s="1" customFormat="1" ht="29.25" customHeight="1">
      <c r="A118" s="216" t="s">
        <v>30</v>
      </c>
      <c r="B118" s="62">
        <f>30+173-2+2-32-1-1-1+30+1-7-34-1-1-1-1-2-14-1-2-1-1-2-2-1-1-1-1-2-1</f>
        <v>122</v>
      </c>
      <c r="C118" s="4">
        <f>98+225-6-1-1+6+1-4-21-4-2-1-14-2-10+28+52+1-15-7-1-2-3-206-1-1-1-1-1-28-1-5-2-3-1-6-1-1-3-1-12-1-1-1-2-4-1-11-1-2-5+91+2-3+4-1+33+39-1-1-1-2</f>
        <v>173</v>
      </c>
      <c r="D118" s="4">
        <f>37+200-2-1-6-1-1-1+1-7-13-27+1-11+1-1-2-1-1-1-1-1-17-3-1-1+1+30-1-1-21+1-1-1+160+110-1-2-1-1-52-10-1-1-93-2-1-2-1-1-1-1-168-9-1-4-1-1-1-1-5-1-1-1-19-1-1-1-1-3-1-10-1-2-1-11+164-1-1-6-1+51-1-2-1-1+4-1-5-3-4-1-1-2</f>
        <v>188</v>
      </c>
      <c r="E118" s="4">
        <f>32+376-1-5-1-9-1-6-1-1+61-5-7-4-9-1-1-1-1-1-9+3-3+1-1-1-1-1-18-2-23-1-1+55+5-1+1+5-79-6-166-1-1-1-1-100-5-5-1-2-1-1-1-11-2-6-1-2-6-7-1-10-2-3+175-20-15-44-36-1-1+75-1-1-1-1-4-1</f>
        <v>124</v>
      </c>
      <c r="F118" s="4">
        <f>56+193-2-1-1-1+12+3-4-1-6-2-1-2-1-5-1-1-10-1-38-6-1-74-1-3+1-1-1-1-50-2-5-1-1-8-2-1-4-2-1-3-1-3-1-1-4-1-1-2-5+75-6-1-13-1-4+55-1-1-1-5-1</f>
        <v>96</v>
      </c>
      <c r="G118" s="4">
        <f>9+64-2-1-3+1-3-3-2-1-4-6+36+24-7-1-2-1-71-1-2-1-14-1-1-1-1-4-1+60-1-2-1</f>
        <v>56</v>
      </c>
      <c r="H118" s="4">
        <f>8+50-2+1-1+1-20-2-1-1-1-1-6-1-2-3+30-1</f>
        <v>48</v>
      </c>
      <c r="I118" s="4">
        <f>31+10-1-1+1-1-3-1-1-1-1+20-1</f>
        <v>51</v>
      </c>
      <c r="J118" s="4">
        <f>21+10-1+1-1+20</f>
        <v>50</v>
      </c>
      <c r="K118" s="4">
        <f>SUM(B118:J118)</f>
        <v>908</v>
      </c>
      <c r="L118" s="9"/>
      <c r="M118" s="9"/>
      <c r="N118" s="9"/>
      <c r="O118" s="9"/>
      <c r="P118" s="9"/>
      <c r="Q118" s="9"/>
      <c r="R118" s="9"/>
      <c r="S118" s="9"/>
      <c r="T118" s="9"/>
      <c r="U118" s="9"/>
    </row>
    <row r="119" spans="1:21" s="1" customFormat="1" ht="25.5" customHeight="1">
      <c r="A119" s="165" t="s">
        <v>58</v>
      </c>
      <c r="B119" s="115">
        <f>1+1-1-1+50-2-8-23-1-2-1-1+51-1+5-1+3-1+1</f>
        <v>69</v>
      </c>
      <c r="C119" s="115">
        <f>2-2+68-3-1-1-4-1-1-39-18+138-1-1+52+8-1-1+1-174-4</f>
        <v>17</v>
      </c>
      <c r="D119" s="115">
        <f>1-1+127-6-1-1-8-1-1-1-1-54-53+122-12-1+129-1-1-1-1-4-1-126-5</f>
        <v>98</v>
      </c>
      <c r="E119" s="115">
        <f>17-6-1-1-1-1-1-1-5+126-6-1-2-1-1-1-39-75+248-1-1-1-7-1-55-1-1</f>
        <v>180</v>
      </c>
      <c r="F119" s="115">
        <f>3-1-1-1+68-2-1-20-45+136-1-1-1-13-2</f>
        <v>118</v>
      </c>
      <c r="G119" s="115">
        <f>0+25-2-23+31+15+16-2</f>
        <v>60</v>
      </c>
      <c r="H119" s="115">
        <f>1+15-4+7+14+5</f>
        <v>38</v>
      </c>
      <c r="I119" s="115">
        <f>1+10-1-1+3+7</f>
        <v>19</v>
      </c>
      <c r="J119" s="115">
        <f>3+1-1+10-1+4+3</f>
        <v>19</v>
      </c>
      <c r="K119" s="115">
        <f>SUM(B119:J119)</f>
        <v>618</v>
      </c>
      <c r="L119" s="9"/>
      <c r="M119" s="9"/>
      <c r="N119" s="9"/>
      <c r="O119" s="9"/>
      <c r="P119" s="9"/>
      <c r="Q119" s="9"/>
      <c r="R119" s="9"/>
      <c r="S119" s="9"/>
      <c r="T119" s="9"/>
    </row>
    <row r="120" spans="1:21" s="1" customFormat="1" ht="27" customHeight="1">
      <c r="A120" s="165" t="s">
        <v>61</v>
      </c>
      <c r="B120" s="115">
        <f>10</f>
        <v>10</v>
      </c>
      <c r="C120" s="115">
        <v>0</v>
      </c>
      <c r="D120" s="115">
        <f>2-1</f>
        <v>1</v>
      </c>
      <c r="E120" s="115">
        <f>0</f>
        <v>0</v>
      </c>
      <c r="F120" s="115">
        <f>9-1</f>
        <v>8</v>
      </c>
      <c r="G120" s="115">
        <f>10</f>
        <v>10</v>
      </c>
      <c r="H120" s="115">
        <f>10</f>
        <v>10</v>
      </c>
      <c r="I120" s="115">
        <f>10</f>
        <v>10</v>
      </c>
      <c r="J120" s="115">
        <v>0</v>
      </c>
      <c r="K120" s="115">
        <f>SUM(B120:J120)</f>
        <v>49</v>
      </c>
      <c r="L120" s="9"/>
      <c r="M120" s="9"/>
      <c r="N120" s="9"/>
      <c r="O120" s="9"/>
      <c r="P120" s="9"/>
      <c r="Q120" s="9"/>
      <c r="R120" s="9"/>
      <c r="S120" s="9"/>
      <c r="T120" s="9"/>
    </row>
    <row r="121" spans="1:21" s="1" customFormat="1" ht="30" customHeight="1">
      <c r="A121" s="165" t="s">
        <v>19</v>
      </c>
      <c r="B121" s="115">
        <f>34-1-1-1+1-2-1-1-1-1-1-1-1-1-3-2-1</f>
        <v>16</v>
      </c>
      <c r="C121" s="115">
        <f>14-12-2+2-1-1+3-1-1-1</f>
        <v>0</v>
      </c>
      <c r="D121" s="115">
        <f>47-18-15-2-2+15-1-1-1-6-5-1+1-6-1-1-1-1-1+1-1</f>
        <v>0</v>
      </c>
      <c r="E121" s="115">
        <f>57-14-3-5-1-2+3-1-2-7-1-1-1-7-1-1-1-1-1-1-1-1-1-1-1-4</f>
        <v>0</v>
      </c>
      <c r="F121" s="115">
        <f>25-1-4-4-1-3-3-1-1-7</f>
        <v>0</v>
      </c>
      <c r="G121" s="115">
        <f>19-3-1+1-3-2</f>
        <v>11</v>
      </c>
      <c r="H121" s="115">
        <f>4+1-1</f>
        <v>4</v>
      </c>
      <c r="I121" s="115">
        <f>9+1+1</f>
        <v>11</v>
      </c>
      <c r="J121" s="115">
        <f>6+1</f>
        <v>7</v>
      </c>
      <c r="K121" s="115">
        <f>SUM(B121:J121)</f>
        <v>49</v>
      </c>
      <c r="L121" s="74"/>
      <c r="M121" s="9"/>
      <c r="N121" s="9"/>
      <c r="O121" s="9"/>
      <c r="P121" s="9"/>
      <c r="Q121" s="9"/>
      <c r="R121" s="9"/>
      <c r="S121" s="9"/>
      <c r="T121" s="9"/>
    </row>
    <row r="122" spans="1:21" s="1" customFormat="1" ht="31.5" customHeight="1">
      <c r="A122" s="140"/>
      <c r="B122" s="21"/>
      <c r="C122" s="21"/>
      <c r="D122" s="21"/>
      <c r="E122" s="21"/>
      <c r="F122" s="21"/>
      <c r="G122" s="21"/>
      <c r="H122" s="21"/>
      <c r="I122" s="21"/>
      <c r="J122" s="215"/>
      <c r="K122" s="110">
        <f>SUM(K117:K121)</f>
        <v>1844</v>
      </c>
      <c r="L122" s="9"/>
      <c r="M122" s="9"/>
      <c r="N122" s="9"/>
      <c r="O122" s="9"/>
      <c r="P122" s="9"/>
      <c r="Q122" s="9"/>
      <c r="R122" s="9"/>
      <c r="S122" s="9"/>
    </row>
    <row r="123" spans="1:21" s="1" customFormat="1" ht="20.100000000000001" customHeight="1">
      <c r="A123" s="131"/>
      <c r="B123" s="131"/>
      <c r="C123" s="131"/>
      <c r="D123" s="131"/>
      <c r="E123" s="131"/>
      <c r="F123" s="131"/>
      <c r="G123" s="131"/>
      <c r="H123" s="131"/>
      <c r="I123" s="131"/>
      <c r="J123" s="131"/>
      <c r="K123" s="131"/>
      <c r="L123"/>
      <c r="M123"/>
      <c r="N123"/>
      <c r="O123"/>
      <c r="P123"/>
      <c r="Q123"/>
      <c r="R123"/>
      <c r="S123"/>
    </row>
    <row r="124" spans="1:21" s="1" customFormat="1" ht="45.75" customHeight="1">
      <c r="A124" s="342" t="s">
        <v>62</v>
      </c>
      <c r="B124" s="325"/>
      <c r="C124" s="325"/>
      <c r="D124" s="325"/>
      <c r="E124" s="325"/>
      <c r="F124" s="325"/>
      <c r="G124" s="325"/>
      <c r="H124" s="325"/>
      <c r="I124" s="325"/>
      <c r="J124" s="325"/>
      <c r="K124" s="325"/>
    </row>
    <row r="125" spans="1:21" s="1" customFormat="1" ht="27" customHeight="1">
      <c r="A125" s="208"/>
      <c r="B125" s="4"/>
      <c r="C125" s="4"/>
      <c r="D125" s="322" t="s">
        <v>54</v>
      </c>
      <c r="E125" s="323"/>
      <c r="F125" s="323"/>
      <c r="G125" s="323"/>
      <c r="H125" s="323"/>
      <c r="I125" s="323"/>
      <c r="J125" s="323"/>
      <c r="K125" s="324"/>
    </row>
    <row r="126" spans="1:21" s="1" customFormat="1" ht="27" customHeight="1">
      <c r="A126" s="103" t="s">
        <v>5</v>
      </c>
      <c r="B126" s="87" t="s">
        <v>6</v>
      </c>
      <c r="C126" s="87" t="s">
        <v>7</v>
      </c>
      <c r="D126" s="87" t="s">
        <v>8</v>
      </c>
      <c r="E126" s="87" t="s">
        <v>9</v>
      </c>
      <c r="F126" s="87" t="s">
        <v>10</v>
      </c>
      <c r="G126" s="87" t="s">
        <v>11</v>
      </c>
      <c r="H126" s="87" t="s">
        <v>12</v>
      </c>
      <c r="I126" s="87" t="s">
        <v>13</v>
      </c>
      <c r="J126" s="87" t="s">
        <v>14</v>
      </c>
      <c r="K126" s="27"/>
    </row>
    <row r="127" spans="1:21" s="1" customFormat="1" ht="28.5" customHeight="1">
      <c r="A127" s="165" t="s">
        <v>22</v>
      </c>
      <c r="B127" s="115"/>
      <c r="C127" s="115">
        <f>28-20-2-1+6+32-7-3-5-7-2-1-1-3+7+1</f>
        <v>22</v>
      </c>
      <c r="D127" s="115">
        <f>60-9-20-4-8-1-12-6+64-10-3-7-5-12-1-1-2-4+10-7</f>
        <v>22</v>
      </c>
      <c r="E127" s="115">
        <f>60-10-20-7-9-14+2+62-16-2-5-2-1-16-1-2-2+16+25</f>
        <v>58</v>
      </c>
      <c r="F127" s="115">
        <f>28-3-1-1-15-8+33-7-3-3-1-1-13-2-3+7</f>
        <v>7</v>
      </c>
      <c r="G127" s="115">
        <f>28-3-2-3-3-9-2+32-2-3-2-1-1-2-5</f>
        <v>22</v>
      </c>
      <c r="H127" s="115">
        <f>0</f>
        <v>0</v>
      </c>
      <c r="I127" s="115">
        <f>0</f>
        <v>0</v>
      </c>
      <c r="J127" s="115">
        <f>0</f>
        <v>0</v>
      </c>
      <c r="K127" s="193">
        <f>SUM(B127:J127)</f>
        <v>131</v>
      </c>
    </row>
    <row r="128" spans="1:21" s="1" customFormat="1" ht="14.25" customHeight="1">
      <c r="A128"/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</row>
    <row r="129" spans="1:26" s="23" customFormat="1" ht="67.5" customHeight="1">
      <c r="A129" s="381" t="s">
        <v>63</v>
      </c>
      <c r="B129" s="381"/>
      <c r="C129" s="381"/>
      <c r="D129" s="381"/>
      <c r="E129" s="381"/>
      <c r="F129" s="381"/>
      <c r="G129" s="381"/>
      <c r="H129" s="381"/>
      <c r="I129" s="381"/>
      <c r="J129" s="381"/>
      <c r="K129" s="381"/>
      <c r="L129" s="381"/>
      <c r="M129" s="381"/>
      <c r="N129" s="381"/>
      <c r="O129" s="381"/>
      <c r="P129" s="381"/>
      <c r="Q129" s="381"/>
      <c r="R129" s="381"/>
      <c r="S129" s="381"/>
      <c r="T129" s="381"/>
    </row>
    <row r="130" spans="1:26" ht="42" customHeight="1">
      <c r="A130" s="382" t="s">
        <v>64</v>
      </c>
      <c r="B130" s="382"/>
      <c r="C130" s="382"/>
      <c r="D130" s="382"/>
      <c r="E130" s="382"/>
      <c r="F130" s="382"/>
      <c r="G130" s="382"/>
      <c r="H130" s="382"/>
      <c r="I130" s="382"/>
      <c r="J130" s="382"/>
      <c r="K130" s="382"/>
      <c r="L130" s="382"/>
      <c r="M130" s="382"/>
      <c r="N130" s="382"/>
      <c r="O130" s="382"/>
      <c r="P130" s="382"/>
      <c r="Q130" s="382"/>
      <c r="R130" s="382"/>
      <c r="S130" s="382"/>
      <c r="T130" s="383"/>
    </row>
    <row r="131" spans="1:26" ht="26.25">
      <c r="A131" s="228" t="s">
        <v>47</v>
      </c>
      <c r="B131" s="355" t="s">
        <v>3</v>
      </c>
      <c r="C131" s="384"/>
      <c r="D131" s="384"/>
      <c r="E131" s="384"/>
      <c r="F131" s="384"/>
      <c r="G131" s="384"/>
      <c r="H131" s="384"/>
      <c r="I131" s="384"/>
      <c r="J131" s="385"/>
      <c r="K131" s="386" t="s">
        <v>4</v>
      </c>
      <c r="L131" s="384"/>
      <c r="M131" s="384"/>
      <c r="N131" s="384"/>
      <c r="O131" s="384"/>
      <c r="P131" s="384"/>
      <c r="Q131" s="384"/>
      <c r="R131" s="384"/>
      <c r="S131" s="385"/>
      <c r="T131" s="32"/>
    </row>
    <row r="132" spans="1:26" s="232" customFormat="1" ht="26.25">
      <c r="A132" s="229" t="s">
        <v>0</v>
      </c>
      <c r="B132" s="87" t="s">
        <v>6</v>
      </c>
      <c r="C132" s="87" t="s">
        <v>7</v>
      </c>
      <c r="D132" s="87" t="s">
        <v>8</v>
      </c>
      <c r="E132" s="87" t="s">
        <v>9</v>
      </c>
      <c r="F132" s="87" t="s">
        <v>10</v>
      </c>
      <c r="G132" s="87" t="s">
        <v>36</v>
      </c>
      <c r="H132" s="87" t="s">
        <v>12</v>
      </c>
      <c r="I132" s="87" t="s">
        <v>13</v>
      </c>
      <c r="J132" s="102" t="s">
        <v>14</v>
      </c>
      <c r="K132" s="230" t="s">
        <v>6</v>
      </c>
      <c r="L132" s="87" t="s">
        <v>7</v>
      </c>
      <c r="M132" s="87" t="s">
        <v>8</v>
      </c>
      <c r="N132" s="87" t="s">
        <v>9</v>
      </c>
      <c r="O132" s="87" t="s">
        <v>10</v>
      </c>
      <c r="P132" s="87" t="s">
        <v>11</v>
      </c>
      <c r="Q132" s="87" t="s">
        <v>12</v>
      </c>
      <c r="R132" s="87" t="s">
        <v>13</v>
      </c>
      <c r="S132" s="231" t="s">
        <v>14</v>
      </c>
      <c r="T132" s="101" t="s">
        <v>15</v>
      </c>
    </row>
    <row r="133" spans="1:26" s="1" customFormat="1" ht="27.75" customHeight="1">
      <c r="A133" s="233" t="s">
        <v>58</v>
      </c>
      <c r="B133" s="115">
        <f>28+28+68-1-2-2-1-4+1-2-3-1+2+1-2-3-1-1-1-2+4-2-1-1-1-3-2-27-2-1-1-3-1-4-1+27-4+3-15-1-3-1-1-1+1-1-2-1-1-1-1-1-1-1-13-2-1-12-1-1-15-3-1-1-1+40-1+58-1-5-2-1-1-1+1-1-2-1-2-1-3-1-1-1-1-4+50-2-1-1-1-1-1-3-2-1-2-1-1-2-2-13-2-6-2-1-6-1-1-6-1-1-1-4-2-7-1-1+67-1-1-1-3-2-2-1-3-2-4+9-1-1-1-3-2-1-2-1-1-1-1-1-1-2-1+50-4-3+15-1-2-1-1-2-3-1-1-1-3-2</f>
        <v>118</v>
      </c>
      <c r="C133" s="115">
        <f>13+80+78+26+19+85+90+50-1-1-4-1-4-2-1-1-1-1-1-3+1-1-1-1-1-1-1-9+5+1-7-8-2-1-8-8-1-1-1-1+1+1-1-1-3-1-1-1-1-2-3-1-4-1-1-1-13-2-2-2-2-1-3-5-1-3-1-1-1-1-1-2-1-1-1-3-1-5-3-7-1-1-2+2-7-1+8-3-1-1-2-25-1-2-1-1-1-5-2-1-2-2-1-1-1-1-8-1-1-15-1-1-1-1-1-1-10-1-2-1-2-1-19-10-2-1-1-1-3-4-1-1-1-1-1-3-3-1-1-2-3-1-1-1-5-1-1-1-1-1-1-1-1-1-1-1-1-3-1-2-2-2+80-1-1-15-1-6-2-4-2-3-1-1-1+1-2-2-4-3-2-2-1-4-1-2-1-1-1-1-8-1+2-2-1-2+49-2-1-1-1-1-2-6+100-1-1+1-1-1-1-5-1-1-1-1-1-1-5-3-10-13-2-1+129-1-1-1-1-2-1-3-4-1-4-1-2-1-1-5-1-1-1-2-1-1-2-1-1-5-2-1-1-2-1-5-8-1-4-2-1-2-3-7-2-1-1-1-1-13-1-2-1-1-2-1-2-4-1-1-1-10-1+100-2-4-4-1-1-1-1-1-3-3-1-5-1-1-2-2-2-2-3-1-2-12-1-1-1-16+100-1-1-5-5-1-2-2-1-1-1-1+89-1-5-1-4-1-2-1-1-5-1-1-2-1-1-1+2+10-1-1-1-2-1-1-2-1-1-1-1-1-1-3-1-1-4-1-1-2-1-1-1-1-5-2-2-2-1-10-3-3-2-1-1-1-3-1-3-1-5-2-1-2-1+99-1-8-1-1-2-1-3-1-1-1-1+150-4-1-6-2-4-2-1-7-9-3-2-1-1-1-5-4-2-2-3-2-1-1</f>
        <v>443</v>
      </c>
      <c r="D133" s="115">
        <f>93+85+25+100+67+115-3-10-4-1-1-3+2-1-1-1-1-12+2+3-2-1+2-9-11-1-13-13-1-1-1-1-1-1-18-3+1-1-2-1-2-6-1+1-2-5-1-1-5-1-1-1-10-2-2-2-1-1-3-25-1-1-1-4-3-1-1+1-4-1-1-3-8-1-1-10-5-1-1-3-8-3-2-1-1-8-2+8-3-3-1-1-1+2-1-1-1-2-2-1-40-2-14-4-10-3-3-3-1-4-2-1-3-1+3-2-5-1-15-1-1+120-1-1-1-3-1-1-15-2-1-1-1-3-1-1-39-5-1-4-5-1-1-1-1-1-1-3-1-1-2-1-1-1-1-1-4-1-1-2-10-2-1-2-1-2-1-1-1-1-5+100-1-1-2+101-1-20-1-2-1-1-1-1-1-10-2-8-1-2-1-1-4-4-3-5-1-1-1-1-1-1-1-1+2-1-2-1-2-1-1-8+46-3-1-1-1-1-1-1-1-1-1-1-5+100-1-1-2-1+2-1-3-1-1-1-1-3-6-5-1-2-1-20-1-6+130-4-1-1-3-1-1-1-3-1-1-3-1-5-2-1-3-1-1+2-4-1-1-1-5-1-1-2-2-2-2-1-15-8-12-9-1-3-1-3-18-2-10-8-2-1-1-1-1-1-13-1-2-1-3-1-1-1-1-3-1-1-4-1+100-2-2-4-1-1-1-1-1-2-1-8-1-4-1-1-4-1-2-1-1-1-9-8-1-2-2-1-2-1-26-1-1-1+117-1-1-1-5-2-1-1-6-1-1-1-1+88-6-1-1-2-1-7-1-8-1-1-1-2-3-1-2-2+1+150-1-2-1-2+1-1-25-4-1-1-1-2-1-2-1-5-4-1-1-5-3-2-1-1-1-2-1-6-2-1-2-1-10-1-2-1-12-1-12-2-2-1-2-1-2-5-3-1-1-1-5-1-3-1-5-1-2-1-2-2+199-1-16-1-1-1-1-7-1-1-1-3-1-1-1+240-1-5-3-3-1-1-1-5-2-3-2-6-2-1-1-3-1-5-5-6-1-1-1-4-4-1-1</f>
        <v>675</v>
      </c>
      <c r="E133" s="115">
        <f>100+15+80+29+83+74+199-2-1-10-1-3-1-2-1-1-16-1-8-8-2-22-22-1-1-1-10-3-12-1-1-1-1-4-10-1-1-1-7-1-1-2-11-1-1-2-1-1-1-1-3-3-1-1-5-1-1-3-1-2-1-3-1-10-5-1-2-1-2-1-3-10-9-2-1-3-2+2-3-2+2-3-2-2-40-1-3-1-1-1-2-10-3-2-2-1-1-5-1-1-13-1-2-2-1-1-1+30-1-1-1-1-15-1-1-1-1-1-1-31-1-2-1-1-1-5-8-1-1-2-1-1-1-2-2-1-1-1-1-1-1-1-2-10-3-1-1-3-1-3-1-2-1-1-1-5+80-2-1-1+79-1-1-25-4-1-2-1-1-8-2-1-1-1-1-1-4-1-4-6-1-1-1-1-1+2-2-1-1+48-1-1-1-1-1-2-6-1+120-1+1-2-1-1-1-2-1-1-1-1-3-1-6-7-1-3-2-9+130-3-2-1-1-1-18-1-1-5-1-2-5-1-2-2-3-1-1-1-4-1-5-1-2-1-1-1-13-23-14-14-1-1-5-11-2-1-5-3-2-2-1-1-1-1-20-2-1-1-1-3-3+100-3-5-5-1-2-4-1-1-5-2-3-1-1-1-1-2-1-1-2-1-4-1-8-1-20-2-1+99-2-1-1-5-5-1-1-1-4-1-1-2-1-1-1-1+89-5-1-3-1-1-1-5-1-1-3-3-2-1-1-1-1+1+150-1-1-1-1-1-3-1-1-4-30-1-1-1-1-1-1-5-1-1-1-5-1-5-1-3-1-2-1-1-1-1-3-2-1-2-10-1-1-1-1-10-1-10-1-1-1-1-1-1-4-1-3-1-15-3-1-5-1-2-2+200-1-8-1-2-1-1-1-3-1-2-2-1-1-2+200-3-1-2-2-1-2-1-5-5-3-1-1-2-5-1-5-1-4-1</f>
        <v>702</v>
      </c>
      <c r="F133" s="115">
        <f>12+27+9+35+38+20+40-1-8-1-1-2-1-1-10-10-11-1-12-12-5-1-1-10-1-15-1-1-1-1-2-10-1-4-1-4-4-2-2-1-3-3-1-2-1-1-1-6-1-1-1-5-1-4-3-3-2-1-2+3-1-1-1+46-2-2-1-3-15-1-3-1-2-2-5-1-1-2-1-1-1+180-1-10-1-1-5-10-1-1-1-2-3-1-1-1-1-2-1-1-1-5-1-5-10-1-1-1-2-1-1-10-1-1-1-1-1-1-15-1-1-5-2-1-6-1-2-1-4-1-1-1-2-1-1-1-1-1-1-1+2-2-2-1-1-1+50-1-1-1-1-6+50-1-2-1-5-1-1-1-1-2-3-2-1-1-1-1+100-1-2-2-1-1-1-4-1-1-1-1-4-5-1-3-4-2-2-2-5-5-3-8-2-9-2-1-1-2-4-2-1-1-1-24-3-1-1-2-2+30-2-2-1-2-2-2-5-1-1-1-1-1-2-1-1-1-3-1-1-7-1-2+67-2-1-5-1-1-4-1-1+29-3-5-2-1-2-1-1-1+119-1-2-15-1-1-1-4-1-3-2-1-1-2-1-1-3-1-2-1-1-1-1-1-1-6-1-6-1-1-1-1-1-1-2-8-1-1-1-5-3-7-4-1-1-1-1-2+141-1-3-8-1-1-1-1-1-2-4-1-1-3-1-1-1-1+75-1-3-2-5-3-3-1-10-1-4-1-1-3-1</f>
        <v>295</v>
      </c>
      <c r="G133" s="115">
        <f>20+10+33+21+31-1-5-2-1-7-7-3-3-1-1-4-1-1-4-10-1-1-3-1-1-4-4-2-1-1-1-2-1-1-1-1-1-1-5-1-1-1+1-3-1-3-1-1-2-3-1-2-1-2-1+60-1-2-6-1-1-1-3-1-2-1-1-1-1-1-4-1+15-2-1+20-1-1-10-1-2-2-1-1-3-1-1-2-1+1-2-1-1-1+10-1+30-1-1+1-2-1-1-5-1-1-2-2-1-1+50-1-2-7-1-1-2-1-1-5-2-1-1-1-1-3-3-1-1-24-3-2-1+30-1-1-1-1-4-3-3-1+30-2-1-5-3-1+30-3-1-2-1-2-1+25-1-1-1-20-1-1-1-1-1-3-1+35-1-1-1-1-1-4-5+70-2-3-1-2-1+15-7-3-1-1-1-5-2-1-3</f>
        <v>166</v>
      </c>
      <c r="H133" s="115">
        <f>25+11+2-1-2+1-3-4-4-4-3-1-3-5-1-5-2-1+50-20-3-1-1-1-1-1-2-1-1-8-2-2-1-1-1+40-1+20-1-5-1-4-1-1-1-1-1+15-1-1-2-1-1-2-1-2-1-1-1-2-2-2-1-3+30-1-1-1-5-2+30-1-1-3-1-2-1-1-1-1-2-2-1-1-1-3-1-5-1-3-2-3+10-3-1-3+28-2-2-1-1-1-1</f>
        <v>73</v>
      </c>
      <c r="I133" s="115">
        <f>0+35-1-1-3-3-3-1-1-3-1-1-5-5-2-3-1-1+15+30-1-2-1-3-2-1-2-1-2-1-2-2-1-1+15-1</f>
        <v>37</v>
      </c>
      <c r="J133" s="139">
        <f>0+24-1-1-1-1-1-2-5-2-2-1-1-1-1-1+15+20-1-2-1-1-1-1-1-1-1-2+15-5-1-1</f>
        <v>34</v>
      </c>
      <c r="K133" s="217">
        <f>10+50-3-2-1-2-1-1-2-4-1-1-1-1-1+1+1-3-3-1-1-1-1-1+1-1-1-29+11-2-1-1-1-1-2-1-1+1-1+2-1-1-1+70-3-1-1+29-1-1+1-1-1-1-1-1-8-1-2-1-1-4-2-2-1+22-1-11-1-2-1-1-1+8-1-1-1+35-5-1-1-1-1-1-1-1-1+40-1-2-1-3-2-3-5-1-1-9-1-1-5-1-1-1-3-1-1-3-1-1-2-2-1-2-4-1-5-1-1-2-2-1-2-1-1-1-20-1-1-1-2+78-1-2-2-1-1-1+15-1-2-1-1-5+5-1-2-1-1-1-2-1-1-2-3+10-2-2-1-1-5-1-1-1-1+10-1-5-1-1-1-1+26-3-1-5-1-1-1-1+22-1-1-1-1-1-3+30-1-2-1-5-1-2+1-1-1+1-1-1-1</f>
        <v>137</v>
      </c>
      <c r="L133" s="115">
        <f>3-3+3-3+3-2-1+120-1-40-2-1-4-2-7-5-19-1-1-1-5+80-1-2-3-2-1-1-2-1-2-8-6-2+217-1-5-1-4-10-1+3-1-1-1-1-7-1-1-1-20-5-3-1-2-2-2-1-1-1-14-2-2-1-2-1-1-4-4-2-10-14-3-1+31-1-15-1-1-1-1-1-1-1-3+15-1-5-1-1-1-1-1-2+3+66-15-1-2-1-1-1-3-3-1+5+51-1-1-10-1-1-1-1-1-5+3-1-1-1-1-2-2-1-1-1-1-8-1+80-1-1-1-8-1-1-16-1-3-1-1-6-3-2-5-1-1-2-1-1-1-1-2-3-1-3-1-3-1-1-1-2-2-1-1-6-5-1-1-2-3+147-1-1-1-14-3-1-1-4-2-1-1-5-1-1-2-2-2-2-1-1-1-1-1-2-5-1-2-1-4-2-4-1-3-1-2-2-8-6-1-2-7-1-1-13-2-1-1-1-2-1-1-4-2-1-1+142-1-1-1-2-1+96-2-1-3-10-3-2-1-1-2-1-1-1+49+25-2-4-13-14-2-1-1-1-1-7-2-1-1-1-6+4+14-1-1-3-2-2-2-1-1-8-2-1-1-2-1-2-1-1-2-1-1-1-2-1-1-3-4-1-1-2-3-1-4-1+15-5-5+1-1-1-3-3-1-1-1-1-3-2-1-2-1-1-2-1+4-1-1-2+1+1-1-2-1-1-5-15-15-4-1-2-1-1+41-2-5-15-1-1-4-1-4-3-1-1-4-1+6-2-3-3-4-1-1-2-2-1+102+97-1+3-1-1-1-1-3-1-1+44-1-2-2-6-1-1-1+7-1-1-1-7-5-3-1-2-1-5-1-1-1-1-1</f>
        <v>515</v>
      </c>
      <c r="M133" s="115">
        <f>70+80+70+20+86+20+11+25-2-9-3-2-2+280-3-2-1-5-2-5-1-4-1+1+60-1-56-1-2-1-3-1-4-1-16-4-1-2-1-8-13-2+1+1-2+2-2-3-7-3-1-2-2-3-3-2-15-1-1-2-1-1-25-3-12-1-2-3-1-5-10-5-1-1-1-1-30+1-1-1-1-3--13-1-1-6-1-1-2-1-1-28-1-2-24-5-1-1-3-2-1-7-1-1-3-6-15-1-1-1-10-1-1-1-9-6-1+1-13-1-1-1-17-3-1-4-3-1-1-2-11-1-5-2-10-1-1-1-7-2-1-1-1-6-3-2-4-2-5-2-9-2-1+13-6-1-1+6-3-3-1-1-2-3-1+1-3-1-1-1-1-1-10+250-3-60-1-8-10-2-2-15-4-2-2+52-4-2-1-1-4-1-1-1-2-3-1-7-1-4+237-1-2-1-2-1-1-10-3-2-4+35-3-1-15-1-1-1-1-1-4-10-2+1-1-3-1-1-1-3-3-2-1-1-1-2-1-2-1-1-1-1-1-1-1-1-1-1-3-1-47-2-1-1-1-4-1-1-2-1-2-2-1-15-1-1-2-1-1-10-2-1-2-20-1-35-1+63-1-1-20-1-7-2-4-1-10-6-1-1-4-4-3-1-1-1-1-1-1+85-2-1-1-1-1-1-1-2-2+1-1-1-1-1-2+35+68-20-4-1-3-1-7-1-1-1-2-1-14+166-1-1-1-10-1-2-1-1-3-1-4-1-5-3-7-1-2-8-5-2+5-4-1-1-5+1-1-3-1-6-1-5-2-2+149+1-3-1-1-2-1-1-1-2-15-2-1-30-1-1-2-3-8-10-1-15-2-1-4-15-1-1-1-1-1-2-1-1-3-2-2-2-2-1-2-1-1-1-7-1-8-16-10-4-2-5-12-1-1-2-17+180-3-1-2-5+180-1-1-1-14-1-4-4-1-1-4-1-3-2-2-4-1-5-2-1-1-8-1-3-1-1-2-1-1-1-20-1-1-1-8-5-1-1-1-2-2-2-2-2-11-9-15-1-1-7-4-7-1-4-21-8-1-1-1-3-1-2-1-1-1-1-5-5-41-2-4-1-1-4-1-1-1-4-1+131-2-2-1-1-1-1-2-1-1-1-1-3+180+5-4-1-2-1-3-10-2-5-1-1-1-1-2-3-1-2-3-3-1-1+101+140-1-1-2-1-1-6-11-1-1-1-1-1-3-1-2-1-1-34-1-1-1-3-3-1-6+16+26-2-1-1-1-1-1-2-3-15-1-4-2-1-3-1-2-1-1-5-2-1-1-3-2-1-1-1-2-2-2-1-1-3-1-1-7-1-3-3-9-1-2-3-2-1-1+56-1-6-3-1-1-4-3-10-3-1-1-1-1-2-1-2-6-2-2-5-1-1-20-3-4-1-8-1-5-6-1-1-1-1-1-7-6+22-2-1-1-6-3-2-1-1-1-2-2-1-1-1-1-1-10-1-1-45-5-45-1-4-4-5-2-1-2+57-6-8-1-1-6-2-27-5-1-1-12-1+222-1-4-4-2-3-1-1-1-10-3-2-3+70-5-1-4-1+158-4-1-1-2-10-1-1-1-1-2-6-1+113-3-3-1-3-2-1-1-1-2-1-7-1-1-1-1-2+25-15-7-10-2-1-8-1-1+6-2-1-6-1-4-2</f>
        <v>1009</v>
      </c>
      <c r="N133" s="115">
        <f>74+70+80+70+30+72+20+70-2+2-18+100-1-1-1-3-2-1-5-6-3-1-1+1+100+100-1-60-2-2-10-1-40-1-8-3-1-1-1-2-18+1+4-1-1-2-6-3-3-11-11-20-1-1-15-1-7-12-1-2-3-2-1-2-8-1-1-4-30-3-1-2-4-1-1-1-2-1-1-10-22-1-16-1-5-15-3-1-2-6-20-1-4-1-1-12-5-9-1-1-12-2-1-1-1-13-1-1-2-1-2-4-1-1-1-23-1-7-1-1-10-1+3-8-7-1-2-1-3-6-2-6-3-1-1-1-1-10-1-5-1-6-2-3+6-3-1-2-3-2+3-1-1-1-1-4-10-2+190-60-1-5-10-1-1-15-6-5-1+68-4-1-3-1-4-1-6-1-6-3-1+5+218-1-1-1-7-1-1-3-1+75-2-20-1-1-2-1-4-1-2-1-4-2-1+4-3-1+1-3-2-1-2-1-1-1-1-5-1-2-1-1-3-4-1-1-57-2-1-1-3-1-4-1-2-2-2-2-2-5-2-1-10-1-3-1-1-1-10-10-1-1-7-2-20-38-1-1-1-1+27-1-1-15-1-1-2-1-1-1-9-10-3-1-1-2-1-1-1-1-1-1-1-1-1-1-5-1-1+123-2-1-2-1-1-8-1-1-3-2-1-3+50+51-4-25-3-1-2-1-2-1-12-2-2-3-2-4-6+141-9-1-5-2-1-2-1-1-1-10-5-7-8-12-1+5-3-8-7-1-4+4-5-7-5-2-1-1-2-1-2-1-1-2+250+9-1-2-3-4-6-3-1-12-1-1-1-2-1-1-1-1-19-1-2-10-1-12-1-1-5-1-5-1-1-3-1-5-1-1-6-5-1-4-2-2-2-3-1-1-3-5-1-1-1-8-5-6-10-1-1-8-3-12-10-1-2-26+360-1-1-1-1-1-1-1-1-12-1-1-3-1-2-9-1-3-1-2-4-5-1-1-5-1-1-1-1-2-2-1-1-1-2-1-1-1-1-1-20-1-1-1-1-1-1-1-1-1-1-5-1-2-1-2-1-2-2-21-15-15-1-1-21-1-3-2-13-1-4-13-15-12-1-1-1-2-6-1-1-1-2-1-1-1-2-1-42-2-1-2-1-1-2-1-8-1-1-2-1-2-1-3-1-1-2-1-2-1-10+137-2-8-1-7-1-1-1-1-3-1-2+200+13-1-13-9-1-3-1-1-1-3-28-2-4-4+198+30-1-1-1-1-3-1-15-4-1-3-5-1-2-1-1-7-5-1-1-51-8-1-1-10-1-1-1-5-7-1-1-1-1-2-2-3-1-1-1-6-2-2-1+14-1-2-4-1-1-1-1-1-3-2-25-2-1-1-1-1-1-1-1-1-3-2-2-3-3-1-8-1-2-1-6-1-3-1-1-5-1-7-2-5-3-1-1-2-6+6-1-3-9-2-1-1-2-8-2-1-3-15-1-2-2-6-1-1-1-57-1-1-57-2-1-2-6-1-1-3-1-3-3+4-1-1-5-1-1-1-10-2-2-24-7-2-1-1+199-4-1-5-6-1-1-1-5-1-1-1+205-3-6-4+25+447-1-1-1-1-3-2-3-1-3-6-1+4-2-1-1-2-2-4-3-1-8-1-1+2-1-12-6-1-10-1-2-6-1+11-1-1-6-4</f>
        <v>1078</v>
      </c>
      <c r="O133" s="115">
        <f>80+10+80-1-1-1+1-7-4+20-1-1-4-5-2-1-1+100+100-26-2-1-1-1-6-6-16-1-2-1-1-1-10+2-1+15-3-4-4-3-6-6-2-10-1-13-6-12-1-4-2-1-30-1-1-2-1-1-1-1-1+1-3+1-4-6-9-7-1-1-2-1-9-1-1-8-20-1-1-4-4-1-1-1-2-1-1-4-3-1-5-5-1-1-12-1-1-2-2-2-1-5-1-3-1-3-1-3-1-1-3-1-2-1-10-1-1+89-1-45-1-2-1-7-2-4+67-5-1-3-1-5+60-1-1-1-1-1-8-5-1+91-2-5-1-1-1-6-2-1-20+2-2-1-1-2-2-1-2-1-2-18-1-1-1-1-2-1-1-1-1-1-3-1-2-2-1-1-10-10-3-1-2-15-1-13-1-1-1-5-1-1-1-1-3-3-10-1-1-2-1-2-3+145-3-1-1-2-2-1-1-1-1-2-1+4+69-1-15-1-1-2-1-1-1-2-2-3+45-1-1-1-1-1-1-1-2-1-5-3-1-8-1+2-7-2-2+3-1-1-1-1-3-1-1-8-1-1+1-1+80-1-4-1-1-1-1-4-1-1-8-8-2-1-1-1-1-18-1-1-6-6-4-2-1-5-4-1-2-8-1-1-1-6-7-1-1-2-2-9+194-5-1-1-6-1-1-1-1-11-1-1-2-1-5-1-1-2-1-1-1-20-1-1-1-5-2-2-2-1-9-6-4-1-12-1-1-1-18-1-3-1-2-4-1-1-1-1-1-1-6-10-1-1-1-1-1-1-4-1-2-1-4-1-1-2-1-10+162-7-3-1-1-2-1-1-2-3-1+50-1-1-8-1-2-2-1-1-7-1-1-1-7+99+21-1-1-3-1-1-2-1-1-5-2-1-1-6-2-2-1-1-2-1-5-1-1-1-1-1-1-2-1-2-3-1-8-2-1-1-2-1-1-4-15-3-1-1-1-1-2-1-4-1-1-4-5-2-1-1-4-5-10-4-1-1-2-1-1-3-1-1-1-1-2-2-2-1-1-41-1-41-2-1-1-1-1-1-1-2-1-13-4-1-4-1-1-1-1-1-1+188-2-2-1-6-1-1-1-5-1-1+32-3-4-1+7-1-5-3+139-1-2-2-1-2-1-2-1-2-2-1-4-5-1-1-1-1+33-9-3-4-2-1+2-1-1-20-5-3</f>
        <v>433</v>
      </c>
      <c r="P133" s="115">
        <f>13+51-1-5-3-1-1+1+99-12-1-1-3-1-2-1-2-3-2+1-1-1-2-1-5-1-1-1-1-2-1-1-1-5-1-5-1-30-1-5-4-1-1-2-1-6-10-1-1-1-1-1-3-3-1-1-2-1-5-2-1-1-1+1-4-3-1-1+50-1-2-14+71-30-3-2-5-1+20-5-2-2+42-7-1-1-4-10-1-1-2-1-1-2-9-1-1-1-1-1-1-1-5-2-12-1-1-9-1-5-1-2-1+98-1-4-1-1+2-1+34-10-1-1-1-1-1-1-3+145-1-1-5-1-1-8+5-1-1-3-1-8-1+1-1-4-2-6-2-2-2-1-2-1-1-1-1-1-1-2-5-3-2-1-1-3-1-1-3-1-2-1-1-1-2-2-1-1-1-1-1-2-1-2-2-1-1-5-1-2-1-1-1-3-1-1-1-2-1-1-2-1-2-2-1-3-1-1-2-4-1-1-6-1-4-1-1-2-7-2+31-2-1-1-2-3+50-3-3-1-3-1-3+48+7-1-1-3-1-1-2-3-1-1-1-1-1-2-1-3-1-1-1-1-1-1-1-1-1-10-1-2-3-1-1-2-2-2-16-2-3-1-16-1-1-2-2-6-3-2-4-2-1+5-1-1-1-5+41-3-1+2+120-4-1-1+1-2-3-1-2-1-1+1-4-10-2-3-1-1</f>
        <v>231</v>
      </c>
      <c r="Q133" s="115">
        <f>1+68-4+20+30-1-1-2-1+2+2-1-2-1-1-1-4-5-2-17-1-6-2-1-1-1-3-2+1-1-1-3-1-1-5-20-2-2-4+9-1-1-3-1+30-7-1-1-2-3-1-1-1-2-6-1-1-2-1-1-3-2-4-1-1-1-1-1-1-1+20-5-1-1-1+136-1-1-3-2-1-1+14-2+1-1-1-1+1-4-2-1-1-1-1-3-1-1-1-1-1-1-1-1-1-2-3-1-1-1-1-3-1-1-1-2-1-1-3-1-1-2-1-1-3-1-3-3-1-1+15-1-2-1-1-1-3-4-2-1-3-5-4-2-1-1-1-1-2-2-1-1-1-1-4-1-1-1-2-1-4-2-1-2-1-2+20-3-2+70-1-1-3-3+1-1-1-1+1-3-3-1</f>
        <v>118</v>
      </c>
      <c r="R133" s="115">
        <f>0+25-3-2-1-1-1-1-2-1-1-1-3-2-1-1-2-1-1+29-1+1+20-3-1-1-1+3-1-1-2-3-1-3-1-1-1-1-8-1+18-1+2-9-1-2-1-1-2-2-1+4-1-2-1+23+3-1-1</f>
        <v>46</v>
      </c>
      <c r="S133" s="190">
        <f>0+44-1-1-1-1-1+1-2-1-1-1-1-3-10-1-3-1-1-1-1-1-1-1-1+28-1+1-1-1-1-2-1-1-1-2+17+30+3-1-2-1-1-1-2-1+8+21+30-2+1-2-3-1-1-1</f>
        <v>118</v>
      </c>
      <c r="T133" s="158">
        <f t="shared" ref="T133:T142" si="2">SUM(B133:S133)</f>
        <v>6228</v>
      </c>
    </row>
    <row r="134" spans="1:26" s="1" customFormat="1" ht="30.75" customHeight="1">
      <c r="A134" s="233" t="s">
        <v>30</v>
      </c>
      <c r="B134" s="115">
        <f>50+59-1-1-1-3-1-1-1+1-1+31-1-1-1-2-2-5-1-1-1-1-1-1-1-1-1-1-15-1-1-15-2-1-1-1-1-6-2-2-1-2-2-1-2-1-1-1-1-1+50-2-1-5-1+1-3-3-2-1-1-3-1-2-2-1-3+39-1-2-2-1+21+9-2-1-2+1-1-2-9-1-1-4-5-1-1-1-1-3-1-1-6-10-1-1-1-3-2-5-2-1-2-1-2-1-1+40-3-2-1-1-1-1-2-1-2-1-1-2-2-2</f>
        <v>74</v>
      </c>
      <c r="C134" s="115">
        <f>54+90+70+80+60-1-2-3-6-2-2-3-4-1-1+1-1-1-1-1-1-1-7-1-1-1-1-1-1-1+14-1-1+35+1-1-8-5-1-1-2-2+1-1-2-30-2-3-1-3-1-1-1-3-3-5-4-2-1-1-1-2-1-1-1-1-1-3-1-1-6-1-1-1-1-1-1-1-1-1-1-1-1-3-2-1-25-3-5-6-2-2-1-7-1-1-1-1-6-2-3-1-3-5-1-13-2-1-2-2-5-2-1-3-1-3-5-1-1-1-2-1-1-1-1-3-1-1-2-1-1-1-1-2-3-1-8-1-1-13-9-2-1-1+100-2-7-2-15-1-2-6-7-1-3-2-1-2-1+1-1-2-1-1-1+72-1-1+27-1-1-2-2-1-8-1-1-2-6+29-2-1-1-1-1-1-1-2-2-2-1-3-7-1-1-7-1-1+1-1-2-1+101-1-5-2-1-1+90-1+45-3-3+21-6-1-1-2-2+1+1-2-1-1-10+1-1-1-1-16-2+99-14-1-1-1-5-1+1-1-1-5-8-2-1-1-3-1-2-3-3-10-4-1-10-3-1-6-2-12-9-1-1-1-5-1-1-1-1-1-2-3-1-7-1-2-1-1-4-2-1-10-1-5-1-2-6-1-2-1-5-1-1-1-3-2-1-2-1-3-2+95-1-1-1-2-1-3-1-1-4-1-1-1-8-5-2-1-2-1-4-3-3-3-1</f>
        <v>304</v>
      </c>
      <c r="D134" s="115">
        <f>50+52+10+7+156-2-2-10-7-2-2-4-1-2-1-1-1-1-19-2-3-1-1-2+66+3+3-2+32-2-13-1-10-2-1+80-2-1-2+1-2-30-1-4-1-1-3-1-2-1-1-5-2-3-5-2-1-4-2-1-2-3-1-1-1-1-1-1-3-1-15-1-1-10-10-1-2-1-2-2-1-2-2-1-2+1-1-1-2-2-1-2-40-1-5-1-2-2-3-1-6-1-4-1-3-2-1-1-2-5-6-1-17-1-1-1-1-5-1-1-3-1-6-5-2-6-1-1-2-1-5-3-1-1-2-2-1-1-1-1-1-2-5-2-2-2-2-1-1-13-1-1-1-1+150-4-13-1-2-1-1-20-1-7-2-6-1-3-3-1-2-5+41-1+8-1-1-1-5-5-2-1-1-1-2-1-5-1-1-1-2-1-3-1-3-2-3-1+75-3-1-1-1-1-1-3-1-1-5-2-4-6-4-2-7-1-1+5-1-1-3+170-5-1-1-12-1-1-3-1-1+102-2-5-2+55-6-1-1-3-1-2+4+1-4-1-10-2+249+1-1-1-7-1-1-1-1-3-4-15-2-14-1-1-2-1-2-2-3-1-1-1-8+32-1-1-3-2-1-1-5-1-19-4-1-2-1-10-3-6-1-5-15-9-1-1-3-3-11-1-2-2-1-2-1-1-1-3-1-1-1-1-3-1-1-1-2-2-1-1-1-3-2-3-3-5-2-4-1-6-5-1-4-2-1-1-1-1-1-1-1-1-2-1-1-5-2+95-1-1-1-2-1-2-2-3-6-1-3-2-1-2-6-2-1-2-1-2-5-2-1-1-2-1-6-1-4-5-4-4</f>
        <v>415</v>
      </c>
      <c r="E134" s="115">
        <f>75+60+75+271-10-5-1-2-1+1+1-2-1-2-10-2-1-1-1-2+77+1+23-1-1-1-22-1-10+1+1+60-3+1-30-5-1-2-5-2-1-1-2-1-3-1-6-1-1-5-2-1-1-3-1-1-1-1-1-3-1-3-2-8-1-2-10-1-10-1-1-2-2-2-1+3-1-1-1-1-2-40-1-5-1-3-2-2-1-2-1-1-1-1-1-10-6-1-17-1-1-1-1-5-1-1-1-7-4-1-1-3-1-1-1-2-1-1-2-2-1-3-1-1-1-4-1-1-12-1-1-12-1-2-1-1-1-2-1-1-1-25-1-7-6-1-1-1-3-1-1-1-1-1-5+101-3-1+19-6-11+1-1-1-1-1-2-1-1-1-1-1-1-2-3+64-1-1-1-1-1-4-1-2-2-2-1-4-6-1-10-1-1+17-1-1-1+26-5-1-1-1-5-1-1+75-2-1+63-6-2-1-1-1-1-2+2+3-4-1-2-10-1+250-1-1-1-1-8-2-14-1-1-1-1-1-1-2-1+49-1-2-1-5-2-3-2-1-17-5-1-1-1-1-1-10-1-1-1-6-3-2-1-4-13-2-2-6-9-1-1-4-5-2-1-1-1-8-1-1-1-1-1-1-2-2-1-1-1-1-1-1-1-3-2-1-1-1-1-1-1-1-2-2-6-1-1-4-1-2-6-4-2-1-1-1-13-10-1-1-4-1-1-5-4</f>
        <v>465</v>
      </c>
      <c r="F134" s="115">
        <f>90+10+30+47-1-10-2-1-1-2-1-1-3-1-1-2+40+11-12-5+1+59-1-30-1-2-2-1-1-5-1-1-2-1-1-1-1-1-1-1-1-2-1-5-5-4-1-1-1-8-1-1-1-1-1-2-2-1-30-1-5-2-1-5-1-1-5-8-2-15-1-2-4-1-1-1-3-2-5-3-1-2-1-1-1-1-1-3-1-3-1-1-1-7-1-4-1+50-1-1-2-15-1-4-3-5-1-1+24-1-2-1-1+7-2-1-5-2-1-2-1-1-1-1-3-4-3+27-1-1-1-1-1-2-3-3-1-1-7-1+2-2-5-2-1-1-1-1+60-1-1+98-1-1-2+5+5-3-1-10-1+125+1-1-1-2-1-4-2-9-11-1-2-1-2-1-1-10-2+35-1-1-1-8-3-1-1-1-6-1-11-1-1-1-4-1-4-2-2-1-7-7-1-1-2-2-1-7-1-1-1-1-1-1-2-2-1-1-2-20-2-2-1-4-1-1-1-1-2-1-1-1-1-1+80-1-1-1-1-2+60-1-3-1-1-1-1-3-4-6-1-1-1-12-1-5-1-2-5-5-4-1-5</f>
        <v>222</v>
      </c>
      <c r="G134" s="115">
        <f>49+36+77-1-3-2-1-1-1-1+19+1+1-3-1+2+1+61-2-30-1-1-1-1-1-1-1-1-1-1-1-2-1-1-1-1-3-25-2-1-1-5-8-2-7-1-1-1-1-2-3-3-1-1-1-2-1-1-1-1-1-1-3-1-1-1-2-1-1-10-1-1-1-1-5-3+1-2-1-1-1-2-1+19-1-1-1-2-2-2-9-1-1-3-1-1+25+22-2-1-1-1+2+1-2+60-2-4-1-3-6-2-1-6-1-1-1-5-1-3-2-1-2-1-1-1-1-2-1-2-1-1-1-1-1-2-10-5-8-1-1-1-3-1-1+20-1-1+30-1-1-1-3-1-2-1-1-2-2</f>
        <v>109</v>
      </c>
      <c r="H134" s="115">
        <f>50-3-1-4-1-1+20+1-4-3+60-30-1-1-1-3-1-1-1-1-1-1-1-2-20-1-1-6-1-3-2-3-2-1-1-1-2-1-1-1-3-1-1-1-5-1-1-1+30+10-3-1+1-1-1+19-1-2-1-1+2-1-2-1-1-1-1+7-1+2+30-2-9-1-1-1-2-2-1-1-3-1-1-1-1-1-1-1-1-9-1-1-15-4-1-3-1-1-1+15-1-1+15-1-2-1-2-6-1-1-1-2-1-2</f>
        <v>30</v>
      </c>
      <c r="I134" s="115">
        <f>10+15-1+12+8-3-1-1-1-1-1-1-20-5-2-2-1-2-1-2+20+16-2+3-1-1-1+10-1-1-1-1-1-1-1-1-1-1-1-1-1</f>
        <v>31</v>
      </c>
      <c r="J134" s="139">
        <f>0+45-1-1-5-2-1-2-1-1-1-2-1-2-1-1-1-1-1-2+15-1+15-1-1</f>
        <v>45</v>
      </c>
      <c r="K134" s="217">
        <f>46+57-1-1-1-1-1-1-1-2-1-1-1-3+4-2-1+2-1-1+1-1-2-3-1-1-2-1-2-1-1-3-1-1-1-1-1-20-3-1-1-1-1-1-5-12-1-2-17-1+18-2-1-1-5-1-2-4-3+45-1+15+45+45-5-1-5+1-1-1-1-2-3-2-1-5-1-1-2-5-2-3-1-1-2-1+2-4-6-1+3-1-1+1-2-1-2-1+10+1+3-1-1-2-7-1-1-5-1-1-2-1-1-4-1-2-1-3-1-1-2-1-3-2-1-2-2-1-1-1-1-1-1-1-1-4-10-3-1-1-10-2-6-5-1-1-1-1-1+40-1-1-1-1+1-3-1-1-1-1-1-4-1-5-3-1-1-1-1-1-1</f>
        <v>10</v>
      </c>
      <c r="L134" s="115">
        <f>80+70+84+68-2-3-2-12-2-2-1-1-5-2-1+1-1-1-1-3-2-1-1-2-1-4+93-1+3+1-1-5+5-2-1-1-15-1-2-3-1+1-1-1-2-5-12-1+30-1-1-2-1-1-8-1-1-1-1-1-1-1-1-1-1-10-1-1-1-1-1-6-2-5-1-10-40-1-1-10-5-4-1-1-1-1-1-1-1-2-2-7-1-1-6-1-1-2-1-3-10-10-2-4-7-2+148-3-1-1-1-7-6-6-5-1-3-1-2-1-6-2-1-1-3-1-1-1-2-14-3-1-1-1-1-1-2-7-1-1-1-1-1-1-1-1-2-5-1+24-4-1-5+1-1-1-15-2-6-1-1-9-3-1+86-10-1-1-1-6-1-1-1+19-1-1+15-7-6-1-1-1-2-1+132-1-1-1-1-1-1-5+6+2-3-1-3-1-1-1-1-1-2-1-4-1-1-1-6-1-3-1+17+70-1-2-1-2-2+4-1-1-1-3-5-14-1-1-1-1-1+4-1-1-1-1-6-1-1-2-1-2-5-2-1-2+9+1+5-2-1-10-2-1+1-3-3-1-1-1-1-3-2-3-1-7-2-2-19-1-2-8-1-2-1-1-3-1-5-3-1-1-7-1-1-1-1-2-1-3-1-7-4-10-2-6-3-2-1-5-1-1-2-1-2-2-9-1-2-5-4-1-2-1-1-1-1-2-2-1-2-1-1-3-1-2-1-4-2-2-1-2-4-4-15-2-1-1-1-2-1-1-20-1-2-1-3-2-1-1-1-1-2-4-2-1-1-3-3+299-3-1-1-1-4-1-1-1-1-1-1-1-1-7-2-5-1-2-1-10-4-1-3-1-14-2-2-1-1-5-5-4-1-5-1-1</f>
        <v>281</v>
      </c>
      <c r="M134" s="115">
        <f>84+70+20+70+70+221-2-1-16-1-1-1-18-16-5-3-3-4-1-3-5-1-2-1+1+1-1-1-3-1-3-1-1-1-2-1-4-1-15-1-1-3-2-1-1-1-7-6+1+201+2+1-2-1-1-8+22-1-1-1-2-3-35-2-2-5-2-1-1-3-5+1-1-1-2-1-1-1-5-3-2-4-2-11-1+30-1-1-1-11-2-1-1-1-1-3-4-1-2-1-4-8-1-1-1-2-1-6-2-4-9-1-1-1-2-5-1-3-1-1-1-31-1-1-6-1-1-1-2-1-4-1-7-1-8-2-1-1-1-1-7-2+2-1-1-3-1-2-4-10-1-1-60-5-1-1-2-3-1-2-13-1-2-1-1-4-6-1-1-1-2-1-1-3-4-1-1-8-3-13-1-5-1-1-1-9-1-1-1-1-20-1-1-7-12-1-2-3-2-1-2-1-1+223-3-2-2-5-1-7-1-1-1-1-2-1-1-1-3+192-2-1-1-1-3-12-1-1-1-1-1-1-1-1-1-3-5-3-2-2-3-1-6-1-2-10-1-3-10-1-10-1-1-15-3-1-2-15-1-35-1-2-1-1-1-1-11-3-1-5-1-1-1-1-1-2-25-2-10-1-1-2-1-1-10-2-36-1+39-1-7-1-15-1-1-10-17-1+30-1-1-1-1-3-1+1-20-2-2-20-1-1-3-9-2-10-1-3-3-1-1-1+114-10-1-1-10-2-16-4-1-1-1-4-1-10-1-2+78-1-1+49-1-1-1-6-2-1-2-10-1-1-1-16-4-12-2+10-3-1-1-1-2-1+165-25-2-3-1-1-5-1-2-1-1-10-6-1-2-5+166-2-1-1-1-2-2-1-1-2-3-1-3-7-2-7-15-1-4-1-3-12-5-1-11-1-7-1-1+124-1-3-1+19-4-2--1-4+83-1-2-1-5-1-1-20-2-4-1-6-2-1-1-2+169-7-1-2-1-1-1-1-4-1+12-18-1-6-2-2-2-1-5-2-2+202+1+3-4-1-1-10-1-3-1+7-4-4-1-2-1-2-3-2-13-2-1-3-1-1-3-2-1-21-2-37-2-1-1-2-8-1-15-2-2-4-1-1-2-5-1-2-2-1-10-2-7-1-8-10-1-2-1-2-1-1-8-1-2-4-1-1-21-1-1-3-1-1-10-7-2-1-16-5-1-1-1-1-5-1-2-2-1-1-20-4-8-1-2-1-3-1-17-1-1-3-2-12-1-2-25-2-2-3-1-2-2-3-2-6-1-2-3-3-1-1-2-2-2-1-2-4-3-6-2-1-1-1-3-2-2-2-4-1-3-6-1-10-6-1-2-2-45-1-1-2-1-2-1-5-4-5-1-6-3-2-1-1-1-1-4-6-7-1+435+200-1-1-1-5-1+3-9-1-1-1-1-9-7-1-12-1-1-1-2-1-1-1-1-2-3-5-4-8-12-1-1-2-1-1-1-1-1-3-1-2-1-15-2-1-1-3-1-7-1-17-3-2-2-2-2-3-5-1-1-5-3-1-20-8-1-5-2-1-1-6-1-6-1-3-14</f>
        <v>670</v>
      </c>
      <c r="N134" s="115">
        <f>99+100+100+104+6+147-1-31-1-1-18-4-4-7-1-1-5-1-1-1-1+1-1-1-3-2-3-8-7-30-1-1-1-1-2-1-1-12-8-1+210+1+4-2-1-1-10+45-1-1-5-1-11-30-1-1-2-10-1-4-1-5-1-10+1-1-1-1-2-10-8-2-1-1-7-1-10-1-2-1-3-1-2-4-3-2-8-1-1-1-1-2-1-1-1-8-1-1-3-1-4-2-1-18-1-1-5-1-1-1-10-1+1-5-10-1-1-1-4-1-6-7-1-1-2-1-4+1-1-4-3-1-5-1-10-1-1-60-1-10-1-1-2-3-1-2-1-20-1-1-1-1-1-8-1-1-3-1-1-1-1-1-3-3-2-1-10-1-2-5-1-1-10-1-1-1+418-20-3-3-3-1-24-1-1-1-2+9-2-2-4-6-1-1-3-1-1-1-2-3-3-1-1-1-8-2-2-1-14-6-3-1-1-1-1-1-4-15-8-2-15-6-2-1-3-1-10-1-3-2-10-10-1-3-3-2-20-38-1-1-2-1-1-1-2-1-1-1-6-1-1-2-1-1-1-1-2-10-1-1-2-2-1-1-20-1-29+40-1-1-2-1-1-1-6-29-1+29-2-1-7+1-1-4-25-2-2-1-1-10-3-12-10-30-2-6-1-10-8-1-1-1-3-10+300-1-2-3-1-9-1-23-1-1-1-1-16-15-1-1-1-13-1+6-2-3-29-4-1-2-1-10-1-1-2-1-12-2-1-5-10-1+90-2-3-2+147-2-1-1-3-1-2-1-1-3-2-1-8-2-2-14-1-15-4-8-1-2-3-1-12-10-3-1-2-17-1-1-1-2-1-2-1-2+24-1-1-2-1-1+39-4-5-2-1+162-1-1-1-1-4-1-1-4-1-4-2-1-1-3+32-1-3-7-3-1+25-1-20-15-1-1-2-1-1-3-1-5-1-3-3-2+353+1+3-1-4-1-1-1-10-4-1+7-4-6-2-1-1-2-2-2-2-2-1-9-2-3-18-2-1-1-3-1-1-4-1-15-10-3-1-2-1-2-1-1-1-5+1-1-1-5-1-5-15-1-2-1-1-1-1-1-1-1-2-2-1-1-1-5-1-1-1-8-2-1-1-2-1-1-24-4-3-1-1-10-1-7-1-1-3-1-1-1-1-2-5-11-1-1-1-5-1-2-3-11-5-1-5-1-20-1-1-2-1-1-2-1-1-2-1-1-5-1-4-1-4-1-1-1-1-18-4-3-1-1-1-1-2-2-1-3-1-10-20-1-1-2-3-3-4-6-1-12-1-7-2-3-57-1-1-3-2-4-1-1-1-1-3-6-2-3-2-1-1-2-1-8-2+440+208-1-1-1-1-1-1-10-1-3-3-1-2-1-1-2-1-2-1-1-1-1-1-1-1-1-2-3-2-3-1-1-10-1-1-12-1-1-3-5-1-15-1-1-1-2-1-5-1-20-2-1-2-2-1-1-5-1-11-5-5-13-1-10-4-1-1-1-10-6-4-7-1</f>
        <v>667</v>
      </c>
      <c r="O134" s="115">
        <f>100+100-4-18-14-1-1-2-2-5-1+1-1-1-1-1-2-2-2-2-1-1-2-11-1-1-2-1-9-8-11+2-1-1-6+27-1-6-30-1-4-10-4-1-10-2-2-3-10-4-5-3-1-1-1-1-2-4-1-1-1-5+26-1-1-7+35-3-2-1-1-6-1-1-37+2-2+10-2-1-3-1-1-1-1+48-45-2-1+351-1-5-1-3-1-1-1-8-1-5-4-1-1-10-5-1-2-1-2-1-1-1-1-1+3-3-2-5-2-2-2-1-2-1-1-7-3-2-1-1-1-1-1-1-1-3-3-5-10-1-10-1-2-7-2-1-3-10-5-2-13-1-2-1-2-2-1-4-1-1-1-3-1-2-1-1-25-1+2-1-1-1-1+66-2-13-1-1-1+2-2-1+1-1-15-2-11-1-1-4-9-2-10-1-1-1-1-1-10-5-1-3-1-1-1-1-5+100-2-2-5-1-12-1-2-12+15-12-1+1-1-6-2-1-1-1-10-1-10-4-5-1+16-1+50-2-1-2-1-2-1-3-9-1-2-1-10-1-4-3-6-4-2-2-8-2-1-1-1-1-2+3-1-1-1+38-1-1-2-1+128-1-1-1-3-4-1-1-2-3-1-1-3+21-1-3-1-1-1-5+12-12-2-5-1-1-5-1-2-2+196-3-7-1-4-10-2-4+4+2-4-2-1-1-3-1-2-1-3-2-2-15-2-1-1-2-1-10-3-2-1-1-1-1-1-1-1-1-5-1-2-5-15-1+1-1-1-1-2-1-3-1-1-5-1-17-7-1-2-1-1-1-1-6-1-2-1-4-1-1-4-5-3-2-1-2-2-3-1-3-2-3-1-1-10-1-1-1-1-2-3-2-2-3-2-3-2-5-30-1-1-1-1-3-3-4-4-1-5-1-1-10-4-1-2-44-1-4-1-2-2-15-1-1-1-1-5-3-2-2-1-4-1+107-1-2-1+251-1-1-1-15-1-1-1-1-1-4-5-1-1-4-1-3-1-11-1-6-1-3-1-1-1-1-1-12-3-1-1-2-1-4-1-11-1-2-2-1-5-1-1-1-5-8-5-2-1-2-5-3-3-1</f>
        <v>204</v>
      </c>
      <c r="P134" s="115">
        <f>0+130-1-4-5-1-1-2-2-1-1-1-1-4+30-2-4-1-6+1+83+1-6-1-5-1-2-5-1-2-5-1-4-1-10-1-4-2-1-1-6-1-2-1-1-1-1-1-1-1-5-1-1-22-1-1-5-10-1-1-3-1-1-1-1+2-2-1-8-2-1-1-1-1-1-3-1-1-5-1-30-10-4-5-1-1-3-3+41-1-2-1-3-5-1-1-1-1-1-2-1-4-1-1-6-2-2-3-1-1+64-1-4-6-1-1-1+100+79-1-1-4+1-10-1-2-1-2-1-2-5-2-1-9-1-1-2-3-1-3-1-10+2-1-1-1-1-10-3-5-2-2-1-9-2-7-3-4-1-8-2-1+29-2-2-1+7-1-4-1-1-1-3+11-1-1-1+34-2-1-1-1-1-2-1-1+44+2+2-2-1-1-10-1+37-3-1-3-1-1-1-1-1-5-2-15-11-1-8-2-1-1-1+12-2-1-3-1-1-1-1-1-2-1-1-3-3-1-5-1-1-2-2-1-2-1-1-1-1-2-2-1-3-1-1-2-2-1-1-1-1-2-2-3-2-1-1-1-1-1-1-3-2-1-2-1-3-4-5-2-5-13-8-1-1-2-5-2-1-4-2-2-3+114-1-2-3-1-1-2-1-1-1-1-3-6-5-2-2-1-4-2-1-1-1-1-1-1-6-1-2-7-2-7-2-2-2-1-1-1</f>
        <v>69</v>
      </c>
      <c r="Q134" s="115">
        <f>0+102-1-1-2-1-1-2-1-1+89-1+1-2-2+16+4-5-2-1-5-1-1-2-2-1-1-2-1-2-1-4-4-3-1-1-3-2-1-2-1-5-20-1-3-10-1-3-1-2-1-4-1-2-2-1-1-1-2-1-2-1-1-4-2-3-1-1-1-1-1-1-2-1-4-1-2-1-1-5-1-1-3-2-1-2-1+1-2-1-1-2-1-2-3-1-2-1-2-1-1-1+15-3-1-8-7-1+27+34-1-1+23+6-1-1-1-1+15+3-1-2-4-1-1-1+8-3-3-1-1-3-4-1-1-1-1-3-1-1-1-2-1-2-1-6-2-1-1-5-4-5-1-1-1-2-1-1+15-1-1-1-1-3-1-4-2-1-1-3-3-1-2-2-1</f>
        <v>39</v>
      </c>
      <c r="R134" s="115">
        <f>0+16-1+15+3+2-2-1-1-1-1-1-1-2-3-1-2-1-3-2-2-1-1-1-2-1-1-1-3+30+24-1-1-1-1-1+1-1-2-3-1-1+1-1+2+4-1+3-1-6-2-1-1-2-1-1-1-3--1+15-1-3-1-3-1-1</f>
        <v>37</v>
      </c>
      <c r="S134" s="190">
        <f>0+44-1+17+1+3-1-1-1-1-1-3-10-1-3-2-2-1-1-1-1-1-1+11-2+4-1-1-1-1-1-2-2-1-2-1+2+6-1+1-3+1-1-1-1-1-1+30-5-2-1-1-1-1</f>
        <v>52</v>
      </c>
      <c r="T134" s="158">
        <f t="shared" si="2"/>
        <v>3724</v>
      </c>
    </row>
    <row r="135" spans="1:26" s="1" customFormat="1" ht="27.75" customHeight="1">
      <c r="A135" s="233" t="s">
        <v>52</v>
      </c>
      <c r="B135" s="115">
        <f>7-1-2-1-1-2+23-1-1-1-1-1-1-1+59-1-3-1-1+1-4-4-5-1-2-1-1-1-1-1-10-1-3+70-1-1-2-1-1-1-2+1-1-1-1-1-1-1-1-1-1-2</f>
        <v>86</v>
      </c>
      <c r="C135" s="115">
        <f>5+15+33+35+46+30+24-3-4-1+80-1-1-1-1-3-1-13-1-1-1-1-3-1-5-1-3-2-1-2-1-1-4-3-2-3-5-1+59-1-1-5-2-1-1-1-2-10-1+1-1-1-1-2-1-1-1-2-1-1-3-1-1-1-3-1-2-1-1-1-1-1-1-2-1-1-5-1-3-3-15-3-1-5-1+50-1-1-1-1-1-1-1-3-1+28-2-1-1-1-1-1-1-1-4-1-3-1-1-1-1-3-1-1-1-2</f>
        <v>199</v>
      </c>
      <c r="D135" s="115">
        <f>15+13+40+58+61+59+71-2-4-1-1-1-2-1-1-1-1-1-1-1-2-1-1-15-3-1-1-2-5-1-1-1-1-3-2-3-3-1-1-3-1-1-1-5-1-1+98-1-1-1-1-1-2+1-7-1-2-2-3-1-2-2-1-1-1-1-2-4-1-1-3-1-1-1-1-1-1-1-1-1-1-4-6-1-13-1-1-1-5-3-3-1-2-1-1-1-1-2-1-1-20-5-1-3-3+70-2-1-1-1-1-1-2-1-9-3-3-1-2-1-1-1-2-1-3-1-1+49-1-1-1-3-1-4-3-1-1-2-1-1-1-1-2-1-1-1-4-1-1-1-3-1-2-1-6-1-2-2</f>
        <v>232</v>
      </c>
      <c r="E135" s="115">
        <f>12+35+78+80+109-3-4-1-1-1-1-5-1-1-1-2-1-1-13-5-1-1-3-3-1-5-1-3-2-1-3-1-1-1-1-1-1-1+99-2-3-2-1-1-2-1+1-7-6-1-1-1-1-1-1-1-1-1-1-5-1-4-6-1-1-1-1-1-5-1-1-1-2-2-1-1-1-1-4-2-2-1-20-3-6-5-4+50-2-1-1-4-1-5-1-1-1-1-1-1+50-1-1-1-3-1-2-1-1-2-1-4-1-1-1-1-1-1-1-1-2-1-1-4-1-1-2-1-3-3</f>
        <v>258</v>
      </c>
      <c r="F135" s="115">
        <f>20+26+24+50-3-3-1-1-1-1-1-1-4-2-3-1-1+1-1-1-2-1-5-1-2-1-3-1-2-1-1-1-1+99-1-1-1-1-1-1-1-2-1-1-1-1+1-7-2-7-2-1-1-1-1-3-1-1-1-3-3-1-1-1-1-1-1-1-5-1-2-1-2-1-1-1-6-3-3-1-1-20-3-4-1-5-1+50-2-1-1-1-1-1-1+51-1-1-2-2-2-1-2-1-4-1-1-1-1-1-1-1-1-2-1-1-2</f>
        <v>121</v>
      </c>
      <c r="G135" s="115">
        <f>7+17+11+19+18-3-1+20-1-1-1-3-1-1-1-1-1-2-1-2-1-3-3-1-1-1-1-1-1+29-1-1-1+1-1-4-1-1-1-1-1-1-3-1-1-3-3-1-1-2-1-1-1-3-1-1-2-1-3-10-5-2-1-1-1-2-5-12-7+35-1-3-1+39-1-1-1-1-2-1-4-1-1-1-1-2-1-1</f>
        <v>50</v>
      </c>
      <c r="H135" s="115">
        <f>1+15+9+10-1-3-1-1-1-3-3-2-1-1-3-1+29-1-1+1-2-1-1+1-1-1-1-1-3-3-1-1-1-1-2-6-1-1-3-10-1-1+15-3-2-2-2-3+25-1-1-1-2-2-1-2-1</f>
        <v>17</v>
      </c>
      <c r="I135" s="115">
        <f>0+10-1-1-1-2-2-1-1-1+15-3-1-1+8-1-1-2</f>
        <v>14</v>
      </c>
      <c r="J135" s="139">
        <f>2+43-1-1-1-1-1-1-1-1-1</f>
        <v>36</v>
      </c>
      <c r="K135" s="217">
        <f>1+15+27+31-1-1-3-2-1-1-1-3-1-1-1-2-1-2-10-1-5-1-1-1-3-1-1-1-3-1-1-1-2-1-4-3-10-2+101-1+30-1-1-1-1-1-2-2-1-1</f>
        <v>119</v>
      </c>
      <c r="L135" s="115">
        <f>12+35+50+11+50+66+16-1-2-3-1-2-1+58-2-2-1-1-1-3-1-4-3-5-5-1-1-1-1-1-7-1-1-2-1-3-3-1-1-1-1-2-8-3-1-1-5-1-1-1-2-2-4-2-1-1-2-5-1-1-5-1-1-1-1-1-1-1-1-1-3-2-1-1-1-1-1-6-1-1-1-1-5-1-1-2-2-5-1-2-1-1-1-2-1-6-10-5-1-7-1-1-1-2-1-1+150-1-2-2-1+1-1-1+50-1-1-1-1-1-1-1-2-1-1-1-1-1-1-2-2-1-4-1</f>
        <v>262</v>
      </c>
      <c r="M135" s="218">
        <f>65+38+18+86+28+46+17+23+70+79-2-3-3+428+7-4-1-2-1-1-1-1-3-3-2-1-1-3-31-7-1-1-1-1-2-1-5-1-14-1-1-4-1-1-7-1-2-6-2-3-1-8-10-4-1-4-2-4-2-12-3-2-1-5-1-1-2-1-2-1-6-1-1-1-1-1-1-1-1-1-1-7-1-1-2-15-2-2-4-3-1-5-2-3-3-1-1-1-1-3-12-1-5-1-1-1-1-1-1-3-5-3-1-1-5-5-1-2-1-2-1-3-3-14-2-18-1-5-1-8-7-3-8-1-1-6-3-2-5-3+15-1-2-1-1-1-5-1-1-1-1-1-1-1-2+49-1-1-1-2-1-1-5-1-2-1-5-3-1-1-1-1-2-1-1-1-1-10-1-1-8-1-1-5-5-1</f>
        <v>467</v>
      </c>
      <c r="N135" s="115">
        <f>70+25+60+60+10+17+5+66+70+30+38-6-1+97-1+2-15-1-1+3-4-1-1-1-5-5-1-4-3-1-1-1-1-31-1-1-5-1-2-2-1-3-1-5+2-4-21-1-3-3-7-1-4-1-4-2-3-1-1-1-5-1-5-1-1-10-2-1-1-2-1-1-1-4-1-1-1-2-1-1-1-4-1-2-1-2-3-1-1-1-2-1-1-3-1-9-1-2-1-7-2-1-2-6-1-1-1-1-1-3-1-5-1-2-1-3-12-1-5-1-1-1-1-1-1-1-5-1-4-1-5-4-5-2-1-1-2-1-1-2-2-8-1-29-1-1-5-7-2-1-1-1-1-1-1-1-3-2-3-3+400-1-4-13-1-1-1-1-2-1-1-1-1-1-1-1-1-1+49-1-3-1-2-8-1-1-1-1-5-2-1-1-2-1-2-3-3-1-1-1-13-2-1-13-1-1-5-5-2-1</f>
        <v>467</v>
      </c>
      <c r="O135" s="115">
        <f>65+50+87+50+40+60+17-6-3+57-2+1-1-4-1-1-1-5-1-1-5-1-1-3-18-7-1-6-2-1-5-8-1-3-8-2-1-4-1-1-1-8-3-2-1-2-1-1-1-1-2-1-5-1-3-7-1-5-2-2-6-1-1-1-1-1-1-1-1-5-1-1-1-5-4-1-3-1-3-1-1-1-3-6-1-1-1-1-1-5-1-1-1-2-5-2-1-1-1-1-1-1-6-1-20-1-1-5-1-1-1-3-1-1-3-1+100-4-1-3-3-1-2-1-1-1-1+51-1-1-1-1-3-1-1-4-1-5-3-1-1-1-1-1-1-3-3-1-5-1-1-1-7-3-1-2-1</f>
        <v>223</v>
      </c>
      <c r="P135" s="115">
        <f>28+30+12+2+44-2+22+1-1-1-1-6-1-2-1-1-1-3-2-2-2-1-5-3-1-5-1-5-4-1-2-1-1-2-2-3-2-1-2-3-1-3-1-1-3-1-1-2-1-1-1-1-5-1-1-1-1-1-1-1-2-1-2-8-13-8-3-2+100-1-1-2-1-1-1+50-1-1-1-1-1-1-1-1-1-2-1-2-1-7-1-3</f>
        <v>117</v>
      </c>
      <c r="Q135" s="115">
        <f>14+18+17-2-1+23-1-3-1-2-1-1-2-3-1-3-3-3-1-2-2-3-1-1-1-1-1-1-1-1-1-1-3-1-3-1-19+50-1-2-1-1-1-1-1-2-2-1-1-1-1-1-4-2-1</f>
        <v>26</v>
      </c>
      <c r="R135" s="115">
        <f>16+13+11-1-3-2-1-1-1-1-1+1-1-1-1-1-3-1-1+15-1-1-1-1-1</f>
        <v>31</v>
      </c>
      <c r="S135" s="190">
        <f>18+8+12-2-1-1-1-3-1-1-6-1+15-1+30-1-2-1</f>
        <v>61</v>
      </c>
      <c r="T135" s="158">
        <f t="shared" si="2"/>
        <v>2786</v>
      </c>
      <c r="W135" s="73"/>
      <c r="X135" s="73"/>
    </row>
    <row r="136" spans="1:26" s="1" customFormat="1" ht="27" customHeight="1">
      <c r="A136" s="233" t="s">
        <v>65</v>
      </c>
      <c r="B136" s="115">
        <f>32+20-1-1-3-2+2-2+40-1+2-2-3-1-1-2-2-1-1-1-1-1-2-1-1-1-15-1-11-1-1-2-1-1-3-2-1-15-1-2-1-7+60-1-1-10-1-3+9-1-1-1-1-2-3-1-1-3-2+3+21-2-1-1-1-3-1-1-1-1-1-2-1-2-1-1-1+10-2-5-1+90-2-1-5-3-1-1-1-1-1-1-1-1-4+9+1-3-2-1-1-1-2-1-16-1+16+14-1</f>
        <v>120</v>
      </c>
      <c r="C136" s="115">
        <f>65+64+5+23+23-1-1-2-1-1-8-1-1-1+3+80-3+2+99-1-1-1+1-3-1-2-3+1-3-5-6-2-1-1-1-1-3-1-1-5-1-1-2-8-1-5-3-1-1-3-1-2-2-25-5-1-4-3-1-1-28-1-2-1-2-3-1-3-1-5-1-1-1-1-5-7-1-2-1-2-2-2-1-1-1-5-2-1-4-1-1-2-2+5-1-1-1-1-2-2+2+24-5-2-1-1-6-1-3-2-1-1-1+28-2-3-3-1+28-1+4-1-3-5-3-1-3-1-1-1-1-1-1-1-1-2-1-2-1-2-1-1-5-1-2-5+57-9-1-1-1-5-3+140-1-1-2-5-1-1-2-1-5-1-11-1-6-1-1-9-1-1-1-2-3-1-3-1-1-1-3-1-1-1-1-3-2+60+166-1+7-1-2-8-1-2-2-1-3-10-4-2-1-1-1-5-1-4-1-26-3-1-1-2-1-12-5-4</f>
        <v>369</v>
      </c>
      <c r="D136" s="115">
        <f>67+1+18+1+5+23+65+59-6-2-1-1-2-6-1+3-1+100-1-2-1+140-1-1-1-2-1+1-1-1-2-1-1-3-1-8-3-5-2-1-4-1-1-3-6-3-3-2-1-1-1-1-1-2-10-1-1-4-1-1-1+1-1-1-2-3-40-2-1-5-8-1-42-3-1-4-1-5-2-20-1+1-2-5-1-1-2-19-1-1-1-3-1-1-2-2-5-1-1-1-1-1-1-1-2-1-1-1-3-4-1-1-1-3-5-3-1-10-1-2-1-1+45-1-2-1-1-3-6-1-1-7-1+6+53-1-1-1-6-2-4-2-1-12-4-3-2-2+72-1+6-1-5-3-10-5-2-4-3-1-1-2-2-2-2-4-1-2-2-1-3-1-3-35-1-1-11-2-1-2+57-6-1-1-2-1-1-2-3-2-10-1-5-1-7+279-1-1-1-1-2-1-10-2-6-1-2-1-1-1-7-1-2-10-1-1-1-1-2-1-4-5-2-1-1-1-1-12-4-1-1-1+131+80-5-1-2-16-1-6-1-2-1-4-5-1-1-1-1-4-60-1-2-4-1-1-1-1-1+82-1-6-6+113-5-2+6-1</f>
        <v>609</v>
      </c>
      <c r="E136" s="115">
        <f>46+5+80+80+65+52-2-2-1-1-8+4-1+100-2-1-1-1-1+140-1-1-1-3-1-5-2-2-5-1-1-10-2-5-2-1-1-1-1-4-2-1-1-2-1-1+3-2-40-1-5-4-1-2-15-2-1-1-1-1-5-5-2-1-23-1-1-1-3-2-1-2-10-1-1-1-1-2-1-1-1-1-2-1-5-1-1-1-5-1-5-1-1-1-1-1-6-3+1-1-2-3-5-2-1-1-2+6-3-3-1-1+41-1-2+12-2-5-2-10-4-1-1-1-1-4-1-1-1-3-1-2-1-1-4-2-1-8-1-3-1-2-1-5-1+58-7-3-2-2+10-2-3-1-2-15-1-1-4+181-1-8-1-1-1-1-1-1-10-1-3-6-2-6-2-10-1-2-2-1-1-1-1-1-3-1-1-1-1-1-6-3-1-1-1-1+24+68+2-1-1-1-2-1-1-9-1-1-1-1-2-3-1-1-2-2-1-2-3-68-1-3-1-4-2+255-1-1+37-3-4+5-2-1-5-5+1</f>
        <v>652</v>
      </c>
      <c r="F136" s="115">
        <f>46+65+22-1-2-2+2-1+80-9-3+2+50-3-1-2-1-6-1-5-1-1-1-1-1-1-4-1-2-1-1-2-1-1-30-1-1-1-1-11-1-1-1-1-5-1-1-2-2-1-11-4-2-1-1-10-1-2-3-1-1-1-1-1-5-1-5-1-4-1-2-1-1+28-3-1-3+3+24-2-5-1-1-1-1-3-1-1+47-2+12-1-5-1-5-1-1-1-5-2-2-3-8-1-2-4-1+26-5-13+110-1-5-15-5-1-1-1-2-1-1-5-1-1-1-6-11-1-2-1-1-1-7-3-2-1+70+43-1+7-1-3-1-1-2-1-4-3-1-1-1-53-5-2-1-4-1+79-1+19-1-1-6-2+2-4</f>
        <v>295</v>
      </c>
      <c r="G136" s="115">
        <f>25+24+5-4-2-1+40-2-2+1+26-1-1-1-3-1-2-1-1+1-1-25-1-1-1-2-1-3-5-1-2-2-2-1-1-2-1-1-2-1-1-2-1-1-1-1-1-3-2-1-1-1+20+1-1-2+32-1-1-1-8+7-1+5-2-5-1-3-1-1-2-1-1+26-1-6+80-1-4-6-1-1-1-4-1-1-1-1-2-1-1-1-1+25+8+2-1-2-1-2-1-1-1-45-2+25-1-1+5-1-1-5-2</f>
        <v>130</v>
      </c>
      <c r="H136" s="115">
        <f>24+12-10+10-15-1-1-1+2+10-1-1-1-1-1-20-5+60-1-1-2-1-1-2+1-1-1-2-2-1+9-1+1-1-10-3-6-1-3-3-2-2-3-1+60-3-1-1-1-1+25-1-2-1-28-2-2-1-1-3-1</f>
        <v>56</v>
      </c>
      <c r="I136" s="115">
        <f>13+3-6+10-1+10-1-1-2-2-5-9-1-1-1-1-1+30-1-1-2-2-1-1-1+10-1-1+10-1-1-1-30-2</f>
        <v>8</v>
      </c>
      <c r="J136" s="139">
        <f>12+21-8+10-1+10-5-1-1-1-1-2-1-1+4+3-1-4-33</f>
        <v>0</v>
      </c>
      <c r="K136" s="217">
        <f>24+21+25-1-1-1+1-6+40-2-1-1-1-2-1-4-2-1-2+1-1-2-20-3-2-2-1-1-1-2-1-2-3-1-5-1-1-2-1-22-1-2-2-1-1+50+50-1+50-1-2-3-1-3-3-3-1+3+20-1-1-1-2-2-2-1-7-1-3-1-1-1-2-1-2-1-2-1-2-1-3-1-1+28-2+2-1-1-1-4-1-1-2-1-1-2-1-1-1-2-1-2-1-1-4-17-1-1-1+29-1-1-1-1-1+21-1</f>
        <v>142</v>
      </c>
      <c r="L136" s="115">
        <f>23+70+25+3+25-5-1-6-2+1+80-2-1-1-4-1+2+110-1-10-1+4+1-1-1-1-12-1-4-3-1-1-2-1-1-1-7-1-2-1-1-5-1-1-5-1-2-2-2-2-1-40-1-6-5-9-1-27-1-1-8-1-7-15-1-3+30-1-2-4-1-2-1-1-1-2-1-22-1-2-2-2-6-1-1-1-1-1-1-1-2-1-2-1-1-1-1-1+30-1-1-1-1-1-1+50-1-40-2-6-2+100-2-3-1-1-4-2+6-7-1+6+80-1-3-1-1-3-1-1-1-1-3+30-3-1-1+20-1-1-5-1-1-10-1-1-1-2-1-2-1-2-1-3-1-9-14-1-1-1-1-1+50-1-3-1-1-4-1-1-1-1+22+97-4-1-1-4-1-1-1+8-1-5-5-1-1-1-6-1-8+2-1-1-3-1-2-1-1-1-1-1-2+6-1+43-1-2-2-2-7-1-1-1-3-1-1+47+57+22-1-2-9-2-1-1-1-1-5-4-1-1-1-1-1-1-1-1-2-9-2-1-2-50-1-1-1-1-1-2-2-1-1+44-6-7-4-2-1-1-1-1+55-5-1+1</f>
        <v>460</v>
      </c>
      <c r="M136" s="115">
        <f>16+70+47+70+35+80+28-4-3-1-8-1-2-3-1-8-1-1+4-1-1-5-1-3+180-1-2-20-6-1-2+1-2+117-1-1-1-5-1-2-15+2-2-8-1-4-11-1-1-2-2-2-1-1-4-2-2-2-10-1-1-10-3-1-1-5-13-1-7-6-2-1-6-1-2-1-10-1+1-3-12-1-1-1-15-1-5-1-1+7-2-1+2-1-5-1-2-1-13-60-8-8-3-1-1-10-12-2-1-1-65-1-1-8-4-2-2-10-1-1-5-20-1-1-2-1-1+181-2-2-1-1-1-1-1-4-1-1-4-1-8-1-1-1-1-2-1-1-1-35-2-2-1-18-1-1-4-1-4-2-2-1-1-3-2-1-1-2-1-1-1-10-1-1-1-3-1-4-1-1-1-1-10-1-1-1-1-1+70-1-1-20-1-1-4-4-2-2-1-1+79-1-91-6-9-1-1-2-2-28-1-6+149-6-3-11-1-1+1-1-3-1-5-3-3-2-7-3-8-1-1-7-10-7+10-1+197-4-4-1-1-9-2-1-4-5-2-2-2-1-1-4-2-2+157-1-1-1-3-10-1-6-1-1-1-3+36-1-2-1-1+7-1-1-2-2-2-2-5-2-13-1-2-2-2-1-3-10-1-1-2-2-2-4-5-1-2-1-10-5-6-1-1-2-1-8-2-9-1-13-4-1+90-6-8-1-2-1-10-1-1-1-1-5-1-1-1-1+201-10-1-1-1-1-7+89-1-1+17-1-1-4-2-5-1-3-16-10-1-1-1-3-4-1-3-2-1-7-1+11-1-3-1-2-1-1-2-3-2-5-5-2-8-3-3-1-1+13-1-1-1-1+75-8-1-1-1-2-4-1-15-1-4-4-1-1-6-2-1-1+152+179-2-5+41-2-1-1-10-1-17-1-1-4-5-5-1-1-2-1-1-1-12-6-3-2-1-1-1-10-1-1-7-1-1-1-8-2-1-62-1-1-1-1-1-2-1-1-2-1+43-3-2-8-2-2-1-2-1+136-5-6+20-1</f>
        <v>967</v>
      </c>
      <c r="N136" s="115">
        <f>25+18+80+14+70+24+70-1+26-6-10-1-1-1-12-1-4+1-1-1-4-1-8+180-3-3-2-6-3-6-2-1+167-1-1-10-1-10-1-6-1+11-2-1-4-1-4-10-3-1-2+1-5-1-4-1-10-1-1-6-1-10-1-13-1-1-6-2-12-2-1-1-10-1-3-11-3-1-3-5-8-3-10-3-1-2-1-1-5-1-3+3-2-1+2-1-3-2-1-1-2-1-4-1-60-2-5-1-4-3-5-10-1-1-1-67-1-2-1-6-1-1-2-2-2-10-1-2-1-10-1-1-20-1-2-1-1-1-1-1-2+179-1-2-1-2-2-1-2-5-2-4-1-1-2-2-10-1-14-1-1-1-1-2-23-1-1-2-2-1-2-2-1-3-1-2-1-5-1-6-1-3-1-1-1-30-1-1-3-1+30-2-1-25-1-1-1-12-1-5-2-74-2-3-1-1-1-5-14-1-1-6+149-1-5-12-5+2-1-1-1-2-2-1-1-2-1-3-10-1-2-10-6-8-1-1-10+6+201-1-3-3-10-1-4-1-2-2-1-1-1-4-2-1+254-1-1-3-3-1-1+46-1-1-1-2-1+6-1-1-3-1-1-1-3-1-5-1-1-5-1-1-1-1-1-3-1-1-1-1-4-1-2-2-2-4-6-1-3-10-4-2-1-1-12-1-11-10-35-13-3-1-2+90-25-9-4-3-1-2-2-20-1-2-2-1-1-2-5-1-4-1-1+117-8-2-1-1-4+85-1-1-1-1-1+19-3-5-1-1-15-1-1-27-10-1-8-2-2-1-7+2+5-5-1-4-1-1-2-1-2-1-1-1-11-1-3-1-2-2-1+16-13-1-1-2-3-3-13-1-2-5-1-2-2-7-1-1-1-1-1-1+231+313-2-1+41-2-1-2-2-1-1-2-1-1-16-1-1-1-3-4-1-4-10-3-1-2-3-1-1-10-7-2-1-8-8-1-63-2-1-1-3-1-1-1-1-2-1-4-2-1+18-1-2-1-13-2-5-1-1-1+103-5-10-6+29</f>
        <v>933</v>
      </c>
      <c r="O136" s="115">
        <f>11+1+25+71-1+35-2-5-8-2-4-1-1+3-1+80-2-2-12-3-6-1+1-2+86-1-1-10-1-9-1+3-1-4-8-5-1-1-1-1-2-1-12-3-10-1-1-4-2-1-2-1-1-1-3-2-3-6-4-1-5-1+2-4-2-1-5-4-1-1-1-5-4+4-2-1-1-1-1-3-2-8-45-2-1-8-5-4-1-1-20-1-2-3-2-8-1-1-5+5-5+120-2-1-3-1-10-3-3-2-2-8-2-2-3-1-3-1-1-2-1-2-2-1-2-1-1-1-1-1-1-1-1-10-1-2-1+70-1-20-1-2-6-6-1-1-1-1-30-6-3-10-1+100-3-9-2-2-2-2-6-10-1-1-1-3-4-1-6-3-6-1-1-1-5-10+6+80-4-3-4-2-2-1-5-6+92-1-1-3-5-1-4+49-3-1-1+8-1-6-1-1-5-1-2-1-3-4-1-1-1-2-3-4-1-2-2-20-4-1-1-1-2-3-2-6-2-12-4-1-1+50-40-2-1-4-12-1-1-1-1-1-1-5-1-1-1+59-3-1-1-1+95-1+16-1-2-9-1-1-1-1-1+2-1-1-2-1-2-3-1-3-1-1-1-1-4-1-1-1-1-1-1-3-13-7-1-1-1-3-5-2-1+116+142-4+24-1-1-1-2-1-1-2-13-1-5-5-1-1-3-1-1-3-1-7-1-1-1-5-6-1-6-40-1-1-1-1-2-2-1+5-24-1-3-1+88-2-5-1-1-1-1+27</f>
        <v>423</v>
      </c>
      <c r="P136" s="115">
        <f>0+66-1-1-2-2+1+19-3+30-2-2-3-1+51-2-4-7+5-1-3-1-1-10-1-1-1-1-3-1-1-1-2-5-2-2-1-1-5-1-1-2-2-2-30-4-4-1-10-1-2-1-5-1-5-1-1-1-1-1-2-2+28-1-1-1-4-2-1-1-2-1-1-1-2-2-6-1-2-3-2-1-1-1-1-1-1-1-1+50-1-1-1-2-8-2-1-1-5-1-1+50-5+1-2-2-1-10-1-1-2-1-4-2-2+2+80-1-2-2-1-1-1+35-1-1-3-2+13-1+3-2-2-5-1-1-1-2-1-1-20-3-1-2-4-2-1-3-2-1-1-1-1-7-1-1+77-1+27-1-3-1-2-2+6-1-2-2-2-1-4-6-3-3-1-1+60+17-1-5-1-1-1-1-2-1-1-1-1-1-4-5-15-1-2-1-7-1-1+38-2+12</f>
        <v>242</v>
      </c>
      <c r="Q136" s="115">
        <f>0+19-1+40-1-2+1+26-1-1-3+4-2-2-2-3-1-1-1-1-1-1-2-1-20-2-1-1-2-3-3-1-1-1-2-1-2-5-6-1-2-1-1-1-1-5+20-1-1-1-1-1-1-3+25-1-4-1+40-1-3+14-2-2+8-1+1-2-4-5-1-1-2-1-1-1-2-1-1-1-1-3-2-3-3-5-2+59-2-3+15-1-2-1-1-1+1-1-2-2-1-1-1-2-1+20-2+2-1-2-1-1-1-1-4-2-1-3-1-31-1-1-6-2-1+43+6</f>
        <v>104</v>
      </c>
      <c r="R136" s="115">
        <f>0+12-1-1+20-1-1-1-1-1-1-2-10-2-1-1-6-1-1+20-1-1+21-1-1-1-2-1-2+10+1-1+8+2-1-1-1-1-9-1-3</f>
        <v>34</v>
      </c>
      <c r="S136" s="190">
        <f>0+33-1-2-1-1-10-2-1-1-1-1+20+20-1-1-1-1-1+23+46+5+4-2+16+44+15-1-20-1-3</f>
        <v>173</v>
      </c>
      <c r="T136" s="158">
        <f t="shared" si="2"/>
        <v>5717</v>
      </c>
      <c r="V136" s="19"/>
      <c r="X136" s="19"/>
      <c r="Z136" s="19"/>
    </row>
    <row r="137" spans="1:26" s="1" customFormat="1" ht="28.5" customHeight="1">
      <c r="A137" s="233" t="s">
        <v>66</v>
      </c>
      <c r="B137" s="115">
        <f>0+2-1-1+11-1-2+50-1-15-1-6-1-1-1-2-2-1-5-1-2-1-1-4-13+118-3-1-5-1-3-1-2-1-1-1-1-3-1-1-1-1-1-1-1-2-1-2-2-1</f>
        <v>80</v>
      </c>
      <c r="C137" s="115">
        <f>14+17+59+73-1-2-3-2-1-1-2-1-1-9-1-1-2-1-4-1-6-2-2-2-1-2-1-1-1-5-1-1-2-25-2-3-1-9-2-1-4-1+21-5-1-1-1+4-1-1-7-1-2-1+71-1-1-1-1-1-1-1-1-4-1-1-4-1-1-1-2-1-3-2-1-1-1-1+100-2-4-1-1-8-1-14-2-1-3-2-1-1-4-3-1-3-1-2-1-1-1-2-4-1-1-1-1-1-1-2-3-2-2-1-1-2-2-2-2-1-1-1-1-3-1-1-1-2-1-4-5-1-1+50-2-3-4-1-1</f>
        <v>123</v>
      </c>
      <c r="D137" s="115">
        <f>50+10+132-7-3-2-1-1-1-1-3-1-1-1-1-1-3-1-1-21-2-1-1-1-1-2-1-1-1-2+1-1-1-1-2-11-1-3-2-1-1-5-1-1-4-1-1-1-1-1-2-40-4-3-8-1-3-7-1+108+1-5-2-1+31-1-19-1+1-1-2-1-1-2-1-1-1-1-1+19-1-8-2-1-1-2-1-4-2-1-1-1-1-1-1-1-1-3-1-3-1-3-1-2-1-1-1+200-2-2-1-5-1-1-5-2-8-4-2-1-7-1-1-1-1-3-1-1-1-1-1-2-1-3-3-4-1-1-1-8-2-1-3-2-7-1-2-1-2-4-1-2-1-1-2-1-1-1-2-1-1-1-3-2-1-1-1-2-1-1-2-1-2-1-1-1-2-5-1-1-1-2-5-1-1</f>
        <v>137</v>
      </c>
      <c r="E137" s="115">
        <f>25+20+153-2-5-3-4-1-1-1-2-1-1-5-2-2-1-1-24-1-1-1-1-1-1-1-2+1-1-4-13-2-8-1-1-2-1-1-2-2-1-2+2-1-2-40-2-4-1-1-1-2-15-1-1+85+4-1-5-1-4-5+51-12-1-1-23-1-1-2-1-1-1-1-1-1-1-1-4-1-1-2-4-1-1+2-2-1-1-7-1-1-1-1-1-1-1+219-2-1-1-5-1-1-1-3-4-1-7-1-5-1-2-3-1-1-1-1-1-1-1-1-3-1-1-2-1-4-4-1-1-1-3-1-2-1-2-1-2-1-1-2-2-1-7-1-1-1-1-1-1-10-4-3-2-1-1-2-2-5-1-1-5-5-3</f>
        <v>145</v>
      </c>
      <c r="F137" s="115">
        <f>3-3+94-2-1-15-12-1+35-1-5-1-1-2-2+15-1-2-11-1-1-2-1-1-1-1-1-7-1-5-1-1-1-1-1-3-1-1-1-1-1-1+100-2-2-1-2-1-5-1-1-1-2-3-1-1-2-1-1-14-1-2-3-1-1-1-1-3-4-2-1-1-1-1-1-2-1-1-3-1-1-5-2-2-1-1-1-1-1-5-2-1-2-3-1-2-1-1-1-2-2-1-5-1-1+50-1-5-4</f>
        <v>72</v>
      </c>
      <c r="G137" s="115">
        <f>20+20-2-1-2-1-1-6-1-1-1-1-1-2-1-3-1-2-1-1-3-2-1-2-1-1-1+31-3-1-3-1-4+19-1-2-1-1-1-1-4-2-2-1-1-1-1-3-1-1+50-2-5-1-2-2-22-1-1-1-1-3-3-1-4-1-1-1-2-1-2-1-1-1-4+50-1</f>
        <v>49</v>
      </c>
      <c r="H137" s="115">
        <f>20+1-2-1-1-1-1-1-1-2-1-1-1-1-1-2-1-1-2+2-2+19-1-3-1-2+6-1-5-1-1-1+10-1-3-1-1-1+1-1-1-1+30-1-1-2-3-1-1-1-17-1-1-2-2-5-2+50-1-1</f>
        <v>48</v>
      </c>
      <c r="I137" s="115">
        <f>0+24-1-1-2-1-1-5-9-2-2+31-4-1-1-1-1-1-1-1-2-1-1-4-1-1-1</f>
        <v>9</v>
      </c>
      <c r="J137" s="139">
        <f>10+18-1-1-1-5-2-2-1-2-1-1-1-1+1-1-2+29-1-1-1-2-1-1-4</f>
        <v>25</v>
      </c>
      <c r="K137" s="217">
        <f>11+19+29-1-4-1-1-1-3-1-1-1-1-1-3-1-2-20-2-2-1-2-1-1-8+35-2-1-1+50-1-1-1-1-1-1-1-3-1-5+50-1-1-3-1-2-1-1-1-2-1-1-1-2-1-4-1-2-3-1-3-2-1-1-2-1-3-1-1-3-3-1</f>
        <v>63</v>
      </c>
      <c r="L137" s="115">
        <f>1+35+10+55+9+97+9-4-3-1-1-1-4-1-1-4-1-9-1-2-7-10-1-2-1-1-8-3-1-3-1-1-1-1-1-2-1-1-1-1-5-5-1-1-1-7-40-1-9-1-1-6-11-1-1-1+50+1-1-1-1-5-4-17-1-1-5-1-22-3-2-2-1-1-1-1+50-1-1-1-1-1-2-2-2-7-5-4-1-2-1-5-8+7-1-3-1-1-2-1-1-7-1-3-1-1-1-1-10+221-1-5-1-3-1-2-1-1-4-1-1-1-1-1-3-2-1-1-1-1-2-1-1-1-1-2-1-2-5-1-2-1-2-1-1-1-6-1-2-1-2-1-1-1-1-1-1-2-1-1-1-7-1-1-1-1-1-1-1-3-1-2-1-1-2-2-1-5-1-3-4-1-1-1-5-5-1</f>
        <v>88</v>
      </c>
      <c r="M137" s="115">
        <f>18+70+70+22+103+43+59+48-4-16-1-2-4-1-2-6-1-6-1-2-1-2-4-46-1-1-1-1-3-1-1-3-15-10-1-2-1-1-1-1-1-5-1-13-1-2-1-18-1-1-3-2-5-1-1-5-1-1-1-1-1-15-1-1-3+2-1-1-1-7-60-3-6-12-1-3-1-1-7-2-33-1-3-1-2-1-2+149-1-1-4-7-1-1-2-1-3-4+2-1-1-2-1-1-10-2-35-1-2-1-1-1-3-1+100-1-1-1-1-1-5-1-1-1-5-1-5-2-1-1-3-5-5-1-1-4-1+5-5-2-3-3-1-1-1-2-3-1-1-3-1-5-2-6-1-1-3-1-5-2-1-1-5-1-1-2-1-2+200-1-3-1-1+200-4-3-3-3-1-1-2-6-2-1-5-1-2-2-1-2-1-1-1-1-1-1-1-2-1-1-3-2-1-7-2-1-2-1-7-1-1-1-2-3-2-1-1-6-1-3-4-1-1-1-6-2-1-1-2-1-1-4-2-2-1-3-1-1-1-1-2-6-1-3-1-4-1-1-1-3-1-1-1-1-1-2-2-5-4-2-2-22-1-1-1-2-5-6-6</f>
        <v>280</v>
      </c>
      <c r="N137" s="115">
        <f>27+79+50+26+15+36+78+29+39+100-4-31-1-14-1-1-2-1-6-3-2-6-7-1-1-4-4-110-1-2-2-1-1-1-1-1-15-10-1-2-1-2-1-1-14-1-64-1-1-3-5-1-1-2-1-1-1-1-1-1-1-1-5-5-1-10+2-1-3-1-7-60-1-3-10-1-1-10-5-1-2-2-1-8+248-1-28-2-1-5-3-4-5+2-1-1-1-2-10-1-14-1-2-2-2-2-1-1-1-1-7-1-1+51-5-2-1-1-2-1-1-6-3-1-1-1-7-5-1-1-5-5-1-1-3-4-1-2-1-1-1-1+1-1+7-2-5-2-3-1-1-3-1-7-2-2-1-1-1-1-1-1-5-1-5-1-1-1-10-1-5-1-2-1-2+399-1-1-4-1-4-9-2-1-1-1-11-3-1-1-1-1-7-1-1-1-2-3-4-1-1-1-4-2-1-2-9-1-10-5-1-6-1-1-6-1-1-8-5-2-1-1-1-1-1-1-7-1-3-1-2-1-3-2-1-12-4-3-1-1-2-4-9-1-1-2-4-4-8-1-1-1-1-5-1-2-1-1-1-4-1-1-1-1-1-1-1-4-1-4-2-3-1-1-1-2-2-1-1-2-2-2-10-3-1-1-7-25-1+45-1-2-1-5-6-4-1</f>
        <v>178</v>
      </c>
      <c r="O137" s="115">
        <f>20+3+31+45+59+85-4-18-1-10-2-4-4-2-2-4-7-1-1-1-1-2-4-48-1-2-6-2-1-8-3-1-2-16-1-21-3-3-1-1-1-1-1-1-1-1-3-1-4-1-5-1-1-1-1-8-1-2-4-2-5-7-2+94-6-1-1-5-3-1-4+7-1-5-1-8-3-2-2-2-1-2+49-1-1-5-1-2-1-1-3-1-1-1-3-5-1-1-1-5-5-1-1-4-2-1+3-1-1-5-1-3-1-1-1-1-3-1-1-1-1-1-3-1-1-1-6-1-1-2-5-1-1-5-1-1-1-1-2+170-3-4-12-5-1-44-2-2-1-1-1-1-1-1-1-1-1-1-1-8-1-2-1-4-5-1-2-3-1-2-3-1-1-9-1-2-2-1-1-8-1-1-1-3-2-5-3-1-1-2-1-1-1-1-3+95-2-10-11-1-1-5-2-1-1-1</f>
        <v>60</v>
      </c>
      <c r="P137" s="115">
        <f>2+30+40+52-3-4-1-1-1-2-1-4-1-1-3-13-1-1-1-1-1-1-1-1-12-1-3-3-1-1-1-3-1-1+1-5-30-1-3-1-5-7-3+44+3-1-1-1-3-1-2-4+3-1-5-3-1-1-1-2-2-4-1-1+70-1-1-2-3-1-4-1-1-1-1-2-7-1-1-4-1-1-2-1-1-1-1-1-1-2-2-5-1-1-1+50-2-1-4-1-2-2-1-7-1-1-1-3-2-2-1-1-1-7-2-2-1-1-1-1-2-1-1-1-1-1-6-1-1-1-2-2-1-1-3-1-1-3-3-1+15-1-1-1</f>
        <v>12</v>
      </c>
      <c r="Q137" s="115">
        <f>36+20+8-2-1-2-1-5-1-1-3-1-1-3-20-1-1-1-1-1-3-7-1-1-1-1-2-2+35-2-1-1-1-1-1-1-2-1-1-1-1-2-1-3-1+49-1-1-17-2-1-1-3-1-1-1-1-1-2-1-1-3-1-1-2-2-2-1-1-2-2-1-1-1-1-1-1+15-1-3</f>
        <v>16</v>
      </c>
      <c r="R137" s="115">
        <f>16+8-1-1-1-3-10-2-2-1-1+15-1-1-1-1-1-1+25-1-1-2-1-1-1-1-1-1-1-1</f>
        <v>24</v>
      </c>
      <c r="S137" s="190">
        <f>20+25-1-10-1-2-2-1-2-2-1-1-1-1-1+25-1-1-1-1-1-1</f>
        <v>38</v>
      </c>
      <c r="T137" s="158">
        <f>SUM(B137:S137)</f>
        <v>1447</v>
      </c>
      <c r="V137" s="19"/>
      <c r="X137" s="19"/>
      <c r="Z137" s="19"/>
    </row>
    <row r="138" spans="1:26" s="1" customFormat="1" ht="30" customHeight="1">
      <c r="A138" s="233" t="s">
        <v>16</v>
      </c>
      <c r="B138" s="115">
        <f>30+39+53-6-1-1-1+110-2-3-22-1-2-3-1-1-1-1-1-5-1-9-1-1-1-1-1-2-1-3-1+1-15-1-1-3-3-8-1-1-1-5-6-2-5-15-15-15-2-1-5-6-1-1-1-1-5-2-10-1-1+1-1-2-1-1-1-1-1+22-1-1-1+3-1-2-1-1-5-1-1+60-1-1-3-2-1-2-1-1-2-1-1-1-1-2-1-4-1-1-1-1-1-6-3-1-4-5-6+21-1-1-2-7-2-3-6-1-1-1-2-1-1-1-1-1-1-1-1-1-1+60-5-1-2-2-1-1-1-2-2-2-4-1-2-5-5-1-4-1-2-1-1-2-3-6-2-1-1-2-3-2-1-1-1-1-1-1+30-4-1-2-1-2-1-1-1-1-1-2-1-1-4-2-1-2-4+30-1-1-4-1-1-2-3-1-1-7-1-1+50-1-1-2</f>
        <v>53</v>
      </c>
      <c r="C138" s="115">
        <f>69+91+80+2-8-1-1-1-1-2-1+1-4-1-1-1+197-1-2-1-1+2-2+1-2-1-7-2-2-2-60-1-1-20-3-5-1-4-2-1-2-1-1-1-1-6-1-2-2-2-2-1-1-1-1-1-2-1-1-2-4-10-1-1+5-1-1-1+1-3-1-2-2-1-1-5-1-1-2-3-3-1-1-5-2-1-1-1-3-10-1-1-1-2-1+2-1-1-1-3-4-1-1-3-2-1-1-1-1-1-5-25-1-1-2-1-1-1-25-2-6-1-15-1-10-2-5-12-2-10-14-1-3-1+97-1-2-2-2-9-20-8-1-1-1-1-2-1-1-15-6-3-1-1-2-1-2-1-2-1+119-6-1-1-1-1-2-11-1+2-1-2-8-1-15-1+90-5-1-2-3-5-1-1-3-1-1-1-1+2-1-2-2-1-4-1-1-1-1-1-4-1-2-2-5-1-3-1-1-4-2-1-2-1-1-1+50-2-1-25-2-1-1-1-1-10-1+4-2-1-1-1-1-2-8-1-1-1-1-2-2-5-5-13-1-8-5-1+41-1-1-2-1-1-4-1-4-3-2-1-2-5-16-50-2-1-3-7-1-1-1-1-1-1-1-1-1-3+70-1-2-2-10-10-1-1-1-2-1-1-1-2-3-1-2+9-1-1-2-2-1-1-2+171-1-1-1-4-26-2-1-3-1-1-1-1-1-1-8-1-2-1-2-2-5-1-1-1-10-10-1-1-1-1-2-1-2-1-1-11-1-5-2-2-2-2-2-1-2-1-5-1-1-1-1-3-2-1-1-1-2-10-1-1-1-1-1-1-1-1-3-1-5-3-2-2-1-2-6-1-4-1+159-1-1-1-1-2-3-2-1-10-1-5-1-1-1-3-1-1-2-2-2-4-2-1-1-1-3-1-4-7-1-1-5-2-6-1-5-2+150-1-1-1-1-1-1-6-1-2-3-1-1-8-1-1-3-1-2-1-1-11-1-1+102-1-1-1-1-1-1-2-1-1-1-4-3-7-1</f>
        <v>245</v>
      </c>
      <c r="D138" s="115">
        <f>54+1+115+221-6-1-2-2-1-1-5-1+3+1+1-1-15+1-2-3-5-1+136-1-1+60-2-1-3-1+110+4+1-1-1-1-9-1-2-1-92-1-1-1-2-20-4-4-2-1-1-1-5-1-2-1-3-1-10-2-1-1-1-3-1-2-1-1-5-3-1-1-1-1-10-2-1+1-1-1-1-2-2+1-1-1-5-3-1-3-5-2-1-10-2-2-2-1-1-3-1-3-1-1-1-15-1-1-1-1-2-4-1+5-4-7-1-1-5-1-1-1-1-1-3-5-6-1-1-5-1-40-1-1-2-1-2-1-40-1-4-10-1-1-15-2-1-5-2-2-5-15-1-2-1-5-5-3-1-3+2-3-8-5-20-1-5-1-3-5-1-1-4-1-2-1-15-6-2-2-1-2-1-1-1-1-1-1-10-1-1-1-1+189-1+1-2-2-7-2-1+20-2-2-16-1-2-3-1-1-1-5-5-1+20-5-2-1-1-2-1-1-4-1-1-1-2-1-1-2-3-2-2-1-1-2-5-4-1-1-5-1-1-1-1-5-4-2-1-2-2-4-3-1-8-2-3+100+163-1-2-1-44-1-1-4-1-1-2-1-5-1+4-1-1-1-1-1-1-5-2-3-1-1-4-1-1-1-2-2-2-1-3-1-1-1-1-5-5-8-6-10-1-1-1-2-1-3-1-1-1-1-2-1-1-1-2-2-2-3-60-1-6-4-3-1-1-1-2-3-1-1-1-1-1-18-2-1-1-1-3-2-3-3-1-1-2-15-1-1+200-6-2-1-10+2-1-3-1-1-1-5-2-2+5-5-4-4-1-1-7-1+3+174-2-1-1-7-2-21-2-1-1-1-2-1-1-6-3-1-1-6-3-2-2-1-3-1-1-2-1-15-1-10-10-1-1-1-3-4-3-1-1-2-1-1-1-2-1-9-1-1-5-1-2-1-1-1-1-2-1-1-1-2-5-1-1-6-1-1-1-1-1-1-4-10-3-1-3-3-10-2-6-3-1-1-8-1-1-2-2-2-2-1-2-1-1-12-1-1-1-2-5-1-1-1-1-1-1-2-1-1-1-1-1-1+120-2-3-1-1-1-2-2-3-5-5-6-1-2-1-1-2-2-1-1-2-1-1-3-1-1-9-2-1-1-1-1-20-4-10-1-1-5-2+219-1-2-2-1-11-1-3-8-1-5-2-6-1-1-1-2-2-6-1-1-1-2-1-1-20-1-2-2-2-2-1+101-1-6-1-1-1-1-6-1-1-4-7-1-7-3-1-5-1-2-4-17</f>
        <v>289</v>
      </c>
      <c r="E138" s="115">
        <f>49+4+51+136-10-1-3-1-1-2+1+1+1-1-2-1-1-1-5-1-2-2+136+30-1-1-1+33+2-1-1+1-8-1-1-1-1-106-1-3-10-1-3-5+1-5-1-2-2-1-3-1-2-1-10-1-2-6-4-1-1-1-1-2-2-1-1-1-1-1-2-10-1-2-1+2-1-1-1-1+1-1-1+1-1-1-4-1+130-1-5-1-15-1-1-5-2-1-15-1-1-1-3-1+20-1-1-14-1-1-2-1-1-1-1-2-12-1-3-1-5-2-40-1-1-2-1-40-1-15-1-1-6-15-5-5-19-7-2-3+99-2-4-3-1-11-1-20-1-5-1-1-1-2-1-2-1-3-2-15-4-1-1-1-1-1-1-1-1-1-1+229-3-1-2-3-1-2+5-1-2-2-10-1-2-1-1-1-1-3-3+20-1-1-1-4-1+1-1-1-3-1-1-1-2-2-1-3-1-1-1-2-5-1-6-3-1-2-1-1-3-1-1-1-8-1-1+100-6-1-34-1-1-1-1-2-1+3-2+162-1-1-2-1-2-2-1-5-1-1-1-3-2-5-4-6-7-1-1-1-1-1-1-3-1-3-1-2-1-1-50+57-2-6-7-1-1-1-1-3-1-7-1-1-3-1-3-2-1-1-1-5-1-5-1-2-12-1-1+55+5-2-3-10-2-2-3+3-1-1-1-1-1-2+13-4-4-1-4+163-2-3-1-1-2-1-3-1-14-2-2-2-2-1-1-3-4-2-2-1-1-1-15-1-1-10-15-1-1-1-2-1-2-2-1-2-1-1-7-1-2-2-1-1-2-2-3-2-3-1-1-1-1-5-1-1-1-5-3-1-3-2-1-2-2-1-1-4-1-1-1-1-1-1-1-1-1-1-1-5-1-1-1-1+40-3-6-1-2-5-2-1-1-1-6-1-2-1-1-3-2-2-1-1-1-1-4-1-1-1-1-2-4-2-2-1-2-7-1-1-2+150-2-1-9-3-1-5-1-1-1-2-5-4-1-1-1-1-1-1-8-1-1-1-1-1-1-24+101-1-1-2-2-5-4-1-5-1-11-1-11-2-2-1-1-5-2-16-1</f>
        <v>379</v>
      </c>
      <c r="F138" s="115">
        <f>50+38+2+95-1-10-1-2-1-1-2-2-2+12-1+60-1-1+70+3-2-1-10-1-72-10-1-1-2-10-1-1-1-2-2-1-1-1-1-1-1-1-10-3-4-1-1-2-1-2-2-1-1-10+2-1-1-1-1+1-1-1-1-1-1-1-2-2-1-1-5-3-1-1-15-1-1-1+1-4-1-2-8-1-3-5-20-2-1-20-2-13-1-4-15-1+98-1-1-3-15-5-1-1-5-1-4-3-1-1-1-1-1-1-1-2+91-1-2-1-6-1-1+9-1-2-2-1-1-1-1-3-1-1-1-1-1-3-1+2-1-10-3-1-2-2-1-1-5-1-2-3-3-1-5-5-1-1-1-2-1-1-8-1-1-1-23-2-1-1-1-1-1+5-1+103-1-1-2-1-2-1-1-2-1-1-2-5-5-1-1-1-1-1-1-2-2-1-2-50-2-3-1-1-1-1-1-1-3-1-1-1-1-3+129-1-6-6-1-1-10-2-1-1-2+140-3-3-25-1-2-1-1-5-1-2-1-1-1-10-1-6-1-2-1-2-1-1-1-1-2-1-2-3-1-4-1+2+77-2-1-1-1-1-1-19-2-1-1-1-1-3-5-2-2-1-3-15-10-1-1-3-4-1-1-1-4-1-2-6-2-1-1-2-1-2-1-1-2-6-1-3-1-4-1-1-3-2-2-1-1-1-1-1-1-1-1-2-1-1-1-1-3-1-4-4+30-1-1-1-1-1-2-1-5-2-1-1-5-1-1-1-1-1-1-1-2-2-1-5-50-5-2-4-4-4-10-2+96-1-5-2-10-9-1-1-2-1-5-7-2-8-1-1-1-1-4-8-1-1+51-4-2-4-7-2-1-5-1-1-1-1-4-1-1-5</f>
        <v>35</v>
      </c>
      <c r="G138" s="115">
        <f>19+16+1+29-5-1-1-1-7+14+30-1-1-6-5-70-1-1-6-1+10-1-1-3-5-2+1-1+84-2-1-3-1-1-1-10-1+16-3-1-1-1-1-10-1-3-10-9-1-15-1-5-15-2-1+10-1-5-1-1-1-1+53-1-1-3+7-2-1-1+30-1-1-2-1-1-1-1-5-2-1-4-1-2-1-1-1-1-1-2-3-9-1-1-1-1-1-2-1-1-2-1-5-2-3+41-1-1-1-1-1-1-1-2-2-15-2-2-6-1-2+30-6-5-1-5-1-2-2+52+7-2-2-2-2-5-2-1-1-1+2-2-2+38-1-3-6-2-2-1-3-3-10-5-1-3-1-1-1-2-1-1-5-1-2-1-1-2-5-1-3-1-3-1-1-2-1-1-2-15-1-2-1-2-3+40-1-2-1-1-2-1-3-1-3-1-8-2-3-1+49-1-6-1-1-1-8+21-1-1-1-1-1-2-2-3</f>
        <v>50</v>
      </c>
      <c r="H138" s="115">
        <f>15+10+11-3-1+5+20-1-1+6+4-3-52-1-2-1-1-3-2+30-2-1-3-4-3-2-1-2-1-1-1-1-2+1-3-1-1+48-2-1-1+2-5-2-5-6-1-15-1-1-7-5+2-1-1+19-4-2+5-1-1-1+20-1-1-1-1-1-1-1-5-2-3-1-4-1-1-1-1-1-1-1-1-3-2+39-1-3-2-2-5-5-2-1-1-5-2-5-5+18-2-1+20-1-1-5-1-2-3+2-1-3-1-2-2-5-1-1-1-1-1-1-1-2-1+30-1-1-2-1-3-1-1-1-1-1-1-3+30-2-4-1-3-2-5+21-1-2-1-1-2-1</f>
        <v>39</v>
      </c>
      <c r="I138" s="115">
        <f>5+10+22-1-1-1-34+25-1-2-1-3-1-1-1-1-1-5-1-2-3-1-1+3-3+39+1-1-5-5-1-1-1-1+30-4-1-2-3-3-2-1-1-1-1-1-2-1-2-1-8-1-2-2-1-2-1-4-2</f>
        <v>6</v>
      </c>
      <c r="J138" s="139">
        <f>0+31-20-8-1-1+25-1-1-1-1-1-5-5-6-1-4+7-1-3-1-1-1+16+4-1-1-1-1-1-1+30-2-1-2-2-3+20-1-1-1-2-1-1-1-9</f>
        <v>37</v>
      </c>
      <c r="K138" s="217">
        <f>0+81-4-1-2-1-1+12-2-1-2-2-8-1-1-1-1-2+30+1-1-4-3-1-22-1-1-1-3-1-1-5-1-3-2-1-1-1-1-3-5-1-1-6+1-1-2-1-4-5-1-1-1+50-2-2-1-5-10-1-10-1-4-15-2-1-1+13-5-4+6-2-1-1-4-1-5+1-1+34-1-1-1-5+16-15-1-3-2-1-2-1-12-2-1-1-1+74-8-1-1-1-1-1-1-1-1-2-1-2-4-1-2-1-1-6-1-5-2-1-1-1-1-1-8-1-2-4-1+47-3-5-1-3-5-2-1-2-1-3-3-1-2-2-1-1-1-2-2-2-1+40-2-1-1-1-5-1-1-2-1-1-2-12-2-1-6-3-7-1-2+29-5-1-1-1-2-2-1-3-6-1-1-4-1+66-3-2-2-3-3-2-2-1-4-1-8-1-1-10-2-2+4-1-4-1-3-1-2-1-1-2-2+49-1-1-1-2-3-1-15-1-1-1-1-13-1-1-3-1-7+47</f>
        <v>47</v>
      </c>
      <c r="L138" s="115">
        <f>72+22+75-2-4-1-10-3-1-1-5-1-2-1-5-1+1+103+21-1-1-8-1-1-1-18-1+10-1-1-2+124+4-3-1-1-2+1-1-2-1-4-3-2-5-1-2-62-1-1-5-1-2-2-2-1-1-1-4-3-1-10-1-1-1-1-3-1-8-1-4-2-1-2-1-15-3-1-1+1-2-1-2-3-10-1-1-3+1-1-3-1-2-1-1-1-1-4-1-1-1-10-2-2-4-1-1-3+120-1-1-1-1-1-5-1-1-1-1-1-1-1-4-1-2-1-2-1-9-5-40-1-2-10-1-40-3-2-2-1-1-3-5-15-1-1-5-2-2+86-3-5-6+41-2-14-12-5-2-1+29-1-10-1-1+1-1-1-2-7-1-5-1-20-6-1-8-6-3-1-20-10-10-10-1-1-4-1-2-1-1-1-2-1-1-5-1+76-1-2-1-1-1-2-1-1-2-5-1-1+23-6-4-1-1-5-2+1-2-1-1-5-1-8-5-1-13-1-2-1-1-3-1-1-3-1-1-1-1-1-2-1-2-2-2-1-1+140-1-1-1+100-1-1-1-1-3-1-3+10-1-1-1-2-2-24-5-1-4-1-1-3-3-1-1-2-1-5-2-3-3-10-1-1-5-1-1-21-1-1-1-1-1-1-2-1-1+3-8-1-1-1-1-1-1-3-2-4-1-1-2-1-1-1-1-1-3-3-2-3-3-1-1-10-4-1-1-1-20-12-5-1-3-1-1-1-4-1-1-1-4-1-2-1-1-1-1-2-1-7-5-1+18-6-7-1-2-1-1-1+10-1-1-3-1-1-3+79-1-1-3-1-1-2-7-2-15-4-2-4-3-1-1-1-3-25-2+199-2-1-1-2-1-2-1-2-1-2-4-1-2-1-1-10+5-1-1-2-5-1+5-2-1-1-1-1-7-2-1-20-1-2-5-6-1-1-1-1-1-1-1-1-1-5-1-3-1-1-3-5-3-10-10-3-10-1-5-1-1-2-1-2-1-1-1-3-1-1-3-3-1-15-8+56-2-6-1-4-2-1-4-2-3-1-1-3-1-4-7-1-2-2-3-1-2-1-1-1+248-2-3-1-1-3-1-2-1-9-10-2-1-4-2-6-1-2-1-3-3-2-1-1-1-4-1-1-12-3-3-7-11-1-1-20-5-1+2-1-1-3-4-4-3-1-1-2-1-1-2-1-2-1-3-4-2-1-1-1+150-2-2-1-1-3-1-22-1-1-2-1-2-1-1-1-2-1-4-1-1-1-2-2-13-1-1-2-1-1-10-6-4-2-2-1-1-3-1-1-1-2-20-5-1-39-9+70-1-1</f>
        <v>112</v>
      </c>
      <c r="M138" s="115">
        <f>76+60+70+70+70+23+139-2-1-3-12-1-1-3-10-5-6-1-3-5-1-2-2-1+8+1+108+44-1-1-15-1-2-4-4-1-1-1-3-1-12-1-1-6-1+25-2-1-1-5-1-2-1-1-1-1-7-4-1-2-1-1-2+150+3-2-15-1-2-1-2-1-2-1-2-2-1-2-120-10-1-1-25-4-4-10-3-1-2-1-1-1-1-3-1-11-1-8-1-1-1-5-3-5-1-1-1-1-1-1-1-3-19-3-2-1-3-1-2-2-1-30-8-1-2-2-1-2-2-2-5-1-1-1-1-2-4-2-2-8-3-2-1-1-20-1-1+16-2-2-1-1-1-1+1-8-2-1-3-1-4-1-2-4-1-1-2-1-2-13-2-1-1-2-1-1-1-1-1-20-1-9-1-5-15-2-2-2-1-1-12-1-10-1-1-15-5-1-3+260+4-1-1-2-2-1-1-1-7-10-2-1-1-4-1-1-1-2-1-4-1-3-3-10-3-7-1-1-1-1-5-2-2-2-1-60-1-7-7-10-1-1-1-1-1-1-1-1-60-1-1-6-1-5-1-1-8-1-16-1-3-1-2-3-1-2-10-1-2+152-1-2-2-2-1-1-5-1-13+119-1-1-15-7-1-10-1-1-5-3+52-1-1-15-5-3-4-2-1-4+3-1-1+2-8-6-1-1-8-4-20-9-10-3-1-1-1-1-1-1-20-1-1-1-1-1-1-1-20-1-20-1-1-1-4-1-4-2-1-1-1-2-2-1-4-4-1-2-9-1-1-1-1-4-5-1-1-1+89-1-1-1-1-1-4-1-1-1-1-1-2-1-1-2-5-1+140-2-2-4-1-2-2-1-2-1-1-2-3+1-3-4-1-6-3-2-1-5-1-1-1-4-2-3-1-3-1-2-10-1-3-3-1-1-13-2-3-4-1-1-1-1-4-1-1-1-5-2-1-10-1-1-1-7-1-2-1-1+150-1-2-1-1-1-1-4-2-1-1-1-1-2-2-4-1-2+101-2-4-3-2-2-1-1-8-1-2-1-8-13+7-1-1-10-3-4-2-2-2-3-1-5-1-10-7-1-2-2-3-3-8-10-1-1-2-1-2+31+12+120-1-1-1-9-1-2-1-106-1-1-1-1-6-1-2-1-1-2-7-2-3-15-2-4+4-1+1-1-1-4-2-1-2-1-3-3-1-1-15-8-7-2-1-1-1-1-11-1-1-1-2-5-5-1-1-4-2-1-1-4-1-20-4-1-2-2-1-1-2-20-7-15-1-1-1-1-3-2-5-1-1-1-2-1-1-16-1-2-2-1-1-1-1-2-1-5-3-5-1-4-1-2-4+46-1-2-1-1-1-12-20-1-6-1+7-4-3+65-5-7-11-1-1-1-1-2-2-2-5-2-5-1-5-1-2-2-1-8+254-2-1-50-2-1-1-5-1-25-1-2-1-5-1-5-1-2-2-2-1-2+87+300-3-3-1-2-1-1-1-2+2+68-5-2-1-4-6-1-17-1-1-3-1+2+68+1-2-10-1-6-2-9-1-2-1-1-6-2-1-2-1-4-52-2-1-20-14-1-1-1-1-3-1-1-1-1-1-1-8-8-11-2-1-1-1-2-1-2-5-2-2-1-15-3-5-15-3-20-1-4-1-1-1-3-1-1-1-1-3-2-2-3-2-7-3-1-1-1-1-2-1-1-1-11-1-5-1-1-1-1-15-5-3-1-2-1-1-2-4-1-1-1-6-1-6-1-2-2-1-1-1-2-5-1-10-1-7-2-2-18-1-1-1-11-1-1-1-1-10-1-1-1-1-2-2-1-1-2-1-1-1-5-2-1-1-1-5-1-1-3-8-1-2-1-2-1-1-1-1-10-1-2-1-6-1-1-3-3-7-3-1-2-10-5-1-1-1-1-2-2-2-10-3-5-4-1-1-1-3-1-2-1+280-1-2-1-5-1-1-2-1-7-2-1-1-2-1-2-1-4-1-2-1-1-4-4-2-4-3-1-2-1-11-1-1-1+122-2-20-2-1-15-1-9-1-2-1-1-12-1-2-15-1-1-1-3-1-6-15-1-2-1-1-1-1+348+348-1-1-1-1-5-7-12-1-1-1-2-1-12-1-1-10-1-2-2-3-1+2-1-1-1-1-1-1-1-9-8-1-3-4-15-1-1-1-3-1-2-1-2-1-1-5-26-1-1+100-1-1-1-4-6-4-1-1-1-2-1-2-2-1-3-23-4-1-1-1-1-1-3-2-1-9-1-4-4-4-1-2-2-2-26-2-1-1-15-1-1-8-3-1-1-2-17-2-17-4-1-20-6-26-3-27+43-1</f>
        <v>603</v>
      </c>
      <c r="N138" s="115">
        <f>70+55+107-1-1-6-10-3-1-1-1-1-1-6-2-1-1-5-1+4+105+126-1-1-1-2-3-1-1-9-1-3-18-1-7-1+41-2-1-2-4-1-2-1-1+29-1-1+248-8-15-10-1-2-1-1-2-4-2-1-1-1-1-15-8-92-15-1-1-15-1-1-6-1+1-1-2-1-3-1-4-1-7-1-1-1-2-1-1-5-2-1-1-1-2-1-1-30-3-3-1-1-3-1-5-1-1-35-1-1-10-2-2-5-1+1-5-4-1-6-10-1-15-3-2-2-1-1+1-2-1-1-2-3+1-2-1-2-1-1-1-1-1-3-1-1-4-2-1-7-3-4-1-4-1-1-20-1-20-2-1-3-1-5-1-15-2-1-15-1-5-10-1-10-1-4-2+253+2-1-2-3-1-4-1-9-1-1-1-5-1-2-1+2-4-6-1-1-2-1-2-2-6-1-32-1-2-4-3-1-5-1-1-50-1-1-1-7-5-10-2-2-1-1-6-3-50-1--1-3-6-1-1-1-8-15-2-1-1-6-1-2-10-1-3+99-1+5-1-2-5-14+164-11-1-12-17-12-1-4+101-3-2-1-15-1-1-2-3+4-4-1-6-1-1-1-12-5-20-12-10-1-7-3-1-1-2-1-20-1-2-1-20-1-1-2-1-1-1-1-1-1-2-5-1-1-1-4-5-1-3-13-1-1-1-1-1-1-2-7-1-1-1+80-1-3-2-1-1-5-1-3-1-1-1-1-2-3-1-2-1-10-2-3-1+150-10-1-2-1+1-2-1-1-7-2-2-3-6-10-1-1-1-1-1-4-25-1-10-4-2-1-2-1-6-2-2-1-4-4-1-5-1-4-4-1-1-1-1-1-1-1-1-1-1-4-2-1-1-1-1-1-1-1-2-3-1-2+120-2-3-2-1-5-1-3-1-2-4-2-2-1-1-10+130-1-4-2-3-14-1-1-1-3-5-2-1-1-1-26-5+24-2-10-2-1-6-1-3-1-3-1-1-1-5-10-7-1-3-3-8-24-1-5-1+60+16+99-2-1-6-12-4-1-152-1-10-2-3-1-1-1-1-1-11-3-3-10-1-7-1+2+4+1-1-1+1+2-1-2-4-4-1-1-1-20-1-2-2-4-29-11-6-2-5-1-1-1-1-10-1-1-1-3-1-1-1-4-20-2+8-8+85-1-1-4-1-1-1-2-2-1-1-4-3-4-1-6-1-1-2-1-1-7-1-6-30-2+10-1-1-3-1-4+181-1-2-2-9-3-1-3-15-1-4-2-3-2-10-3-2-1-7-1-30-12-3-1-1-1-1-1-3-1-2-1-1-1-2-1-1-1-4-20-19-1-1+150+244-1-1-1-1-1-1-2-1-3-5-2-1-2-3-1-8-1-1-2-2-1+8-6-2-2-2-4-6-1-10-1+1+241-3-12-1-1-2-1-2-2-1-1-6-1-1-2-1-1-1-1-11-2-3-1-3-1-60-2-5-3-8-2-6-1-1-1-1-4-15-1-3-1-4-1-1-4-1-1-3-2-5-1-1-1-15-1-3-15-10-1-3-2-1-3-1-3-1-1-3-3-6-2-1-1-1-1-1-1-1-10-6-1-1-1-1-2-15-1-5-1-2-1-3-1-1-1-3-1-1-1-2-1-4-1-2-3-3-1-1-3-10-4-1-2-15-1-1-10-1-5-1-1-2-1-1-1-1-1-1-1-1-10-7-1-1-1-1-1-5-1-7-1-6-1-1-2-2-1-1-1-8-1-2-1-1-4-1-5-1-2-8-1-1-1-1-1-1-1-1-1-2-8-1-2-1-7-10-3-2-1-1-1-1-2-2-2-5-1+9-5-4+349-2-1-1-3-5+23-2-1-1-2-4-2-2-3-1-4-2-2-1-2-20-10-1-1-2-1+369-7-4-1-1-1-2-20-2-7-1-2-12-1-1-2-1-3-4-10-14-1-1-7-1-1+4-1-1-11-12-2-1-2-1-2-1-1-10-1-15-1-1-1-2-2-1+3-1-5-12-1-5-1-1-1-1-2-6-4+103-1-6-1-2-1-1-2-1-2-1-2-1-32-3-2-1-1-4-1-2-2-1-1-2-8-1-1-2-2-26-3-1-1-1-15-1-1-13-1-1-1-4-2-10-3-1-10-5-1-4-20-6-26-4-26+1-1</f>
        <v>285</v>
      </c>
      <c r="O138" s="115">
        <f>0+49-2-1-6-1-1-1-10-3-6-3-2-5-1-1-2-1+3+108+16-1-15-1-1-1-1-5-7-1-2-8-7+54-1-1-1-1-1-1+30-1-1-1+1-1+200+2-9-15+1-1-6-3-1-1-1-15-1-6-68-15-1-1-13-6-1-1-1-2-1-1-1-1-1-2-2-4-2-1-2-3-1-2-12-4-1-1-1-1-20-1-1-2-1-4-1-2-1-12-4-4-20-1-2-1+1-1-2-2-1-1-1-1-1-2-1-1-1-1-6-1-1-10-6-6-1-1-1-10-11+3-1-2+188+2-1-1+1-2-1-3-1+3-1-1-6-3-3-1-1-1-2-4-1-8-2-1-5-10-30-1-2-4-10-1-2-2-30-1-1-3-1-1-1-12-1-15-1-1-1-5-2-1-1-2-1-2+114-15-7-7-2-1-2+82-1-1-10-2-1-1+2-3-1-1-5-1-1-16-1-15-1-5-8-5-1-15-1-1-1-1-1-20-1-2-2-1-2-1-1-1-1-3-4-3-3-1-4-2-1-1+63-1-1-1-2-10-1-1-1-1-1-5-10-1-2-3+36-11-2-3-6+1-2-3-10-1-1-6-1-4-1-12-2-1-3+70-2-8-2-1-1-1-1-2-3-3-1-5-2+149-2-2-1-1-1-1-1-4-4-1-5-1-13-4-1-1-1-1-1-1-1-3-1-1-3-3-2-16-1-1-2-1+25-1-1-2-8-3-1-95-1-1-3-2-1-8-1-1-1+5-2-3+45-1-1-1-1-3-10-1-2-5-1-19+5-2-2-1+2-2+121-1-2-1-1-5-1-15-5-1-5-7-2-7-6-3-1-1-6-1-2-1-1-1-1-2-9-4-2-9-1-1-2-2-1-4-1-1-2-1-1-1+2+66-8-11-3-5-7-8-2-2+1+176-6-1-1-2-4-1-1-2-1-6-1-45-1-1-2-3-15-6-1-1-1-1-1-1-2-5-33-3-1-2-1-1-1-1-15-2-1-1-1-2-9-1-1-1-2-1-2-5+121+251-72-10-1-3-3-1-4-10-3-5-5-2-1-5-1-25-2-10-1-1-2-1-1-1-8-3-2-1-5-3-7-1-1-2-3-1-2-1-1-15-20-40-1-1-1-1-3+29-3-15-7-1-2-10-1-3-7-3-20-3-10-1-3-1-1-1-1-7-1-1-6+8+24-3-10-1-1-3-14+100-2-1-1-1-1-1-1-3-12-2-1-1-2-3-4-2-3-1-2-1-4-4-3-2-1-2-26-1-1-11</f>
        <v>0</v>
      </c>
      <c r="P138" s="115">
        <f>0+50-4-1-2-1-1-1-1-1+1-3-2-1-3-4-1+69-3-1+30-2-1-1+80-1-8-1-1-5-1-40-10-1-1-2-5-1-2-1-4-2-2-2-3-5-1-2-1-2-6-1-1-1-77-3-3+2-1-1+1-1+61-7-1-2-3-4-1-1-2-10-1+1-1-5-2-2-2+81-1+2-5-4-1+1-3-1-1-2-3-2-15-1-1-5-1-15-1-10-1-4-1-5-1-7-1-2-3+113-1-15-5-5-1+40-2-1-1-1+1-3-3-10-1-5-2-1-2-1-10-1-1-1-1-1-1-1-1-1-3-5-1-8-1-6-1-6-2-2-5-1-1-4-1-1-5-1-1-1-1-1-1-2-2-1-2-1-1-1-1-1-3-2-1-1-1-1+50-1-1-1-1+61-1-4-3-1-1-1-1-1-1-5-3-1-1-1-16+10-1-1-1-41-1-1-2-2-1-15-8-1-1+18-1-1-1-10-3-1-1+70-2-5-1-1-1-2-15-2-1-2-1-2-1-1-2-5-5-1-1-5-1-1-1-8-1-2+1+80-4-5-1-2-3-1-2-1-1-30-2-1-4-1-1-1-1-8-5-1-2-4+8+180-10-1-1-1-2-1-3-2-2-1-8-1-1-1-2-1-1-1-3-3-1-1-2-2-3-5-40-1-1-2-2-1+42-1-10-3-5-1-2-1-1-2-1-2-1-1-2-1-1-10-3-1-15-7-2-1-6-6-2-2-2-1-2-2-1+20-4-1-1-2-3-1-1-2-13-6-7-1-2-1</f>
        <v>0</v>
      </c>
      <c r="Q138" s="115">
        <f>0-1-1+2+25-1-3+9-1-1+30-1+1-1-5-1-1-5-20-5-1-1-5-1-1-1-1-1-1-1-2-4+83-1-3-2+1-1-1-1-2-2-1-1-6-2-2-1-3-2-5-1-1+3-1-3-1+78+2-1-3-1+1-1-1-1-20-1-1-5-20-1-2-4-1-2-6-3-1-7-5-2-1-1-1-1-1+15-1-1-1-1+5-4-5-2-3-1-1-1-3-2-1-1-1-1-1-4-1-1-1-1-11-1+12-1-4-1-1-1-1-1-1-1+12+5+49-1-1-10-3-1-1-1-1-1-2-3-1-1-6-1-1-5-3-2-1-1-2-1-5+18-2-1-1-1-1-1-1-1-7-7-2-1-1-1-1+39-1+1-1-2-1+1+47-3-1-1-1-1-1-6-2-2-1-1-2-1-5-3-6-1-1-2-2-5-1-1-2-1-1-1-1-10-5-1-1-1-1-2-1-2-1-1-1+1+70-2-1-3-1-1-1+29-1-1-2-1-1-1-2-6-2-3-2-2+19-2-2-2-1-1-14-1-1-1-13-7-2-1-1-1-5</f>
        <v>31</v>
      </c>
      <c r="R138" s="115">
        <f>0+10-1+5-1-1+1-1-10-1-1+1-1+22+3-5-3-5-1-1-1-1-2-5-1+5-1-1-1-1+19-1-1-1-2-2-1-1-1+20-2+10+14+5-1-1-1-1-1-1-3-1-1-1-1-3-2-1+10-1-2-6-1-1-1-1-1-1-1-1-1-1-1-1+30-1-1-1-2-1-2-8-3-1-3-1-2-1-1</f>
        <v>29</v>
      </c>
      <c r="S138" s="190">
        <f>0-1+1-1+1+7-1-1-1-1+5-1-2-1+35-2-1-1-1-1-1-1-2-1-1-1-1-1-5-3-5-4-1-6+33-33+20-1-5-1-1-2-1-1-1+10+16+4-3-3-1+10-1-1-1-8-1-1-1-1-1-1-1-1-1-1+10+30-1-1+51-1-2-1</f>
        <v>104</v>
      </c>
      <c r="T138" s="158">
        <f t="shared" si="2"/>
        <v>2344</v>
      </c>
      <c r="V138" s="19"/>
      <c r="X138" s="19"/>
      <c r="Z138" s="19"/>
    </row>
    <row r="139" spans="1:26" s="1" customFormat="1" ht="27.75" customHeight="1">
      <c r="A139" s="233" t="s">
        <v>67</v>
      </c>
      <c r="B139" s="115">
        <f>14+19-1+20-1-1-1-3-3-1-2-1-10-1-2-1-1-1-1-1-4-5-1-1-1-3-1-1-1-1+70-1-1-2+3-2-2+23+5-1-1-6-2-1-1-5-1-1-1-3-1-3-1-1-1-6-10-1-3-2-1-1+29-1-1-12-1-7-2+15-2</f>
        <v>59</v>
      </c>
      <c r="C139" s="115">
        <f>1+21+53+7-3-1-1-3+80-1-1+25-1-1-6-1-8-1-2-1-2-4-3-1-1-1-1-3-1-3-1-3-2-2-20-1-1-4-17-1-1-1-2-1-2-2-1-4-6-11-1-1-1-1-1-1-1+95-1-4-2-2-5-1-2-3-3-4-1-5-2-3-1-5+2-1-3-1-6-3-1-1-2-1-2-1-3-2-1-2-10-3-1-1-1-1-10-1-1-2-1-2-10-1-2-12-9-1+140-3+1-7-2-3-1-1+60-4-1-1-1-1-1-20-1-1-3-11-1-2-1-1-8-3-7-3</f>
        <v>113</v>
      </c>
      <c r="D139" s="115">
        <f>2+68+53+23-2-1-1-7+80-1+1+48+1-2-13-1-1-3-1-1-1-4-2-1-1-2-5-1-2+1-1-10-1-2-2-1-2-5+1-2-2-30-1-4-2-2+2-13-3-1-1-3-4-1-3-3-1-8-1-1-1-1-7-1-1-1-1-1-3-1+94-1-1-1-3-1-1-2+4-2-1-1-3-1-5-3+28+12-1-1-1-1-1-3-3-2-1-1-1-1-1-1-1-1-5-1-2-2-4-3-10-1-2-4-1-3-2-12-3-2-1-1-2-1-2-2-3+15-2-1-1-2-1-1-1-5-15-9-1-1-1-4+200-6-1-1-1+1-1-1-1-1-1-1-2-1-1-5-3-1-2-1-32-1-1-1-1-1-1-1-1-20-2-2-1-5-1-1-1-4</f>
        <v>184</v>
      </c>
      <c r="E139" s="115">
        <f>17+1+38+65+35+72-1-5+79-3-1+1+50-22-1-1-1-5-1-1-5-1-1-10-1-2+3-1-2-1-30-2-6-2-9-2-1-1-20-2-1-1-1-1-3-1-2-1-1-1-1+10-2-1-1-1-5-4+19-1-9-2-10-1-3-1-1-1+2-1-1-5-1-1-2-2-1-3-10-1-1-2-1-2-4-2-2-1-12-3-1-2-1-1-1-1-1-2+120-1-1-1-1-2-2-1-1-1-3-2-1-1-1-1+88-2-1-1+1-1-9-1-1-1-1-1-2-1-1-3-1-1-5-41-1-1-1-1-1-3-24-4-1-9-4-1</f>
        <v>190</v>
      </c>
      <c r="F139" s="115">
        <f>18+20+1+41-1-1-1+40-1+25-6-12-1-1-2-1-2-1-10-12-1-3-1-1-1-2-20-1-1-3-1-2-1-1-25-1-1-1-1-1-1-1-1-1+70-1-1-1-1+2-2-1-5-3+22-4-1-1-3+1-4-5-1-2-1-5-2-3-1-12-2-1-1-1-1-1-1-1-1-1-1-4-2-1-1-3+89+1-7-1-1-1-3+15-1-1-1-2-2-1-1-18-2-1-1-1-8-6-22+15-1</f>
        <v>70</v>
      </c>
      <c r="G139" s="115">
        <f>0+38-2-2+20-1-3-2+1+1-1-2-3-3-15-1-1-2-1-1-1-1-1-1+30-1-1-3-1-1-3+12-2-1-1-1+1-5-1-1-1-2-1-11-3-2-3+15-1-1-2-2-1+50-1-1-1-1-1-1-1-1-1-1-17-1-8-1-3+30</f>
        <v>62</v>
      </c>
      <c r="H139" s="115">
        <f>20+9-2-1+20-4-1-1-1-2-10-3-1-1-1-1-1-6-1-2-1+27-1-1-1+1-3-1-2-2-3-1-10-2-1-1-1-1-1+20-1-1-9-14+30</f>
        <v>30</v>
      </c>
      <c r="I139" s="115">
        <f>3+1+10+1+20-1-3-1-1-3-1-1-1-1-1+11-1-1-2-1-1-1-4</f>
        <v>21</v>
      </c>
      <c r="J139" s="139">
        <f>12+11+25-3-1-1-1-1-9</f>
        <v>32</v>
      </c>
      <c r="K139" s="217">
        <f>5+20+40-1-4-1+9-1-1-1-4-1-3-2-1-1-1-1-1-1-1-1-1-15-1-1-12-3-1-1-2-1-2+80-1-1-1-2-1+19-1-8-2-1-3+16+13-1-2+35-1+2-1-7-1-3-2-1-2-3-2-1-1-1-2-2-1-1-4-1-1-1-1-1-1-1-3-11-1-1-1-3-15-1-1-2-13-2-1-1+15</f>
        <v>64</v>
      </c>
      <c r="L139" s="115">
        <f>60+30+35-1-1-1-1-2+69-1-10-1-1-1+57-15-1+3-6-1-1-1-4-1-1-2-3-1-1-4-10-1-3-3-1-1-1-2-1-1-1-1-1-1-1-4-35-1-1-5-11-2-8-1-1-7-1-3-1-1-3-1-1-1-7-2-5-1+110-5-2-1-1-1-1-2-3-2-1-2-1-1-1-1-2-1-1-1-1-3-1-1-1-5-1-2+29-3-1-1-2-2-1-3-1-1+13-1-1-2-1-2-1-1-3-2+120-1-2+3-1-1-1-1-1-1-1-14-3-1-1-2-2-1-1-2-3-3-1-1-1-1-1-2-1-3-15-1-1-5-1-1-1-1-1-1-1-2-3-5-1-1-1-5-2-2-5-10-1-1-1-6-2-8-8-1-9-1-1-1-1-2-1+36-6-1-2-1-1+14-2-3-1-2-3-2-5-1-4-1-6+79-1-2-1-1-1-2-1-4-1-25-2-1-1-1-5-1-2-2-1-1-24-1-1-4-2-6-2-2-13-2-2-1+60-5</f>
        <v>124</v>
      </c>
      <c r="M139" s="115">
        <f>66+6+77+48-1-1-1-2-1-3-1-1-1+138-1-4-15-1-1-1-6+120-8-1-1-3-1-1-1-3-5-1-1-3-1-1-1-2-1-1-1-2-1+1-1-3-6-10-1-1-2-4+1-4-1-1-1-1-10-2-1-2-1-14-1-1-6-1-1-1-2-1-3-1-1+1-4-1-1-4-2-50-1-4-4-2-4-2-3-1-1-1-3-35+2-1-9-10-1-1-1-1-3-1-3-1-9-1-10-1+1-1-4-1-2-2-1-1-1-1-1-1-1-2-14-1-2-1+218-3-1-1-1-1-2-1-1-1-1-1-2-1-1-10-2+30-1-1-1-8-1-1-1-1-2-1-3-2-1-1-2-1-5-2-1-1-1-10-2-1-1-4-9-6-1-1-12+2-5-1-1-1-2+70-6-1-2-2-2-2-8-4-1+18-9+11-2-10-3-2-2-2-2-1-3-5-2-4-1+231-1-2+1-1-2-2-2-2-1-3-1-1-2-2-2-51-9-1-10-1-2-1-1-2-4-2-3-4-1-2-2-1-2-1-1-4-3-3-1-16-14-2-1-1-1-1-4-1-11-1-1-1-2-1-1-4-1-1-1-1-1-4-1-1-1-3-1-1-1-1-4-1-5-1-4-1-10-5-1-3-1-2-1-1-8-3-27-27-17-1-1-4-1-1-1-3-3-1-1+74-7-4-2-1-3-1+16-1-3-1-1-1-1-1-4-1-3-4-2-1-2-1-1-1-2-3-1-2-15+159-18-1-1-1-10-1-1-2-5-3-1-2-2-1-10-47-1-12-9-3-1-3-10-8-3-1-1-8-1-1-6-3-24-1-1-1-2-3-1-1-1-15-2-2-26-5-10-1-5-1-2-1-2+100</f>
        <v>100</v>
      </c>
      <c r="N139" s="115">
        <f>76+36-1-2-1-1-1-1-5-1+100+100-1-1-1-1-2-23-1-1-3-1-1-6+1+117+2-6-11-10-1-1-8-6-3-6-2-6-1-10-2-1-1-1-1-4-5+1-1-1-1-1-1-1-1-1-1-2-6-1+3-1-1-1-4-50-6-2-2-6-2-1-4-5-5-1-1-1-26-1-7-8-10-1-2-1-2-2-1-2-1-10-1-1-1-10-1-20-1-1-1-2-2-1-7-1-5-1-3-3-2-1-15-1-2-1-1+300-1-3-1-3-2-7-1-1-1-1-2-1-3-1-1-1-1-1-1-2-1-1-4-1-1-1-2-1-1-1-1-1-1-5-1-5-1-1-1-1-7-1-3-2-6-1-1-1-8+2-1+5-3-5-1+83-6-1-1-1-1-1-1-1-4-1-3-5+10-3-3-1-3+5-1-1-1-3-1-11-1-3-3-1-3-3-1-2-1-7-1+229-11-1-1-2+2-1-1-3-1-2-1-2-4-4-1-1-1-2-1-1-2-3-1-1-1-43-10-10-1-2-1-3-2-4-2-2-4-6-4-7-1-3-2-1-18-7-10-1-1-1-1-1-3-2-1-2-5-2-5-7-1-1-2-1-1-1-1-4-1-2-1-2-1-1-1-2-3-5-1-1-10-5-1-1-1-3-6-2-13-13-11-1-1-1-3-1-4-1+80-8-2-1-2-2-1-1-1+10-1-18-2-1-1-3-2-2-1-2-1-2-3-2-1-1-1-1-2-7+160-12-1-1-1-1-1-2-4-1-8-1-3-1-1-1-1-1-1-4-5-55-1-7-9-1-3-1-5-2-1-4-1-8-1-1-1-1-32-2-1-1-2-1-1-4-21-2-2-26-1-12-3-4-2+100-10-6</f>
        <v>131</v>
      </c>
      <c r="O139" s="115">
        <f>0+37-2-1-1+1+3+140-3-1-6-6-1-2-1-3-6+29+1-1-5-6-1-10-1-1-1-2-2-1-1-2-1-8-5-1-1-1-1-5-1-1-1-2-2-1-4-35-1-1-1-5-2-2-2-12-6-8-1-1-2-1-4-1-1-3-1-3-4-1-1-1-1-1-5-1-1+150-5-2-5-2-2-1-1-1-1-1-3-2-1-1-7+30-1-1-1-1-1-3-1-1-1-2-5-1-1-1-1-5-1-1-8-1-3-1-3-1+1-1-1-2-1-3+30-7-3-1-1-4-1+11+6-1-1-1-6-3-1-3-3-3-1-1-1+120-5+2-1-1-1-4-1-1-1-2-5-1-1-1-6-3-17-6-10-2-3-3-1-1-4-2-2-3-1-4-1-3-1-4-1-1-1-9-7-3-2-1-1-1-2-2-5-2-1-1-1-3-1-1-1-1-3-3-1-1-3-4-1-1-1-5-1-5-2-1-3-1-6-8-8-4-1-1-1-4+64-1-9-2-1-2-1-3-1-4+21-10-1-2-2-1-1-2-2-1-1-1-4+80-6-1-1-1-1-1-2-3-3-2-1-5-19-2-10-4-1-3-3-1-1-1-1-12-8-1-1-5-13+21-21+100</f>
        <v>100</v>
      </c>
      <c r="P139" s="115">
        <f>6+27-4-1+50-4+1-1-4+30-2-1-5-1-1-1-1-1-2-1-1-3-2-1+2-1-1-1-2-25-4-2-1-1-1-1-5-2-1-1-3+50-3-2-2-1-1-2-1-2+20-1-2-1-1-1-1-1-1-2-1-1-2-3+9-2-1-1-4-2+5+1-1-2-1-2-1-1-1-1-1-1-2+1-1-5-1-5-1-1-2-2-1-1-1+50-2-2-2-2-1-1-1-3-1-1-1-1-1-1-1-1-1-1-1-2-5-1-2-1-1-1-3-1-1-3-1-1+44-7-1-2-2-2-1-2+13-1-3-1-1-1-2-1-1+15-1-1-1-6-4-1-1-1-1-1-6-4-1-1-1-2-5-13-5-2-2-2+16-5-2</f>
        <v>29</v>
      </c>
      <c r="Q139" s="115">
        <f>0+16-1-3-1-1+25-2+3-2+28+2-1-2-1-2-1-1-3-15-1-2-2-2-3-3-1-1-1-3-2-1-1-1+19-1-1-1-1-1-1+7-2-2-1-1+6+2-1-1-2-1-1-1-3-3-2+35-5-4-1-1-1-1-1-1-1-1-2-2-1-1-1+14-3+4-1-6-5-3-1-3-1-1-1-2-1-2-9-2-2-1-2-4+29-1</f>
        <v>28</v>
      </c>
      <c r="R139" s="115">
        <f>6+19-1-2-1-2+1-1-1-3-5-2-1-1-1-1-1-1+20-1-1-1-1+1+5-1+7-1+3-1+20-5-1-1-2-2-1+15-1-1-3-1-1-1-1-3-2-13-2</f>
        <v>25</v>
      </c>
      <c r="S139" s="190">
        <f>0+25+10-1-2+1-5-1-1-1-1-1-1-1+3+6+5-1+20-4-1-1+3+30-2</f>
        <v>79</v>
      </c>
      <c r="T139" s="158">
        <f t="shared" si="2"/>
        <v>1441</v>
      </c>
      <c r="V139" s="19"/>
      <c r="X139" s="19"/>
      <c r="Z139" s="19"/>
    </row>
    <row r="140" spans="1:26" s="1" customFormat="1" ht="25.5" customHeight="1">
      <c r="A140" s="233" t="s">
        <v>68</v>
      </c>
      <c r="B140" s="115">
        <f>0+23-1-2-3-1-1-2-1-1-1-3-1-1-2-1-1-1+24+1-1-1-1-1-1-1-1-1-2-1-1-1-1-1-1-2+95-1-1-2-1-1-1+50-6-2-1-1-1-15-1-2-3-3-2-1-1-2</f>
        <v>104</v>
      </c>
      <c r="C140" s="115">
        <f>10+5+48+48-2-1-1-1-1-8-1-2-2-3-1-1-1-2-2-1-2-20-2-1-1-10-1-1-2-1-5-1+49-2+2-1-1-1-1-1-1-1-1-2-1-1-1-2-1-1-2-13-1-1-1-2-1-1-3-3-5-1-1-1-5-1-1-1-1-2-5-1-2-1-1+204-1-1-1-3-1-1-1-1-1-1+75+60-1-8-1-2-1-8-1-3-2-1-1-1-2-1-15-1-1-2-4-1-3-1-3-1-3</f>
        <v>268</v>
      </c>
      <c r="D140" s="115">
        <f>48+80+19+86-1-1-2-1-1-13-1-1-2-1-1-1-1-1-1-2-2-1-2-1-2+1-2-30-3-1-2-1-1-2-2+44+6-2-2-2-2-1-1-1-1-1-1-1-14-1-1-1-1-2-1-1-1-2-1-1-1-15-1-2+150-1-1-3-1-2-1-1-1-1-3-3-1-1-1-10-1-2-1-1-5-1-2-1-2-10-1-3-2-2-12-1+80-1-1-2-5-2-2-1-1-1-2-2-1-1-1+80+150-1-1-1-1-11-5-5-1-2-1-2-12-1-3-1-1+5-1-2-1-6-3-2-1-2-3-1-2-1-5-4</f>
        <v>421</v>
      </c>
      <c r="E140" s="115">
        <f>48+19+55+141-2-22-1-2-2-2-1-1-1-2-1-1-1+3-2-30-1-3-1+23+1-2-1-1-1-1-1-1-1-1-1-1-1-1-1-1-1-1-1-1-22-2-1-3-2-2-1-1-3-1-1-1-1-10-2-5-1-1-4-2-3-4-5-2-1-1-11+200-1-1-1-2-3-6-3-1-1-1-1+90+150-2-2-1-7-2-3-1-6-1-1-1-1-2-1-8-3-1-1-3-1-1-1</f>
        <v>470</v>
      </c>
      <c r="F140" s="115">
        <f>40+10+48+27-1-10-12-2-2-1-1-2-1-2-20-1-1-1+24-1+1-1-1-1-1-1-2-1-1-1-1-2-10-1-1-1-1-1-2-1-3-4-10-1-1-2-2-4-1-2-2-10+98-1-6-1+75+60-1-1-3-7-1-3-1-3-10-1-1-1-1-1</f>
        <v>209</v>
      </c>
      <c r="G140" s="115">
        <f>20+9+18+10-1-3-1-1-3-1-1-1-2-1-15-1-1-1-1-1-1-1-1-1-1-4-10-2-1+80-1-1-1-1-1-1-2+24+29-2-1-1+1-2-2</f>
        <v>118</v>
      </c>
      <c r="H140" s="115">
        <f>8+10+5+10-4-3-2-2-2-1-10-1-1-2-1-1-1-1-1+1-1+50-2-1-1-1+48-1-5-3-3-1-1-15-1-1+2-2-2-1-2-1</f>
        <v>56</v>
      </c>
      <c r="I140" s="115">
        <f>0+20-2-1-4-3-1-1-1-1-1+1-3-1+25-1+9-1-2+1-1</f>
        <v>32</v>
      </c>
      <c r="J140" s="139">
        <f>5+15-1-3-1-1-3+25-1</f>
        <v>35</v>
      </c>
      <c r="K140" s="217">
        <f>80+101+23-1-2-3-1-1-1-15-1-3-1-1-1-2-1-1-1-1-10-2-2-2-1-1-3-1-1-1-5-1+1-1-4-3-2-3</f>
        <v>125</v>
      </c>
      <c r="L140" s="115">
        <f>81+70+57+1+27-3-1-1-2-1-1-1-10-1-1-1-1-1-1-1-4-35-1+34-1-2-1-3+43+2-1-1-1-1-1-2-1-1-2-1-1-1-5-1-2-1-1-2-3-1-1+2-2+29-1-1-3-3-1-2-1-1-4-5-6-5-1-1-2-1-1-1-1-1-26-1-4-1+70-5-10-1-2-1-1-5-1+95-1-1+58-4-4-1-2+1-1-3-5-1-2-1-1-1+1+1-1-5+3-1-1-2-6-8-2-2-1-1-7-2-1-1-1-1-2-1</f>
        <v>294</v>
      </c>
      <c r="M140" s="115">
        <f>80+87+36+80+80+80+55-1-4-4-3-1-1-3-1-1-1-1-1-1-3-2-5+1-2-1-1+1-6-2-1-1-1-10-1-2-3-1-2-1-2+1-1-4-50-1-3-13-3-1+80-1-1-1-1-1-2-2-2+79-5+3-1-2-1-1-3-4-1-1-1-1-1-2-1-1-1-1-1-1-3-1-3-1-1-1-1-1-1-1-1-2-5-1-1-3-1-3-3-1-1-1-1-1-1-1-1-2-1-1+3-2+30-1-10-1-9-1-1-1-3-3-1-4-3-3-10-2-1-1-3-10-1-1-10-1-4-1-2-12-1-3-2-1-2-19-1-1-1-1-1+149-3-3-1-1-1-1-2-10-1-1-2-2-1-1+164-3-1-1-1+90-5-3-5-3-1-4-35-1+147-1-4-1-4-3+3-1-1-1-2+34-1-1-1-1-4-13-3-5-4-1-1-2-10-1-2-1-1-2-5-2-1</f>
        <v>742</v>
      </c>
      <c r="N140" s="115">
        <f>32+70+29+50+70+70+70+94-1-1-4-3-2-1-1+1-1-3-1-2-11-4-5-2-1-4-1-41-1-10-4-1-1-6+3-1-2-1-2-4-50-1-1-1-1-1+18-1-6-1-1-5-1-1+178-6-2+4-2-1-1-1-1-1-1-2-1-1-2-1-1-1-5-1-7-1-1-2-1-1-2-1-1-1-1-1-1-2-1-3-3-1-1-2-1-1-1-3-1-1+1+3-1+40-1-2-1-1-2-3-2-1-10-1-1-3-1-1-3-3-2-2-1-1-10-3-1-1-3-7-10-10-1-1-3-2-12-2-3-6-14-1-6+149-1-1-10-1-2-8-1-1-1-1-2-1-1-3-4-1-1+172-3-1-1-1+31-6-2-2-2-3-35-3+189-3-1-5-1-1-1+18+2-1-1-1-1-1-1-6-1+22-1-1-5-1-4-1-20-2-1-20-5-2-1-1-1-1-17-2-15-2-1-11-1-1-1-5-1</f>
        <v>663</v>
      </c>
      <c r="O140" s="115">
        <f>61+40+69+86-4-2-1-1-1-2-1-1-6-10-5-1-2-2-1-5-12-1-1-1-3-1-4-35-1-2-1-1-5-1-1-3-1-1+77-1-1-2+3-1-1-1-1-1-1-2-1-1-1-4-1-1-2-1-1-1-1-1-1-1-3-1-1-1-1-2+3-1+60-4-1-1-4-1-2-3-1-2-4-2-1-10-1-2-6-1-1-10-1-2-2-2-12-1-2-12-1-3+70-1-2-1-2-1-4-4-1+111-1-1-1-2+9-1-1-1-2-1-45+43-3-7-2+8-1-1-1-2-1+10-2-1-1-1-1-4-26-10-1-3-4-1-1-8-2-15-5-8-1</f>
        <v>210</v>
      </c>
      <c r="P140" s="115">
        <f>33+30+44-1-3-2-1-3-1+1-1-3-1-1-3-1-1+1-1-2-25-1-5-2-1+48-3+2-1-4-1-2-1-2-1-1-1-3-1-1-1+40-3-1-2-1-1-1-2-1-1-1-5-2-1-5-1-1-1-1-7-1-3+35-5-3-1+20-1-1+54-2-2-10-4-6-3-1+6-1-1+38-3-4-3-2-3-10-2</f>
        <v>160</v>
      </c>
      <c r="Q140" s="115">
        <f>28+54-2-1-1-3-1-3-1-3-1-1-1-1-3-15-1-2-1-1-3-1-1-2-1-1+40-2-1-5-4-1-1-1-2+60-1-4+15-4-1-1-5-1-1-2-1-2-6-2-2-3</f>
        <v>93</v>
      </c>
      <c r="R140" s="115">
        <f>10+16-2+1-1-3-5-1-1-1-1-1+15-1-5-1+15-1-2-1</f>
        <v>30</v>
      </c>
      <c r="S140" s="190">
        <f>10+20-5-1-1-1-1-1-1+15-1-2-1-5+15-1+10+26-5+4+20-1</f>
        <v>93</v>
      </c>
      <c r="T140" s="158">
        <f t="shared" si="2"/>
        <v>4123</v>
      </c>
      <c r="V140" s="19"/>
      <c r="X140" s="19"/>
      <c r="Z140" s="19"/>
    </row>
    <row r="141" spans="1:26" s="1" customFormat="1" ht="30" customHeight="1">
      <c r="A141" s="233" t="s">
        <v>69</v>
      </c>
      <c r="B141" s="115">
        <f>20+94+12+6-1+1-4-1-7-2-1-1-2-1-1-9-1-1-1-1-3-1-2-1-2-1-1-6-2-1-1-20-3-1-1-7-1-1-2-3-1-2-3-1-15-2-10-1-1-1-2+70-1-1-1-2-1-1-1+25-1+3-1-1-1+21-1+2-1-2+10-1-10-1-1-1-1-1+40-3-1-1-1-3-2-1-2-1-4-1+10-1-1+2-1-1-7-2-1-1-1-1-3-2-5-1-1-1-4-1-1-3-1-1-1-2</f>
        <v>87</v>
      </c>
      <c r="C141" s="115">
        <f>41+2+44-2-1-1-1-2-1-2-4-1+60-1-1-3+100-1-1-1-17-1-1-3-1-1-2-1-1-2-1-3-1-2-5-2-6-1-1-1-1-2-1-2-1-5-6-1-4-1-1-1-1-1-1-5-1-1-2-5-2-4-5-3-6-11-1-6-2-1-2-30-1-2-1-1-1-7-6-2-1+99-1-2-5-1-1-1+1-2-2-4-7-1-1-1-1-2-2-2-12-1-1-2-1-1-1-1-1-1-1-1-7-3+100-1-1-2-2-1-2-1-3-1-2-1-1-1-1-1-1-1-1-6-1+26-1-1-4-1-1-13-6+200+5-1-1-1-6-1-2-1-1-1-1-3-3+9-1-3-2-1-1-1-1-2+49-10-1-1-1-2-1-1-1-1-1-1-2-2-10-1-1+21-1-15-1-1-2-1-1-1-1-3-5-1-2-1-1-1-1-4-1-1-5-1-1-1-4-1-2-6-1+98-1-1-2-2-1+2-1-2-3-8-2-1-3-2-2-1-1-10-2-1-1-2-1-2-2-6-1-1-1-1-1-1-4-1-2-1-4-1-1-1-2-7-1-4-7-1+20-4-3-1-1</f>
        <v>285</v>
      </c>
      <c r="D141" s="115">
        <f>80+90+25+37+10-1-1-1-1-10-1-1-1-1-1+79-1-4-1-2-1+150+1-1-1-32-2-1-1-1-2-7-1+1-1-2-1-1-2-6-2-3-5-1-1-2-1-2-4-15-1-1-1-1-1-1-15-3-1-4-10-1-1-1-4-1-1-1-1-2-6-3-7-8-19-30-1-2-1-2-2-1-3-3-1-30-1-1-1-2-1-1-10-3-1-1-2+60-1-2-3-1-5-1-1-1-2-19-1-1-1-2-1-2-1-1-2-6-1-2-1-1-2-2-1-3-7-6+70-1-1-2-1-2-5-1-1-1-3-2-4-2-1-1-3+93-9-1-1-1-1-3-2-1-1-8-1-1+4-1-2-1-3-1-1-1-3-2-4-3-2-6-18-3-1-2-2-1-3+20-1-1-10-1-2-1+1+199-6-2-3-1-1-2-2-1-10-8-10-4-1-1+57-1-15-1-1-1-13-1-6-1-1+100-1-5-6-2-1-1-1-2-3-1-1-1-1-2-1-5-1-3-8-1-1-2-2+80+50-12-2-3-1-2-5-1-1-15-1-2-1-2-2-2-1-3-1-3-1-1-1-10-1-1-1-2-6-1-1-1-10-1-1-5-1-2-2-1-2-1-2-1-2-2-1-5-1-6-2-1-1-2-2-1-1-1-1-1-4-5-1-6-3-1-5-2-1-4-1-1</f>
        <v>344</v>
      </c>
      <c r="E141" s="115">
        <f>54+104-1-1-1-1-1-1+1-2-6-1+58-2-3-5+150-1-16-3-1-2-1-1-5-1-2-1-1-2-4-2-3-3-1-2-1-1-1-4-1-24-1-3-1-8-1-1-1-8-1-1-2-1-1-1-1-2-3-1-1-2-6-1-1-1-2-2-7-4-19-17-1-2-2-4-1-1-2-30-1-1-3-10-4-1-1+120-2-1-2-1-5-1-1-4-1-1-2-1-4-2-23-2-1-1-2-2-1-1-1-2-1-6-1-1-1-1-1-4-2-1-1-1-7-1-6+70-2-1-1-1-2-2-1+1-1-5-1-1-2-1-2+89-7-1-1-1-1-1-4-1+8-1-2-1-1-3-1-1-2-1-1-1-4-3-1-3-3-1-1-2+35-1-10+3+101-3-1-2-2-10-4-12+100-5-1+20-15-1-1-1-1-12-3-1-3-1-2+79-10-1-1-1-1-8-1-1-2-2-1-1-10-5-1-4-1-1+15+20+85-7-1-1-3-1-1-1-2-4-1-1-2-4-1-1-1-1-3-2-1-1-1-3-1-3-1-1-1-1-1-5-1-1-1-6-1-1-1-2-2-1-1-1-6-1-3-1-5-1-1-2-1-1-3-7-3-1-1-1-2-1-3-3-1-1-2-3-4-3-2-1-5-1</f>
        <v>376</v>
      </c>
      <c r="F141" s="115">
        <f>92+15+1-1-1-1-8-1-1-2-2-1-4-5-1-1+42-3+100-7-12-1-1-1-1-3-1-1-1-2-1-1-3-1-1-16-1-2-2-1-10-2-1-1-1-2-1-1-3-5-1-19-10-3-2-20-1-1-2-5-5+28-1-1-1-2-1-5-1-1-5-11-1-1-1-1-2-2-1-1-2-3-1-1-1-1-1-1-4-3+50-1-1-1-2-1-1-2-1-1-3-1-1-1-1-1-1-1-3-1+4-1-8-1-1-1-1-3-3-1-1-1-1+35-10-1-1-1+1-3-1-3-1-1-1-1-2-10-3-10+100-1+20-10-1-12-2-1+80-1-1-1-1-1-1-1-1-2-1-1-1-1-3-4-2+80+49-1-3-2-4-3-1-2-2-5-10-1-2-3-2-1-2-1-1-1-8-1-1-3-1-4-2-1-3-1-2-4-1-1-4-1-1-1-1-1-1-1-2-2-1-1-2-3-2-10-4-1</f>
        <v>186</v>
      </c>
      <c r="G141" s="115">
        <f>3+9-4-1+38-1+50-1-1-1-1-1-1-4-2-1-1-1-2-5-1-1-1-3-6-3-7-10-1-7-5-1-1-1-5-1-1-1-2-2-1-2-1-1-2-1-1-1-2+50-1-1-1-1-2-2-3-2-1-1-1+2-1-2-1-2-4-1-1-2-1-5-1-2-2-10-1+20-6-5-2-1-1-1-2-2+50-1-1+19-5-19-1+40-1-1-2-3-3-3-3-2-2+11+60-1-3-2-2-1-2-1-2-1-2-3-1-5-1-1-1-2-1-1-1-1-1-1-5-2</f>
        <v>89</v>
      </c>
      <c r="H141" s="115">
        <f>6+5-2+40-1-1-1+50-2-1-2-2-2-1-4-1-1-1-1-1-9-1-10-1-1-2-2-2-4-3-1-1-1-1-5-2-1-1-1-1-2-1-1-1-1-1-1-1-3-1-2-2-1-5-1-2-1+1-1+1-1+8-2-5-1+1-1+50-1+20-10-1-1-1-1-5-4+10-3-1-1-1-1-1-1-3-5-1-1-1-2-3-2-1-2-4-3-1-1-1-1+20-1</f>
        <v>34</v>
      </c>
      <c r="I141" s="115">
        <f>20+5-5-1+15-1-1-2-1-5-1-1-1-1-1-1-1-1+1-1-1+4-2+9-2-1+10-1-1-1-1+30-1-1</f>
        <v>57</v>
      </c>
      <c r="J141" s="139">
        <f>20+7+15-1-5-1-1-1-1-1-1-1-1-1+10-1</f>
        <v>36</v>
      </c>
      <c r="K141" s="217">
        <f>44+43+46-1-2-1-8-1-1-1+30-1-1-1-1-4-1-2-3-3-2-1-1-1-1-1-3-1-1-1-1-2-6-6-1-1-2-1-1-1-30-2-1-3-1-1-1-1-1-22-2-3-8-1-1-1+28-1-1-1-1-1-1+50-2+2-3-1-3-3-1-1-1-1+26-7-1-3-1-2+50-1-8-2-1-3-1-1-1-1-4-2-1-1-1-1-1-1-1-2-1-1-2-1-2-2-1-1-1-1-1-2-2-2-1-3-1-2-2-3-3-1-2-1-2-1+29-1-1-1+1-1</f>
        <v>87</v>
      </c>
      <c r="L141" s="115">
        <f>56+63+23-1-2-1-2-50-1-2+35+1-1-1-18-1+16-1-1-4-1+160-1-15-1-5-11-3-2-5-2-1-1-1-1-5-1-1-2-1-1-2-2-5-2+1-3-8-10-1-6-1-5-1-1-1-1-1-1-2-1-1-5-2-10-1-4-5-2-1-5-1-4-2-1-5-1-2-9-1-1-2-1-1-2-1-1-1-26-1-15-1-2-1-2-1-1-1-10-1-1-1-5-9-1+128-10+15-1-1-2-1-2-4+7-1-5-1-1-1-1-1-5-4-22-3-2-4-1-1-1-1-1-2-1-2-1-3-1-2-1-2-1-1-1-1-1-1-1-1-2+27-1-1-6-9-4-1-1-1-1-1-2-5-2-1-1-1-1-1-1-1-1+192-1-1-1-2-4-2-1-1-1-3+5-3-1-2-1-1-1-4-6-2-1-3-12-2-1+2-1-1-1-1-1-2-3-1-2-2-1-5-6-1-3-1-1+56-1-6-1-2+50-1-1-10-1-1-2-3-1-10-1-1-2-1-2-1-2-1+101-3-10-5-1+59-2-1-1-2+45-1-1-20-1-1-2-1-26-6-3-2-1-1-1-1-1-1-3-1-3-2-1-3-4-5-1-3-1-3-2-1-3-1-1-15-1-1-1-1-6+33-1-8-1-1+117-8-1-4-3-1-4-4-2+1-1-2-2-2-2-1-1+1-1-1-3-1-5-2-2-1-1-5-1-1-1-1-1-1-1-1-1-5-1-1-1-1-1-4-1-1-2-5-2-1-30-1-5-2-1-1-1-2-2-1-1-3-2-1-1-1-1-3-2-2-3-2-1-1-1-1-1-2-1-1-2-4-1-1-1-2-2-1+90-7-4-1-2-2-1-1-1+9-10-5+1-1</f>
        <v>266</v>
      </c>
      <c r="M141" s="115">
        <f>27+80+73+85+27-1-2-7-1-2-1-3-1-2-1-3-1-50-1-1+55+1-2-7-18-2+46-1-1-3-6-5-1-10+279+1-1-1-10-1-1-10-21-6-1-4-10-2-1-5-5-7-1-1-1-1-1-1-1-1-3-1-1-3-1-12-18-2-11-1-1-1-1-1-1-1-8-10-1-35-5-9-2-1-1-1-1-1-1-1-1-1-2-31-1-1-6-5-2-2-1-4-15-1-1-1-1-1-1-6-1-1-2-1-1-2-1-1-4-4-1-1-1-1-3-1-3-6-2-17-1-12-1-2-4-5-6-2-29-3-4-1-4-30-1-2-8-3-1-1-1-10-1-2-1-1-1-3-7-4-2-2+200-20-29+89-4-2-1-2-1-1-1-1-1-1-1-1-1-1-4+31-1-7-1-1-3-1-1-1-2-1-1-2-2-1-1-3-35-3-1-4-3-3-1-3-2-15-2-1-3-2-1-1-1-1-1-1-1-1-1-2-2-1-2-1-1-1-3-2-3-1-1-1-3-1+47-1-1-4-1-1-3-5-20-1-3-9-8-1-1-1-1-1-1-1-5-2-3-1-2-2-1-1-2-3-1-1-2-5-1-2+197-1-2-2-2-2-1-4-1-1-5-8+3-10-1-4-2-3-1-2-1-1-1-1-2-3-1-1-8-6-4-1-1-5-7-10-1-1-1-1+2-1-2-2-2-1-1-1-1-6-1-11-5-1-3-1-3-1-5-8-3-3-1-6-1-1+139-1-19-1-1-1-1-1-1-4+120-1-1-3-15-1-1-1-1-10-1-1-20-1-1-2-1-1-2-2+180-1-5-6-1-10-15-1+119-5-4-1-1-2-4+87-1-1-38-2-1-1-1-3+178-1-42-8-6-1-1-1-1-1-1-1-1-1-4-15-2-1-2-15-5-2-1-1-2-1-1-12-3-1-1-1-3-1-10-1-1-1-1-1-3-3-3+29-2-1-15-15-1-1-1-15-1-1-1+119+109-5-3+40-15-2-2-1-1-1-1-6-1-1-1-1-1-1-2-1-1-1-1-1+1-4-1-2-3-3-1-1+1-1-1-3-2-5-3-2-25-4-1-3-1-1-2-4-1-2-1-3-2-1-10-3-2-6-1-2-1-4-1-1-10-10-6-1-1-1-18-1-1-5-1-1-28-1-6-1-1-40-2-1-1-5-1-8-2-1-2-1-4-1-5-1-1-1-3-1-1-4-10-4-1-1-2-1-5-1-1-1-1-1-2-1-3-1-1-1-4-1-1-2-2-2-2+140-2-1-3-8-3-1-1-1-1-1+9-2-5-6-4-1-1-1</f>
        <v>512</v>
      </c>
      <c r="N141" s="115">
        <f>80+70+70+37-1-2-4-5-7-1-2-1-50-1-2+72+6-1-1-1-1+9+1-5+2-18+1-1-1-1+75-3-1-1-1-10-5-8-8+220-20-1-3-10-27-1-7-9-1-10-1-4-7-1-1-3-1-1-1-3-5-1-1-1-5-5-19-29-1-1-1+1-1-1-1-1-1-5-1-1-1-1-8-1-10-1-1-1-50-1-1-1-1-6-1-1-2-2-2-1-1-1-18-1-1-3-1-1-10-1-2-4-1-3-10-1-1-1-1-106-1-1-1-2-1-1-1-3-4-4-1-2-6-15-2-1+70-1-10-2-1-10-4-8-1-1-1-1-1-2-20-2-6+5-2-1-1-1+171-2-2-2-1-10-1-1-1-1-1-1-4-2-2-1-1-1-1-1-1-20-4+250-8-1-1-10-1-1-1-2-2-5-4-14-6-1-1-1-1-10-1-1-4-1-3-2-1-18-3-1-5-1-1-3-1-1-1-1-1-3-1-2-1-1-2-1-3-6-1-2-3-1-1-10-3-12-1-3-1-1-1-1-2-3-2-1-1-5-2-1-4-1-1-1-1-1-5-1+196-4-2-1-1-1-4-1-1-1-1-1-1-5-1-1-1-1-2-12-1+1-4+5-5-3-1-1-2-6-1-1-1-1-2-1-1-2-1-1-12-7-9-1-4-1-1-1-1-1-1-1-1-3-7-8-2-14-2-1-3-5-3-3-3-3-1+1+150-1-12-5-2-11-1-1-1-7+120-1-1-1-10-1-8-1-1-1-3-9-2-1-1-1-20-1-1-2-1-1-1-1-1-1-2-3-1-10-7-10-18-1+61-3-2-3-2-2-1+89-2-1-19-2-1-1-3+332-1-1-60-4-5-1-1-2-1-2-1-1-1-2-15-1-2-2-10-2-1-1-1-1-31-3-1-8-2-1-2-1-1-1-3-1-1-1+30-4-1-15-15-1-1-1-2-6-15-1+111-1-7+182+26-15-5-4-1-10-1-1-1-1-4-1-4-1-3-4-3-3-1-1-1-2-1-1-2-1-1-2-1-30-1-1-2-1-2-1-2-1-7-1-1-1-1-5-1-2-6-1-2-5-5-1-1-6-2-1-1-1-2-1-1-6-10-2-1-1-2-6-1-40-1-5-1-1-20-1-8-10-1-3-1-1-1-1-55-3-2-1-5-1-1-1-1-5-1-1-1-3-1-1-1-2-4-3-2-1-7-2-1-3-1-1-2-2-10-1-4-1-1-1-3-1-3-1-1-2-1-4-2-2-1-4-1-1-3-2-1-2-5-1+134-2-8-13-8-5-6-1+15-1-1-5-2-6-1-1-1-5</f>
        <v>435</v>
      </c>
      <c r="O141" s="115">
        <f>70+66+12-2-4-1-4-1-7-1-2-25-1+1-7+1+58+2-2-3+1-2-18+40-4-1-2-1-10-8+140-1-5-17-7-1-11-10-2-1-1-1-3-1-5-1-1-1-10-1-1-2+1-1-4-1-11-4-2-2-1-2-1-3-10-1-1-15-2-6-2-1-1-2-1-22-2-8-1-4-1-1-5-1-1-1-1-1-1-1-22-15-1-2-1-1-2-5-7-1-1-1-2-10-1-5-1+160-6-19-1-1+39-1-10-1-2-2-3-1-2-1-1-20-4-1-3-1-1-1-1-5-2-1-8-4-2+1-1-5-2-10-15-1-1-1-1-3-1-2-7-1-3-1-1-2-1-1-1-1-3-1-1-11-1-4-5-7+201-1-2-4-1-1-1-4-1-1-5-2-5-4-2-1-1-1-1-3-2-2-4-1-3-1-1-2-1-1-1-1-1-7-3-3-1-7-2-3-3-1-1-3-1-1-2-2+91-5-1-1-2-1-1-1-1+48-1-15-1-1-2-3-3-2-3-3-10-1-1-1-1-4-2-3-2-3-7-10-2-20-2-3-1-2-1-1-1+60-1-16-1-3-1-1-1-45-2-1-1-1-1+150-3-12-1-2-2-20-1-1-1-11-1-2-1-29-2-1-1-2-1-3-1+174-5-1-1-15-1-15-2-1-1-1-2-10-1-1+14+21-1+38-5-3-1-1-2-1-2-2-6+1-2-1-3-1+1-3-1-1-2-1-20-1-1-2-3-1-1-4-2-1-3-4-1-1-1-1-2-4-1-1-1-1-2-46-1-10-1-1-2-3-2-1-1-1-1-25-1-2-5-1-4-2-3-1-1-4-2-1-6-6-2-1-1-1-1-2-1-2-1-1-1-10-1-2-2-1-1-3-5-2-3-1-2-4-2-1-1-3-2-1-2-1-5+53-1-1-1-5-1+98-1-5-5-1-1-5</f>
        <v>165</v>
      </c>
      <c r="P141" s="121">
        <f>17+2+21-6-2-1-1-3-1-25-1+28-2-8+22-2-4+70-5-2-6-1-1-5-1-12+1-5-1-3-4-1-1-1-3-3-1-2-1-1+1-5-10-2-2-1-1-1-2-4-1-1-1-3-10-1-1+91-3-3-1+10-2-1-1-1-2-1-3-2-3-1-1-1-2-2-5-3-1-1-1-1-2-1-2-1-1-3-2-1-1+103-1-4-2-3-1-1-1-3-3-5-2-1-1-1-1-10-3-1-1-1-1-2-2-3-2-1-2-5-1-2-1-1-15-4-3-2-2-1-1-3-1-1-1-1-2-2-5-1-1-2-1-1-10-1-1-1-1-1-1-2-2-9+60-2-1-12-20-2-1-6-3-1-1+120-3+25-2-1-2-10-2-3-1-2-2-1-7+30-1-2-5-1-2-1+10-2-1-1-1-2-1-1-1-1-1-2-1-1-2-2-1-2-2-1-1-1-1-1-1-15-4-1-10-1-3-1-2-2-2-12-1-3-4-1-1-5-1-2-1-2-2-4-6-2-2-1-2-1-1-1-2-2-3+22-1-7-1-1+77-2-1-1</f>
        <v>99</v>
      </c>
      <c r="Q141" s="115">
        <f>0+7-1-1-1-1-1+27-3+24-1-1-2+30-3-1-1-1-7-1-5-4-1-1-3-2-3-3-1+1-3-3-1-1-1-5-1-2-4-5-1-5-1-1-1-1-1-1+29+1-1-1-1-1-1-2-4-3-1-1-2-1-1-2-1-1-1-1+50-1-1-1-5-2-1-1-1-2-1-4-1-1-1-2-3-1-3-1-1-3-1-1-2-1-2-1-2-1-6-1-1+9-1+15-5-2-1-3-1-2+50-2-2-1-5-1-1-2-2-2+35-1-1+5+7-1-1+8-3-1-1-2-1-2-8-4-1-1-1-1-1-2-10-5-2-1-3-3-2-1-1-2-1-1-3-4-2-1-1-1-2-2-1+1-1-4-2-4-1+29-2-3</f>
        <v>27</v>
      </c>
      <c r="R141" s="115">
        <f>0+12+6-1-1+15-1+1-1-3-1-1-1-3-2-4-1-5-1-1-1-1+48-1-1+2-1-1-1-1-1-1-1-1-3-2+15-2-1-5+50+15-1-1-1-2-1-1-1-4-1-2-1-1</f>
        <v>95</v>
      </c>
      <c r="S141" s="190">
        <f>0+23-2-1+6-1-1-1-1-1-1-1-5-1-1-1-1-1-1-1-2+29-2-1-1-1-1-1-3-1+30-5-1+26+3+5+25+1+1-2-1-1-2-2-1</f>
        <v>99</v>
      </c>
      <c r="T141" s="158">
        <f t="shared" si="2"/>
        <v>3279</v>
      </c>
      <c r="V141" s="19"/>
      <c r="X141" s="19"/>
      <c r="Z141" s="19"/>
    </row>
    <row r="142" spans="1:26" s="1" customFormat="1" ht="27" customHeight="1">
      <c r="A142" s="234" t="s">
        <v>70</v>
      </c>
      <c r="B142" s="219">
        <f>8+32-1-4+50-1-1-2-1-1-1-1-15-1-3-1-3-1+40-1-2-2+10-1-2-1-1+15+5-1-1+9-1-1-1-1-2-1-2-8-5-1-5-1-5</f>
        <v>86</v>
      </c>
      <c r="C142" s="219">
        <f>70+63-1-10+1-1+2+59-2-8-1-4-1-2-1-2-1-2-3-1-3-1-1-1-1-5-1-1-5-2-1-2-25-1-1-2-9-1-3-5-1+50-1-1-1+50-1-4-9-2-2-1-1+25-1-1-2-4+22-3+13+1-1+24-1-1-1-5-1-5-2-1-2-5-2-3-5-1-2-4+150-1-1-2+1-5-2-1-1-6-12-1-2-1-1-1-1-1-1-1-1-2</f>
        <v>299</v>
      </c>
      <c r="D142" s="219">
        <f>9+139-3-10-1-1+2+7+59-13-5-1-2-2-1-2-2-10-10-5-7-3-1-1-8-4-1-1-1-10-10-1-1-1-2-1-40-1-1-2-11-1-1-6-1-5-1+76-3-1-1-1-1-1-1-1-1-9-1-5-1+50-9-1-1-1-1-1-1-1-1-1-1+99-2-1-1-4-1-2-1-10+42-1-6-2-1-1+22-1-1+55-5-1-1-5-4-2-2-15-4-4-1-1+15-1-4-2-2-1-2-1-1-1-1-1-1-8-2-6-1-1-1+84-1-1-18-2-1-1-1-1-1-4-1-4</f>
        <v>269</v>
      </c>
      <c r="E142" s="219">
        <f>10+158-1-11-1+8+59-22-1-2+1-1-7-7-1-3-1-1-7-1-3-4-6-3-1-15-10-3-3-2-40-1-1-1-1-6-1-1-1-1-6-1-5-1-1+74-1-1-1+47-1-3-1-1+3-1-2-1-1-3-1-2+98-1-1-1-3-1-7+23-6+7-1+30-1-1-1-2-10+1-1-1-2-13-4-1-2-1-5+15-4-1-2-3-8-1-1-1-1-6-1-12-1+84-5-1-1-1-1-1-2-3-1-1-1-1-1-2-1</f>
        <v>282</v>
      </c>
      <c r="F142" s="219">
        <f>23+47-5-10+2-1+2+49-1-12-1-5-3-2-1-2-1-1-10-3-2-1-1-1-10-1-3-2-30-1-2-1-2-1-1-5-1+50-1-1+50-1-2-1-3-1-1+45+23-1-1-1-1+14-3+6-1+9-1-10-1-3-4-1-2-5-3-1-2-2-2-2-2-1-1-4-2-8-1+29-8-1-5-1-2-2-9-2-3-1-1-1-3</f>
        <v>110</v>
      </c>
      <c r="G142" s="219">
        <f>25+14-4-1+1+1+1+51-3-1-1-1-2-2-3-1-25-6-3-5-1-1-1-1-1-1-1-2-1+15+50-1-1-1-1-1-2-1-2-1-1-5-1-1-1-1-1-1-2-1-1-2-1-3-12-1+29-5-1-1-2-1-1-1</f>
        <v>61</v>
      </c>
      <c r="H142" s="219">
        <f>15+1-1-3-5-4-1-1-1+50+50-50-20-1-1-1-1-1-1-5-1-1-3+14-1+3-2-1-4+14+7-1+7-3-2+8-1-1-1-1-1-1-2-3-3-3-2</f>
        <v>34</v>
      </c>
      <c r="I142" s="219">
        <f>15+10+1-3-1-5-1-1-1-1+11+3-1-1-1+7-8-3-1</f>
        <v>19</v>
      </c>
      <c r="J142" s="220">
        <f>0+20-1-6-5-1-1+8-1+2-1-1+9+16-1-2-2</f>
        <v>33</v>
      </c>
      <c r="K142" s="221">
        <f>0+67-9+38+2-1+1-3-1-1-1-1-1-3-2-20-3-2-1-3-1-2-1-1-1+68-1-1-1+4-2+1-1-3-1+5-6-3-1-1-1-2-1-1-2-1-1-3-8-1-1-3-1+17-1-1-2-2-1-1</f>
        <v>90</v>
      </c>
      <c r="L142" s="219">
        <f>15+40+59+20-1-12-1+1-1-1-1-1-3+5-1+100+20-1-5-1-3-2-1-2-1-2-1-3-3-1-13-1-5-7-5-2-2-7-1-40-1-1-1-1-2-1-6-1-3-10-1-1-5-1-2-1+37-2-3-2-5+70-1-5-3-2-1-1-1-1-10-1-1+52-3-2-1-3-1-1-1-2-1+21-2-1-1-1-4+5-1-6-1-1+8-1-1-6-5-1-10-1-1-1-1-2-4-2-7-2+59-1-2+11-1-2-2-4-1-2-4+2-1-1-1-3-1-1-1-1-6-12+1-1-1-1-1+103-1-1-2-1-1-1-2-2-1-1-1-1-2-2-1-3-1</f>
        <v>268</v>
      </c>
      <c r="M142" s="219">
        <f>25+69+206-4-1-18-1-2+1-3-1+172+28-2-3-5-1+6-1-10-8-2-1-4-4-1-1-3-3-1-13-1-8-1-1-1-1-17-1-1-2-3-1-2-1-1-1-1-7-1-1-1-60-8-1-10-1-1-1-1-2-1-10-1-3-10-4-30-2-2-1-6-5-2-5-1-2-2+63-2-1-1-1-1-2-1-9-1-2-2-1-2-20-1-1-1-1-3-10-1-1-1-2-2-1-1+150-3-2-1+3-1-2-1+49-1-11-4-1+10-1-12-1+4-1-1-1-1+57-7-2-1-5-1-10-1-1-6-2-1-5-10-1-1-2-11-4-1-6-1-2-4-1+92-1-2+8-2-5-2-1-3-10-1-1-1-2-1-3-1-1-2-15-1-20-1-1-2-1-1-1-2-1-1-1-11-2+103-1-1-2-1-1-1-2-1-5-9-1-1-6-1-3-2-5-1-1-1-1-1-1-1-2-3-1-2-2-3-1-2-4-5-4</f>
        <v>345</v>
      </c>
      <c r="N142" s="219">
        <f>71+133+30-4-1-2-1-23-1-1-1-2-2-1-3+1-1+125+77-2-11-5-1+1-9-10-2-1-4-4-1-1-1-3-1-3-1-2-1-17-4-1-1-2-1-1+1-19-4-1-3-3-1-1-7-1-60-2-5-10-1-1-2-1-10-5+2-2-2-1-1-10-1-1-1-62-2-1-1-2-1-6-1-1-5-1-1-1-1+110-1-1-1-2+120-1-8-1-2-1-1-1-19-1-1-10-1-1-2-1-10-1+100-4-3-1-2-1-5+51-6-15-1-4+11-1-12-1-2-1+3-4-1-1+55-1-2-2-5-1-5-1-6-1-5-1-1-2-21-4-7-6-10-1-1+140-1-2+10-3-2-2-1-4-8-1-1-1+1-3-7-1-1-1-6-1-20-1-1-2-1-2-1-1-4-1-8-1-2-1-1+103-2-1-1-1-1-2-1-2-1-1-1-3-4-3-4-1-5-1-1-1-1-1-1-3-2-2-1-1-1-5-9-3-1-4-5</f>
        <v>385</v>
      </c>
      <c r="O142" s="219">
        <f>40+70+55-4-2-1-8-2-3+1-1+60+40-6-2+6-7-4-2-1-1-3-1-3-1-1-1-1-8-7-1-2-1-1-8-1-1-1-1-8-1-2-20-1-1-1-5-1-2-10-2-30-1-1-1-3-1-5-1-2+31-2+35-1-6-2-1-1-1-2-1-14-1-3-1-2-1-1-2-10-1-5+50-6-1-1-5-1-1-1-1-2-1+15-1-1-8-4-2+6-1-6-1-2+3-1-1-1+44-2-1-1-1-1-7-10-4-2-9-3-1-1-2-1-1-26-2-4+112-4-1+7-2-1-3-1-3-1-4-5-1-1-1-5-1-1-5-20-5-1-1-1-2-2-1-1+63-1-1-1-1-1-1-3-1-5-1-2-2-2-3-6-2-1-1</f>
        <v>157</v>
      </c>
      <c r="P142" s="219">
        <f>15+10+5+20-4-2-3-1+80-1-3-4-1+1-1-1-1-1-1-1-1-1-11-2-1-1-5-1-30-2-1-1-3-1-5-17-1-5-1-2+26-1-3-2-2+25-1-3-2-1-1-1-2-1-1-1-1-3+50-1-1-2-1-1-4-7-1+3-1+1-1+30-1-1-1-1-2-1-1-1-1-3-2-1-2-8-2+98-1-4+22-1-1-1-1-1-1-2-3-1-1-4-12-4-1-2-1-1-1-1-1-1-1-2-3-4</f>
        <v>138</v>
      </c>
      <c r="Q142" s="219">
        <f>15+9-1-1-2-1+1-1-2-2-1-1-1-3-2-1-1-1-2-2+26-2+25-1-2-1-1+19-1-2-1+10-1-3-1-1-20+43-1+52-1-2+1-3-2-4-1-1-2-1-1-1-1-1-1-1-1-2-1-1-1-2</f>
        <v>107</v>
      </c>
      <c r="R142" s="219">
        <f>0+35-1-2-3-10-1-6+7-1-1+20-1-1+24+3-1-1-1-1</f>
        <v>58</v>
      </c>
      <c r="S142" s="222">
        <f>0+46-1-1-1-1-2-1-1-1-1-1-1-1+24-1+2-1-1+31-2-1</f>
        <v>84</v>
      </c>
      <c r="T142" s="158">
        <f>SUM(B142:S142)</f>
        <v>2825</v>
      </c>
      <c r="V142" s="19"/>
      <c r="X142" s="19"/>
      <c r="Z142" s="19"/>
    </row>
    <row r="143" spans="1:26" s="1" customFormat="1" ht="28.5" customHeight="1">
      <c r="A143" s="234" t="s">
        <v>71</v>
      </c>
      <c r="B143" s="219">
        <f>30-3-4-1-1-2-1-4-3-2-1-1-3+24-2-1-1-1-3-15-3-2+1+2-1-2+40-1-2-13-1-2-13-3-2-2-1+16-15-1+100-1-1-2-1-2-1</f>
        <v>92</v>
      </c>
      <c r="C143" s="219">
        <f>79-1-4-1-4-1-2-1-1-3-1-6-5-3-1-1-3-1-1-1-3-1-4-2-3-3-1-1-1-1+85-1-4-1-1-2-1-1-5-5-30-1-1-1-1-2+1-2+3-1-1-2-7-1+40-1-1-1-1-3-1-1-5-1-2-1-1-1-2-8-1-1-25-3-2-1-1-1-1-2+51-1-1-1-5-2-1-2-2-2-1-2-1+49-3-2-1+60-1-2-1-1-1-3-4</f>
        <v>128</v>
      </c>
      <c r="D143" s="219">
        <f>99-1-1-1-4-4-1-1-1-1-1-1-1-1-1-1-1-1-1-1-1-1-1-1-1-1-1-1-1-1-1-1-3-1-6-10-3-3-3-1-1-1-1-1-1-1-1-5-2-1-4-3-8-1-1+85-1-7-1-5-1-1-1-4-5-30-1-1-12-2-1-1-1+3+2-1-1-1-1-1-1-1-1+120-1-1-1-1-1-1-1-1-1-5-2-1-1-4-1-2-2-8-12-1-1-8-36-3-1-1-1-1-1-1-1-1-2-1-4-2-2-1-1-1-2-1-1-1-4+199-1-3-2-2-2-1-1+99-1-3-1-1-5-1</f>
        <v>274</v>
      </c>
      <c r="E143" s="219">
        <f>100-1-5-4-1-1-1-1-1-1-1-1-3-1-1-1-2-1-1-3-1-6-10-3-2-1-1-1-1-2-1-1-1-1-2-3-1-3-1-5-1-1-1+84-1-1-1-4-1-7-1-1-5-5-6-30-1-1-1-1-1-1-1-1+3-1-1-1-1-1-1-1-5+100-5-1-1-1-1-5-2-2-2-23-14-3-1-31-3-1-1-1-6-1-2-2-1-7-1-1-1+101-1-1-5-1-1-11-2-1-2-2-1-1-2-1+100-1-2-1-2-1+121-1-3-1-1-3-5</f>
        <v>272</v>
      </c>
      <c r="F143" s="219">
        <f>50-1-5-4-1-4-2-4-5-3-1-1-1-1-1-6-1-3-1-1+43-1-5-1-1-1-4-5-29+1+3-1-2-1+60-1-1-8-2-1-2-5-3-1-27-3-1-1-1-1-1-1+50-1-2-1-1-7-1-1-9-4-1-2-3-2-1-2+50-1+100-1-3-1-1-4</f>
        <v>151</v>
      </c>
      <c r="G143" s="219">
        <f>25-3-1-2-4-5-3-3-3-1+25-1-1-1-1-1-20+3+2-5+40-1-1-1-1-1-1-3-3-23-2-1-1-1+16-2-2-1-1-2-6-2+30-1-3-2-1+50-4-2-1-3-2</f>
        <v>61</v>
      </c>
      <c r="H143" s="219">
        <f>20-2-2-2-4-5-1-3-1+14-1-3-1-1-2-1+1-3+20-4-1-3-2-1-1-1-1-1-1-1-1-1-2-2+30-1-2-3</f>
        <v>24</v>
      </c>
      <c r="I143" s="219">
        <f>5-1-2-1-1+14-1-1-1-11+1-1+10-1-1-1-2-1+10</f>
        <v>14</v>
      </c>
      <c r="J143" s="220">
        <f>5-1-2-1-1+14-1-1-5-1-1-1-1-1-1+10+10</f>
        <v>21</v>
      </c>
      <c r="K143" s="221">
        <f>18-2+7-3-1-3-1-6-5-3-1+25-2-1-5+3-1+10-2-2-14-1-1-2-1-1-1-1-1+25-2-2-1</f>
        <v>22</v>
      </c>
      <c r="L143" s="219">
        <f>5-1-1-2+44-1-2-1-1-2-2-2-1-1-32+1+1-1-1+50-3+70-1-3-1-3</f>
        <v>109</v>
      </c>
      <c r="M143" s="219">
        <f>99-1-1-5-1-4-1-1-1-1-1-1-1-10-1-20-10-7-1-1-1-3-4-1-5-1-1+80-2-2-1-1-1-6-35-1-1-1+7-1-1-2-1-3-1-1+45-2-1-2-9-15-1-1-52-1-1+150-1-3-1+50-3-3-1</f>
        <v>188</v>
      </c>
      <c r="N143" s="219">
        <f>89-1-1-1-5-1+12-4-1-1-1-1-1-2-1-1-1-10-20-20-8-3-1-1-5-5-1-1+80-1-1-1-1-1-1-1-4-1-2-1-1-1-35-1-2-1-1+1+8-1-3-1-2+45-2-15-15-1-10-1-1-2-1-1-1-1-3-5-2-2+150-2+55-3-3-1</f>
        <v>206</v>
      </c>
      <c r="O143" s="219">
        <f>43-5+6-4-1-8-16-10-1-1-3+50-1-3-3-2-1-1-5-20-1-1-2-3-3-1-2-1+3-3+45-1-2-6-4-1-1-2-10-1-2-1-1-2+50+35-1-3</f>
        <v>92</v>
      </c>
      <c r="P143" s="219">
        <f>21-3+4-3-6-12-1+30-3-2-1-20-3-1+20-1-1-1-1-10-2-1-2-1+30-2-3</f>
        <v>25</v>
      </c>
      <c r="Q143" s="219">
        <f>13-2+3-2-3-6-1-1-1+15-3-1-2-1-5-1+1-3+20-2-1-10-1-2-2+10+10-2</f>
        <v>20</v>
      </c>
      <c r="R143" s="219">
        <f>6+4-1-2-2-1-1-1-1-1+10-1-2</f>
        <v>7</v>
      </c>
      <c r="S143" s="222">
        <f>1+9-1-2-2-1-1-1-1+10-2</f>
        <v>9</v>
      </c>
      <c r="T143" s="158">
        <f>SUM(B143:S143)</f>
        <v>1715</v>
      </c>
      <c r="V143" s="19"/>
      <c r="X143" s="19"/>
      <c r="Z143" s="19"/>
    </row>
    <row r="144" spans="1:26" s="1" customFormat="1" ht="30" customHeight="1">
      <c r="A144" s="234" t="s">
        <v>72</v>
      </c>
      <c r="B144" s="219">
        <f>15-3+4-4-1-1-2-4-3-1+25-3-1-1-1-2-1-4+2-1-1-1-5-1-3-2+6+35+29+10-15-2-1-1-5-1-2</f>
        <v>53</v>
      </c>
      <c r="C144" s="219">
        <f>46-1-1-4-1+15-1-1-1-4-1-3-1-6-5-3-1-1+1-3-1-1-1-5-5-1-1+37-1-2+1-1-26+3-1-1-3-2-1-1-1-1-1-1-3+25-25-2-2+20-17+35-1-1-2-5+46-15-2-1-15-1-3-2-7+55</f>
        <v>84</v>
      </c>
      <c r="D144" s="219">
        <f>81-1-1-1-1-1-1-3-6-10-3-1-1-1-1-3-5-1-1-1-1-7-1-1-4-5+40-3-1-1-2-1-42-9+3+1-4+24-24+70-5+29-15-1-2-6-1-1-10-1-1-1-1-3-17+190</f>
        <v>224</v>
      </c>
      <c r="E144" s="219">
        <f>72-1-5+19-4-1-1-1-1-1-1-1-1-1-1-3-6-10-3-1-1-1-1-3-1-1-1-1-1-1-1+40-1-5-5-1-1-5-1-1-1-12-1-1+1-34-1+3+2-1-1-3-1-5+16-15-1+69-5+29-15-15-2-1-2-10-1-3-16+189</f>
        <v>217</v>
      </c>
      <c r="F144" s="219">
        <f>28-1-1-4+18-4-1-2-1-4-5-3-2-1-3-1-1-1-1+25-4-5-1-1-1-3-2+1-1-18+3-3+1-1+20-1-5-1+25-5-2-1-1-2-10-1-1-1-1-1-3-1-1-5+105</f>
        <v>107</v>
      </c>
      <c r="G144" s="219">
        <f>21-3+4-3-2-1-4-5-1-3-1-1-1+25-5-1-3-1-9+3-1-1-1-1-2-1-1-1+19-1+10-5-1-2-5-3-1-2-3+45</f>
        <v>51</v>
      </c>
      <c r="H144" s="219">
        <f>5+4-2+1-2-2-4+15-3-2-3+1-2-1-1-3-1+6-1+4+10-2-2-1-2-2+15</f>
        <v>25</v>
      </c>
      <c r="I144" s="219">
        <f>4+1-1-2-1-1+5-1-4+15-2-2+8</f>
        <v>19</v>
      </c>
      <c r="J144" s="220">
        <f>3+2-1-2-2+5-2-2-1+14-2-2+10-1</f>
        <v>19</v>
      </c>
      <c r="K144" s="221">
        <f>19-2+1-5-3-6-4+20-3-1-2-2-1-1-1-1-1-1-1-1-1+3-1-2-1-1-1+41-11-3-2-3-1-1-1-1-2-10-6+45+1-1+25-15-3-2-1-1-3-1-10-3-1-2-1</f>
        <v>27</v>
      </c>
      <c r="L144" s="219">
        <f>49-1-1-1-3-1-1+11-5-1-1+1-5-10-10-5-2-1-1-1-5-1-1-1-1-1+61-1-1-1-1-1-1-1-1-1-4-2-2-1-1-1-1-1-1-1-1-1-21+5-1-3-3-2-3-1-1-1-5+20-7-3-2-1-1-4+40-20-11-1-5-1-1-3+1-1+47-2-1-1-1+49-15-2-2-2-2-2-1-1-2-10-2-1-4-1-2-2-1-3-1-2-2-9</f>
        <v>22</v>
      </c>
      <c r="M144" s="219">
        <f>6-6+20-5-2-10-2-1+124-2-50-21-2-2-1-9-5-1-2-1-1-1-14-2-6-2-1-1+14-4+79-1-1+98-15-8-3-2-8-2-1-5-1-2-10-8-1-1-1-1-1-1-2-2-2-1-2-3-1-27</f>
        <v>74</v>
      </c>
      <c r="N144" s="219">
        <f>95-5+25-1-8-1-1-1-1-1-1-1-1-1-1-1-1-1-1-1-1-1-1-1-1-1-1-10-20-10-8-1-10-1-1-1-1-1-5-1-1-1-2-1-1-5-3+140-1-1-1-4-5-5-1-10-1-1-7-2-1-1-1-1-1-1-1-92-2+8-8+21-15-4-1-1+129-6-3-10-1-1-1-2-20-2-1-1-50-10-1-1-1-1-1-16+90-1+1-4-1-1-5+99-15-1-20-1-2-20-1-7-1-3-3-1-1-2-20-4-3-2-1-2-1-2-2-1-1-7-3-1-26-5</f>
        <v>19</v>
      </c>
      <c r="O144" s="219">
        <f>39-5+21-1-8-1-8-16-5-1-7-2-3-3+61-2-4-1-2-2-1-1-1-1-5-6-1-1-1-1-3-1-1-1-1-1-1-1-1-16-4+7-1-5-1+16-8-5-3+64-3-1-4-3-1-2-1-1-1-6-1-5-28-1-6+12-1-1+9-3-1-1-1+48-5-2-1-10-2-11-1-3-1-1-5-3-12-1-3</f>
        <v>0</v>
      </c>
      <c r="P144" s="219">
        <f>23-3+7-5-1-6-12-1-2+30-5-1-2-2-1-1-2-1-3-1-1-10+2-1-1+11-1-1-1-1-2-1-1-2-1+19-1-1-1-2-2-3-9+21-1-1+25-5-3-2-2-1-1-3-2-3-2-2-2-1-1-3-1</f>
        <v>10</v>
      </c>
      <c r="Q144" s="219">
        <f>13-2+8-5-3-6-1-1-1-1-1+20-3-2-3-5-1-1-1-4+1-1+15-1-4-1-3-1-1-1-1-1-1+12-1+10-5-1-1-2-1-1-3-1-2-2-1-1</f>
        <v>0</v>
      </c>
      <c r="R144" s="219">
        <f>3+7-1-2-2-1-1-1-2+15-2-1-1-2+9+10-5-2-1</f>
        <v>20</v>
      </c>
      <c r="S144" s="222">
        <f>7-1+3-1-2-2-1-1-1-1+16-1-2+10-5-2</f>
        <v>16</v>
      </c>
      <c r="T144" s="158">
        <f>SUM(B144:S144)</f>
        <v>987</v>
      </c>
      <c r="V144" s="19"/>
      <c r="X144" s="19"/>
      <c r="Z144" s="19"/>
    </row>
    <row r="145" spans="1:26" s="1" customFormat="1" ht="30" customHeight="1">
      <c r="A145" s="234" t="s">
        <v>73</v>
      </c>
      <c r="B145" s="219">
        <f>-1+2-1+23-3-15-1-3-1+10-8-1-1+40-1-2-1-1-2-2-1-1+34-1-6-1-2-7-1-5-2-1-5-2-2-1-2-2-1-2-2-1-1+46-5-2-1-5</f>
        <v>49</v>
      </c>
      <c r="C145" s="219">
        <f>3-3+97-5-5-30-5-1-5-2-1-1-1-3-2-1-1+1-1+38+2-1-1-1-2-1-1-1-1-2-1-3-1+59-2-1-1-1-2-1-3-1-1-4-10-3-1-1-1-1-3-3-1-1-5-2-1-2-1-1-1-1-1-3-1+68-10-2+1-5-3</f>
        <v>105</v>
      </c>
      <c r="D145" s="219">
        <f>-1+3-2+106-10-4-30-1-5-1-2-2-2-12-1-1-1-4-1-1+49+1-2-1-1-4-1-1-1-1-1-1-1-1-8-3-1-1-1-1-2-1-1-3-1-2+118-2-1-1-3-2-3-2-2-4-3-2-2-1-15-9-1-3-1-1-2+1-1-5-1-1-1-6-2-1-2-1-1-1-3-5-1-1+130-1-10-3+81-5-3</f>
        <v>252</v>
      </c>
      <c r="E145" s="219">
        <f>3-3+105-10-5-6-30-1-5-1-1-2-2-1-2-1-1-1-1-1-1-2-1+48+1-2-1-2-1-1-1-3-6-3-1-1-3+66-2-3+53-3-2-3-1-3-8-6-3-1-10-1-3-1-1-1-2-1-1-1-5-1-3-2-2-1-1-3-1+37-1-5-3+180-3</f>
        <v>302</v>
      </c>
      <c r="F145" s="219">
        <f>2-2+48-10-4-30-1-1-2+1-1+37+3-1-1-1-1-2-1-1-1-1-1-1-1-2-1-3-1-1-2+60-1-3-1-3-1-2-4-2-1-1-8-1-3-1-1-1-1-5-1-1-3-2-2-1-1-3-3+140-3</f>
        <v>157</v>
      </c>
      <c r="G145" s="219">
        <f>2-2+22-5-12-5+20-12-1-1-1-3-1-1+35-1-2-1-2-1-1-3-1-1-6-3-1-3-1-1-2-2-3+68-1-3</f>
        <v>64</v>
      </c>
      <c r="H145" s="219">
        <f>1-1+9-5-4+20-5-1-2-1-1-1-1-1+15-1-2-2-1-1-1-5-3-2-1-1-2+47-3-1</f>
        <v>43</v>
      </c>
      <c r="I145" s="219">
        <f>1+9-1-1+5-2-1-2-1+10</f>
        <v>17</v>
      </c>
      <c r="J145" s="220">
        <f>1+9-1+5-1-1-2-1-2+10</f>
        <v>17</v>
      </c>
      <c r="K145" s="221">
        <f>25-3-1-1-1-5-3-2+80-3+67-2+1-3-1-3-10-2-5-1-1-2-2-1-5-2+72</f>
        <v>186</v>
      </c>
      <c r="L145" s="219">
        <f>100-1-5-1-1-5-1-25-4-1-2-1-1+19-2-2-1-2-1-1-2-1-3+67-2-1-1-5-1-3-1-20-1-1-1-2-1+1-10-1-2-1-2-1-5-3+70+25</f>
        <v>154</v>
      </c>
      <c r="M145" s="219">
        <f>100-7-1-1-1-1-10-5-35-5-1-1-1-2-1+78+2-1-1-1-1-2-1-3-2-2-3-3+2+67-2-1-3-5-1-5-6-20-5-2-1-1-1-15-1-1-2-1-2-1-1-1-1-1-2-3-1+80+100</f>
        <v>251</v>
      </c>
      <c r="N145" s="219">
        <f>100-1-8-7-1-1-10-5-35-5-1-2-1-1-1+78+1-1-1-1-2-3-1-1-1-2-1-1-1-1-1-7-3-1-1-1+86-2+2-5-2-2-2-1-30-3-4-20-1-1-2-1-1-1-2-1-3+42+100</f>
        <v>215</v>
      </c>
      <c r="O145" s="219">
        <f>50-7-1-1-10-5-26+50-9-6-4-2-1-1-1-1-2-2-1-1-1-2-3+69-2-5-2-2-1-25-1-3-1-20-1-1-2-2-1-3+26+59</f>
        <v>95</v>
      </c>
      <c r="P145" s="219">
        <f>25-3-1-1-5-5-1-3-1+20-20-2-3+1+36-1+16-3-1-1-20-2-3-1-2-1-2+8+24</f>
        <v>48</v>
      </c>
      <c r="Q145" s="219">
        <f>10-1-1-1-1-5-1+20-10-1-1-2-3+20+15-3-1-1-15-1-1-8-2-1-1-2+24</f>
        <v>26</v>
      </c>
      <c r="R145" s="219">
        <f>10-1+10-5-2-2+10</f>
        <v>20</v>
      </c>
      <c r="S145" s="222">
        <f>10-1+9+1-5-2-2</f>
        <v>10</v>
      </c>
      <c r="T145" s="158">
        <f>SUM(B145:S145)</f>
        <v>2011</v>
      </c>
      <c r="V145" s="19"/>
      <c r="X145" s="19"/>
      <c r="Z145" s="19"/>
    </row>
    <row r="146" spans="1:26" s="1" customFormat="1" ht="30" customHeight="1">
      <c r="A146" s="234" t="s">
        <v>74</v>
      </c>
      <c r="B146" s="219">
        <f>18-3-3-1+20-6-3-2-15-3-2+12-2-1-3-1-2-1-1-1</f>
        <v>0</v>
      </c>
      <c r="C146" s="219">
        <f>82-1-3-5-5-1-1-1-2-1-1+20-1-4-3-3-1-30-3-2-1-3-1-2-1-1-1-1-1-3-1-5-3-10+6-2-3-1</f>
        <v>0</v>
      </c>
      <c r="D146" s="219">
        <f>80-5-4-5-5-1-1-2-1-1-1+49-6-5-1-3-1-30-1-1-1-1-5-3-2-1-2-1-1-1-1-3-3-2-2-1-1-2-1-2-1-1-2-1-2-7+6-1-2-1-2-2-3</f>
        <v>0</v>
      </c>
      <c r="E146" s="219">
        <f>80-1-5-5-5-1-5-1-1-1-2-1-1-1+49-4-3-3-30-1-1-4-1-3-1-3-2-3-3-2-5-3-2-1-1-1-1-2-3-2-1-1-1-1-2-1-3-1-1-1-1</f>
        <v>0</v>
      </c>
      <c r="F146" s="219">
        <f>40-5-4-4-1-2+1+47-1-9-6-3-30-1-1-6-1-2-1-3-1-4-2-1+12-2-1-1-1-3-1-3</f>
        <v>0</v>
      </c>
      <c r="G146" s="219">
        <f>20-3-1-3-2+12-2-3-2-3-1-2-10+12-3-3-1-2-2-1</f>
        <v>0</v>
      </c>
      <c r="H146" s="219">
        <f>10-3-2-1-2-1+11-1-1-1-9+6-2-3-1</f>
        <v>0</v>
      </c>
      <c r="I146" s="219">
        <f>10-4-1-1-1-3+6-1-1-1-3</f>
        <v>0</v>
      </c>
      <c r="J146" s="220">
        <f>10-1-2-1-6+6-2-2-1</f>
        <v>1</v>
      </c>
      <c r="K146" s="223">
        <f>18-3-3-1+20-6-3-2-15-3-2+15-3-1-1-2-1-1-2-1-3</f>
        <v>0</v>
      </c>
      <c r="L146" s="219">
        <f>82-1-3-5-5-1-1-1-2-1-1+20-1-4-3-3-1-30-3-2-1-3-1-2-1-1-1-1-3-2-1-2-5-5-1-1-1-1-1+15-1-1-2-1-1-1-2-3-1-1-1</f>
        <v>0</v>
      </c>
      <c r="M146" s="219">
        <f>80-5-4-5-5-1-1-2-1-1-1+49-6-5-1-3-1-30-1-1-1-1-5-3-2-1-2-1-1-1-1-1-1-18-5-1-1-1-1-3-1-1-2+39-1-1-1-2+1-3-2-1-1+1-2-1-2-4-1-2-6-1-1-6-3</f>
        <v>0</v>
      </c>
      <c r="N146" s="219">
        <f>80-1-5-5-5-1-5-1-1-1-2-1-1-1+49-4-3-3-30-1-1-4-1-3-1-3-2-3-1-1-4-1-1-1-2-6-5-1-1-1-1-1-5-8+40-1-1-2-2-1-1-1-1-1-2-1-1-1-2-1-9-2-2-6-2</f>
        <v>0</v>
      </c>
      <c r="O146" s="219">
        <f>40-5-4-4-1-2+1+47-1-9-6-3-30-1-1-6-1-2-1-3-1-4-2-1+40-1-1-5-3-3-5-1-1-7-1-2-5-1-1-3</f>
        <v>0</v>
      </c>
      <c r="P146" s="219">
        <f>20-3-1-3-2+12-2-3-2-3-1-2-10+15-3-1-2-1-1-1-1-2-1-2</f>
        <v>0</v>
      </c>
      <c r="Q146" s="219">
        <f>10-3-2-1-2-1+11-1-1-1-9+5-1-1-2-1</f>
        <v>0</v>
      </c>
      <c r="R146" s="219">
        <f>10-4-1-1-1-3+5-1-2-1-1+5-1-2-1-1</f>
        <v>0</v>
      </c>
      <c r="S146" s="224">
        <f>10-1-2-1-6+4+1-2</f>
        <v>3</v>
      </c>
      <c r="T146" s="158">
        <f>SUM(B146:S146)</f>
        <v>4</v>
      </c>
      <c r="V146" s="19"/>
      <c r="X146" s="19"/>
      <c r="Z146" s="19"/>
    </row>
    <row r="147" spans="1:26" s="1" customFormat="1" ht="29.25" customHeight="1">
      <c r="A147" s="234" t="s">
        <v>75</v>
      </c>
      <c r="B147" s="219">
        <f>25-1-1-1-2-4-3-2-1-3-2+25-1+1-1-1-3-15-1+2-2-1-5-1-2+21-1-1-7-2-1-7-2+15-3-2-5-1-1-2+10-3+3-2</f>
        <v>9</v>
      </c>
      <c r="C147" s="225">
        <f>40-1-2-1-1+3-1-1-1+39-2-2-2-25-3-1-1-4-1-1-1-1+15-1-4-5-1-1-2-10-2-1-3-3+17-1-6+64-2-1-2+50</f>
        <v>131</v>
      </c>
      <c r="D147" s="219">
        <f>86-2-1-2+4-1-1-1-1-1+3-1-1-3-1-1-10-3-3-1-1-1-3-5-1-1+39-1+10-1-4-5-30-4-3-1-1+3-1-1-1-1+99-2-2-1-9-1-29-3-2-4-3-1-4-9-1-8-1-1-2-10-2-1-1-4+32-1-1+83-2-2+50</f>
        <v>202</v>
      </c>
      <c r="E147" s="219">
        <f>87-1-1-1+4-1-1-1-1-1-1-3-6-10-3-3-1-1-1-1-3-5-1-5-1-1-1-1-1-1-1-1-1+36-1+14-1-5-5-30-1-1-1-7-1+3-1-1-1-1-1+100-1-1-1-1-2-5-2-1-3-1-32-3-1-3-1-8-3-1-1-1-1+15-1-2-10-1-2-1-4+25-1+89-1-3-3+1-3</f>
        <v>150</v>
      </c>
      <c r="F147" s="219">
        <f>57-2+2-2-6-5-3-3-1-1-3-5+14-1+1-1-1-4-5-30-1+1+3-1-1-1-1+80-1-1-3-2-1-2-24-3-1-2-4-1-1-1-1-1-1-1-2-5-2-1-4+21+38-3</f>
        <v>71</v>
      </c>
      <c r="G147" s="219">
        <f>25-2-4-3-2-5-3+9-1+6-1-1-6-5-1+3-1-5-3+19-1-18+15-1-1-2-1-5-3-1-1+7-1+20-3-2-2+20</f>
        <v>39</v>
      </c>
      <c r="H147" s="219">
        <f>10-1-2-4-1-1+7-1+8-1-2-1-2-4-3-2+1-1+20-1-19+5+20-2+5</f>
        <v>28</v>
      </c>
      <c r="I147" s="219">
        <f>10-1-2-1-1-1-1-2-1+10-2-2-1-1-1+1+7</f>
        <v>11</v>
      </c>
      <c r="J147" s="220">
        <f>9+1-1-2-2-1-1-3+10-1-1-1</f>
        <v>7</v>
      </c>
      <c r="K147" s="221">
        <f>17+2-3-6-2-3+20-2-1-5+3-1-1-1-1+30-3-2-18-3-1-1-3-3-1-1-1-1-5-1-2+40+60-2</f>
        <v>98</v>
      </c>
      <c r="L147" s="219">
        <f>54+6-5-10-10-5-5-1-1-1-1+55-2+4-1-1-6-25+1+5-1-1-1-1-1-2+28-1-3-1-2-1-31-5-1-1-1-3-1+29-2-2+1+1-1-2-1-1-10-2-3-3-4-3+100-2-2-2-2-1-1+60-3</f>
        <v>165</v>
      </c>
      <c r="M147" s="219">
        <f>107-2-1-2-1-1-1+13-1-1-1-1-1-1-1-1-1-1-1-1-1-1-1-1-1-1-1+1-1-1-1-1-1-10-1-20-10-7-5-1-1-1-1-1-2-7-1-1-1-1-7-1-1+35-2+94-1-1-1-1-5-35-1-1-12-1+1+7+2-1-1-1-2-2-1+60-1-1-1-3-1-2-1-1-50-5-1-5-1-5-1-6-1-3-1-5-1-1-1-1+26-3-1+4-1-2-1-1-1-10-2-1-1-4-1-3-4-1+200-1-2-2-2-3+100-1-5</f>
        <v>317</v>
      </c>
      <c r="N147" s="219">
        <f>108-1-3-1+12-1-1-1-1-1-1-1-1-1-3-3-1+2-10-20-20-8-5-1-1-1-1-1-1-4-7-1-4-1-1-1+15-2+114-1-5-35-10-1-1-1+8+2-1-1-1-2-1-1+59-1-1-1-3-2-46-5-2-2-2-1-7-1-3-1-2-1+50-1-2-1-1-1-10-2-1-4-1-4-1-2-3-1-1-2-4+150-1-4-2-2-6+100-1-5</f>
        <v>304</v>
      </c>
      <c r="O147" s="219">
        <f>60-1-1-2-8-16-5-7-5-1-1-7-2+60-1-35-1-1-7-1-1+7-1-1-1-1-5-1-1-2+9-2-1-3-1-2-1-5-2-2-1+9-1-1+42-1-1-1-1-5-2-3-1-3-4-1-1+79-2-2-2+80-3</f>
        <v>175</v>
      </c>
      <c r="P147" s="219">
        <f>30-1+10-6-3-3-3-3-1-2+14-1-5-10+3-15-4+8-3-1-3-1+15+14-1-1-2-2-1-1-5-2-2-2-3+40-1+40-2</f>
        <v>84</v>
      </c>
      <c r="Q147" s="219">
        <f>5+15-3-1-1-2-1-2-1-1-2-3-1+13+2-2-1-1-1+1-1-1-1-3-1-1-3-2+10+5-2-1-1-1-1-2-2-1-2-2+15+40-2</f>
        <v>53</v>
      </c>
      <c r="R147" s="219">
        <f>4+6-1-2-1+10-1-1-1-3-1-3-2-2+15</f>
        <v>17</v>
      </c>
      <c r="S147" s="222">
        <f>6+4-1-2-1-1+1-1+9-1-1-3-2-2+15</f>
        <v>20</v>
      </c>
      <c r="T147" s="158">
        <f>SUM(B147:S147)</f>
        <v>1881</v>
      </c>
      <c r="V147" s="19"/>
      <c r="X147" s="19"/>
      <c r="Z147" s="19"/>
    </row>
    <row r="148" spans="1:26" ht="31.5">
      <c r="A148" s="150"/>
      <c r="B148" s="226"/>
      <c r="C148" s="150"/>
      <c r="D148" s="150"/>
      <c r="E148" s="150"/>
      <c r="F148" s="150"/>
      <c r="G148" s="150"/>
      <c r="H148" s="150"/>
      <c r="I148" s="150"/>
      <c r="J148" s="150"/>
      <c r="K148" s="150"/>
      <c r="L148" s="150"/>
      <c r="M148" s="150"/>
      <c r="N148" s="150"/>
      <c r="O148" s="150"/>
      <c r="P148" s="150"/>
      <c r="Q148" s="150"/>
      <c r="R148" s="150"/>
      <c r="S148" s="150"/>
      <c r="T148" s="227">
        <f>SUM(T133:T147)</f>
        <v>40512</v>
      </c>
      <c r="U148" s="72"/>
      <c r="V148" s="72"/>
      <c r="X148" s="19"/>
      <c r="Z148" s="71"/>
    </row>
    <row r="151" spans="1:26" ht="31.5">
      <c r="A151" s="325" t="s">
        <v>76</v>
      </c>
      <c r="B151" s="325"/>
      <c r="C151" s="325"/>
      <c r="D151" s="325"/>
      <c r="E151" s="325"/>
      <c r="F151" s="325"/>
      <c r="G151" s="325"/>
      <c r="H151" s="325"/>
      <c r="I151" s="325"/>
      <c r="J151" s="325"/>
      <c r="K151" s="325"/>
      <c r="L151" s="325"/>
      <c r="M151" s="325"/>
      <c r="N151" s="325"/>
      <c r="O151" s="325"/>
      <c r="P151" s="325"/>
      <c r="Q151" s="325"/>
      <c r="R151" s="325"/>
      <c r="S151" s="325"/>
      <c r="T151" s="326"/>
    </row>
    <row r="152" spans="1:26" s="235" customFormat="1" ht="26.25">
      <c r="A152" s="106" t="s">
        <v>47</v>
      </c>
      <c r="B152" s="83"/>
      <c r="C152" s="84"/>
      <c r="D152" s="84"/>
      <c r="E152" s="83" t="s">
        <v>3</v>
      </c>
      <c r="F152" s="84"/>
      <c r="G152" s="84"/>
      <c r="H152" s="84"/>
      <c r="I152" s="84"/>
      <c r="J152" s="85"/>
      <c r="K152" s="83" t="s">
        <v>77</v>
      </c>
      <c r="L152" s="84"/>
      <c r="M152" s="84"/>
      <c r="N152" s="84"/>
      <c r="O152" s="84"/>
      <c r="P152" s="84"/>
      <c r="Q152" s="84"/>
      <c r="R152" s="84"/>
      <c r="S152" s="84"/>
      <c r="T152" s="84"/>
      <c r="U152" s="179"/>
    </row>
    <row r="153" spans="1:26" s="232" customFormat="1" ht="26.25">
      <c r="A153" s="103" t="s">
        <v>5</v>
      </c>
      <c r="B153" s="87" t="s">
        <v>6</v>
      </c>
      <c r="C153" s="87" t="s">
        <v>7</v>
      </c>
      <c r="D153" s="87" t="s">
        <v>8</v>
      </c>
      <c r="E153" s="87" t="s">
        <v>9</v>
      </c>
      <c r="F153" s="87" t="s">
        <v>10</v>
      </c>
      <c r="G153" s="87" t="s">
        <v>11</v>
      </c>
      <c r="H153" s="87" t="s">
        <v>12</v>
      </c>
      <c r="I153" s="87" t="s">
        <v>13</v>
      </c>
      <c r="J153" s="87" t="s">
        <v>14</v>
      </c>
      <c r="K153" s="87" t="s">
        <v>6</v>
      </c>
      <c r="L153" s="87" t="s">
        <v>7</v>
      </c>
      <c r="M153" s="87" t="s">
        <v>8</v>
      </c>
      <c r="N153" s="87" t="s">
        <v>9</v>
      </c>
      <c r="O153" s="87" t="s">
        <v>10</v>
      </c>
      <c r="P153" s="87" t="s">
        <v>11</v>
      </c>
      <c r="Q153" s="87" t="s">
        <v>12</v>
      </c>
      <c r="R153" s="87" t="s">
        <v>13</v>
      </c>
      <c r="S153" s="87" t="s">
        <v>14</v>
      </c>
      <c r="T153" s="87" t="s">
        <v>15</v>
      </c>
      <c r="U153" s="87"/>
    </row>
    <row r="154" spans="1:26" ht="27" customHeight="1">
      <c r="A154" s="165" t="s">
        <v>78</v>
      </c>
      <c r="B154" s="115">
        <f>10-3-2-1-2-1-1</f>
        <v>0</v>
      </c>
      <c r="C154" s="115">
        <f>40-13-2-4-1-1-1-1-1-2-2-2-1</f>
        <v>9</v>
      </c>
      <c r="D154" s="115">
        <f>60-5-2-4-1-1-1-1-1-1-1-6-1-1-3-2-3-1-10-1</f>
        <v>14</v>
      </c>
      <c r="E154" s="115">
        <f>60-1-2-4-2-1-1-1-1-1-5-2-1-2</f>
        <v>36</v>
      </c>
      <c r="F154" s="115">
        <f>40-1-2-1-1-1-3-2-4</f>
        <v>25</v>
      </c>
      <c r="G154" s="115">
        <f>15-2-2-2-2</f>
        <v>7</v>
      </c>
      <c r="H154" s="115">
        <f>15+2-2-2-1-2-2</f>
        <v>8</v>
      </c>
      <c r="I154" s="115">
        <f>6+3-1-1-2</f>
        <v>5</v>
      </c>
      <c r="J154" s="115">
        <f>9-1-2-1</f>
        <v>5</v>
      </c>
      <c r="K154" s="115">
        <f>15-2-1-2-1-1</f>
        <v>8</v>
      </c>
      <c r="L154" s="115">
        <f>60-2-2-3-1-4-2-1-5-1-2-1-3-2-2-1-2-1-2-2-2-1-1</f>
        <v>17</v>
      </c>
      <c r="M154" s="115">
        <f>120-2-1-2-3-1-1-1-1-2-1-2-1-18-1-1-1-1-5-2-2-1-1-1-1-1-1-1-2-2-1-1-1</f>
        <v>57</v>
      </c>
      <c r="N154" s="115">
        <f>120-1-1-2-1-2-3-1-1-1-1-1-1-5-1-1-1-1-1-5-2-1-1-3-2-1-1-2</f>
        <v>76</v>
      </c>
      <c r="O154" s="115">
        <f>60-2-1-1-3-1-1-1-1-1-4-1-5-2-1-1-1-2-2-1</f>
        <v>28</v>
      </c>
      <c r="P154" s="115">
        <f>30-2-2-1-1-3-2-1-1-1</f>
        <v>16</v>
      </c>
      <c r="Q154" s="115">
        <f>15-2-1-1-1-3-2</f>
        <v>5</v>
      </c>
      <c r="R154" s="115">
        <f>10-1-2-1-3</f>
        <v>3</v>
      </c>
      <c r="S154" s="115">
        <f>10-1-2-1-3</f>
        <v>3</v>
      </c>
      <c r="T154" s="115">
        <f>SUM(B154:S154)</f>
        <v>322</v>
      </c>
      <c r="U154" s="5"/>
    </row>
    <row r="155" spans="1:26" ht="27.75" customHeight="1">
      <c r="A155" s="165" t="s">
        <v>16</v>
      </c>
      <c r="B155" s="115">
        <f>15-2-1-1-2-2-1</f>
        <v>6</v>
      </c>
      <c r="C155" s="115">
        <f>40+2-1-2-1-1-1-2-2-6-1-1-1</f>
        <v>23</v>
      </c>
      <c r="D155" s="115">
        <f>60-1-1-2-1-1-1-1-12+1-1-3-2-1-6</f>
        <v>28</v>
      </c>
      <c r="E155" s="115">
        <f>60-1-2-1-1-1-1-5-2</f>
        <v>46</v>
      </c>
      <c r="F155" s="115">
        <f>40-2-1-1-3-2-1-10-1-1</f>
        <v>18</v>
      </c>
      <c r="G155" s="115">
        <f>15-2-2-2-9</f>
        <v>0</v>
      </c>
      <c r="H155" s="115">
        <f>15-2-2-2-1-1</f>
        <v>7</v>
      </c>
      <c r="I155" s="115">
        <f>10-2-1</f>
        <v>7</v>
      </c>
      <c r="J155" s="115">
        <f>10-1-2</f>
        <v>7</v>
      </c>
      <c r="K155" s="115">
        <f>15-1-2-1-1-1-1-1</f>
        <v>7</v>
      </c>
      <c r="L155" s="115">
        <f>60-2-3-2-1-1-1+1-1-1-3-2-2-8-1-2-1-20</f>
        <v>10</v>
      </c>
      <c r="M155" s="115">
        <f>120-1-2-1-1-2-3-1-1-1-1-5-1-2-1-1-1-4-1-1-2-2-1-2-1-1-1-2-2-1-27</f>
        <v>47</v>
      </c>
      <c r="N155" s="115">
        <f>120-1-1-3-1-1-2-2-1-1-1-1-1-5-2-1-1-1-1-2-1-1-1-1-1-32</f>
        <v>54</v>
      </c>
      <c r="O155" s="115">
        <f>60-1-1-1-1-1-1-1-5-2-10-1-2-1-1-1-2</f>
        <v>28</v>
      </c>
      <c r="P155" s="115">
        <f>30-2-1-1-3-2-1-1-1-10-1</f>
        <v>7</v>
      </c>
      <c r="Q155" s="115">
        <f>15-3-2-1-1-2</f>
        <v>6</v>
      </c>
      <c r="R155" s="115">
        <f>10-1-2-1-1</f>
        <v>5</v>
      </c>
      <c r="S155" s="115">
        <f>10-2</f>
        <v>8</v>
      </c>
      <c r="T155" s="115">
        <f>SUM(B155:S155)</f>
        <v>314</v>
      </c>
      <c r="U155" s="1"/>
    </row>
    <row r="156" spans="1:26" ht="27" customHeight="1">
      <c r="A156" s="165" t="s">
        <v>30</v>
      </c>
      <c r="B156" s="115">
        <f>7-2+3-1-1-2-2</f>
        <v>2</v>
      </c>
      <c r="C156" s="115">
        <f>24-1-2+6-1-1-1-4-1-2-3-2-2</f>
        <v>10</v>
      </c>
      <c r="D156" s="115">
        <f>40-2+10-1-1-1-1-2+1-12-3-2-1</f>
        <v>25</v>
      </c>
      <c r="E156" s="115">
        <f>30-2+20-1-1-1-1-6-5-2-1-1</f>
        <v>29</v>
      </c>
      <c r="F156" s="115">
        <f>15-2+15-1-1-7-3-2-1</f>
        <v>13</v>
      </c>
      <c r="G156" s="115">
        <f>6-2+4-1-2-2-1</f>
        <v>2</v>
      </c>
      <c r="H156" s="115">
        <f>10-1-2-2</f>
        <v>5</v>
      </c>
      <c r="I156" s="115">
        <f>5+5-2</f>
        <v>8</v>
      </c>
      <c r="J156" s="115">
        <f>10-2</f>
        <v>8</v>
      </c>
      <c r="K156" s="115">
        <f>1+12-2+2-1-2-1-1-1</f>
        <v>7</v>
      </c>
      <c r="L156" s="115">
        <f>10+32-2-4+7-2-1-1-10-1-1-1-1-3-2-1-1-1-2-1-2</f>
        <v>12</v>
      </c>
      <c r="M156" s="115">
        <f>31-1+68-2+7-2-1-1-1-2-36-5-1+1-1-4-1-5-2-1-1-2-1-1-1-1-2-1-2</f>
        <v>29</v>
      </c>
      <c r="N156" s="115">
        <f>21+67-1-2-1+16-1-1-2-1-1-10-2-2-1-2-1-5-1-1-1-5-2-1-1-1-1-2-2-1-1-1-2-3-1</f>
        <v>44</v>
      </c>
      <c r="O156" s="115">
        <f>9+35-2+6-1-1-1-1-8-1-1-3-7-1-2-5-2-1-1-1-2-1-1-1-1-1-3</f>
        <v>1</v>
      </c>
      <c r="P156" s="115">
        <f>11+12-2+2-2-3-2-1-1-3-3-2-1-1</f>
        <v>4</v>
      </c>
      <c r="Q156" s="115">
        <f>4+11-2-1-1-1-3-2</f>
        <v>5</v>
      </c>
      <c r="R156" s="115">
        <f>10-2-1</f>
        <v>7</v>
      </c>
      <c r="S156" s="115">
        <f>7+3-2-1</f>
        <v>7</v>
      </c>
      <c r="T156" s="115">
        <f>SUM(B156:S156)</f>
        <v>218</v>
      </c>
      <c r="U156" s="1"/>
    </row>
    <row r="157" spans="1:26" ht="33" customHeight="1">
      <c r="A157" s="131"/>
      <c r="B157" s="131"/>
      <c r="C157" s="131"/>
      <c r="D157" s="131"/>
      <c r="E157" s="131"/>
      <c r="F157" s="131"/>
      <c r="G157" s="131"/>
      <c r="H157" s="131"/>
      <c r="I157" s="131"/>
      <c r="J157" s="131"/>
      <c r="K157" s="131"/>
      <c r="L157" s="131"/>
      <c r="M157" s="131"/>
      <c r="N157" s="131"/>
      <c r="O157" s="131"/>
      <c r="P157" s="131"/>
      <c r="Q157" s="131"/>
      <c r="R157" s="131"/>
      <c r="S157" s="131"/>
      <c r="T157" s="237">
        <f>T154+T155+T156</f>
        <v>854</v>
      </c>
    </row>
    <row r="158" spans="1:26" ht="21">
      <c r="A158" s="22"/>
      <c r="B158" s="37"/>
      <c r="C158" s="37"/>
      <c r="D158" s="37"/>
      <c r="E158" s="37"/>
      <c r="F158" s="37"/>
      <c r="G158" s="37"/>
      <c r="H158" s="37"/>
      <c r="I158" s="37"/>
      <c r="J158" s="37"/>
      <c r="K158" s="37"/>
      <c r="L158" s="37"/>
      <c r="M158" s="37"/>
      <c r="N158" s="37"/>
      <c r="O158" s="37"/>
      <c r="P158" s="37"/>
      <c r="Q158" s="37"/>
      <c r="R158" s="37"/>
      <c r="S158" s="9"/>
      <c r="T158" s="14"/>
      <c r="U158" s="1"/>
    </row>
    <row r="159" spans="1:26" ht="21">
      <c r="U159" s="1"/>
    </row>
    <row r="160" spans="1:26" ht="31.5">
      <c r="A160" s="325" t="s">
        <v>79</v>
      </c>
      <c r="B160" s="325"/>
      <c r="C160" s="325"/>
      <c r="D160" s="325"/>
      <c r="E160" s="325"/>
      <c r="F160" s="325"/>
      <c r="G160" s="325"/>
      <c r="H160" s="325"/>
      <c r="I160" s="325"/>
      <c r="J160" s="325"/>
      <c r="K160" s="325"/>
      <c r="L160" s="325"/>
      <c r="M160" s="325"/>
      <c r="N160" s="325"/>
      <c r="O160" s="325"/>
      <c r="P160" s="325"/>
      <c r="Q160" s="325"/>
      <c r="R160" s="325"/>
      <c r="S160" s="325"/>
      <c r="T160" s="326"/>
      <c r="U160" s="1"/>
    </row>
    <row r="161" spans="1:24" s="235" customFormat="1" ht="26.25">
      <c r="A161" s="85" t="s">
        <v>47</v>
      </c>
      <c r="B161" s="322" t="s">
        <v>3</v>
      </c>
      <c r="C161" s="323"/>
      <c r="D161" s="323"/>
      <c r="E161" s="323"/>
      <c r="F161" s="323"/>
      <c r="G161" s="323"/>
      <c r="H161" s="323"/>
      <c r="I161" s="323"/>
      <c r="J161" s="324"/>
      <c r="K161" s="322" t="s">
        <v>4</v>
      </c>
      <c r="L161" s="323"/>
      <c r="M161" s="323"/>
      <c r="N161" s="323"/>
      <c r="O161" s="323"/>
      <c r="P161" s="323"/>
      <c r="Q161" s="323"/>
      <c r="R161" s="323"/>
      <c r="S161" s="323"/>
      <c r="T161" s="324"/>
      <c r="U161" s="179"/>
    </row>
    <row r="162" spans="1:24" s="232" customFormat="1" ht="26.25">
      <c r="A162" s="88" t="s">
        <v>5</v>
      </c>
      <c r="B162" s="87" t="s">
        <v>6</v>
      </c>
      <c r="C162" s="87" t="s">
        <v>7</v>
      </c>
      <c r="D162" s="87" t="s">
        <v>8</v>
      </c>
      <c r="E162" s="87" t="s">
        <v>9</v>
      </c>
      <c r="F162" s="87" t="s">
        <v>10</v>
      </c>
      <c r="G162" s="87" t="s">
        <v>11</v>
      </c>
      <c r="H162" s="87" t="s">
        <v>12</v>
      </c>
      <c r="I162" s="87" t="s">
        <v>13</v>
      </c>
      <c r="J162" s="87" t="s">
        <v>14</v>
      </c>
      <c r="K162" s="87" t="s">
        <v>6</v>
      </c>
      <c r="L162" s="87" t="s">
        <v>7</v>
      </c>
      <c r="M162" s="87" t="s">
        <v>8</v>
      </c>
      <c r="N162" s="87" t="s">
        <v>9</v>
      </c>
      <c r="O162" s="87" t="s">
        <v>10</v>
      </c>
      <c r="P162" s="87" t="s">
        <v>11</v>
      </c>
      <c r="Q162" s="87" t="s">
        <v>12</v>
      </c>
      <c r="R162" s="87" t="s">
        <v>13</v>
      </c>
      <c r="S162" s="87" t="s">
        <v>14</v>
      </c>
      <c r="T162" s="87" t="s">
        <v>15</v>
      </c>
      <c r="U162" s="172"/>
    </row>
    <row r="163" spans="1:24" ht="26.25" customHeight="1">
      <c r="A163" s="135" t="s">
        <v>58</v>
      </c>
      <c r="B163" s="115">
        <f>69+2-3-1-3-1-63+63+3-1-1-3-1-2-1-1-2-2-1-3-1-1-2-1-1-1-1-1-1-1-1-4+45-1-13-1-1-5-12-1-1+1-5-1-1-2-1-1-1-1-30+16-16+21-18-3+46+50-1-1-1-1-1-1-1-1</f>
        <v>88</v>
      </c>
      <c r="C163" s="115">
        <f>104+139-5+30+1-1-5-3-2-2-1-2-1-5+2-249+123+59+60-1-1+2-1-1-1-1-4-4-1-4-10-1-2-1-4-4-1-1-2-1-1-2-2-1-1-3-1-2-7-1-1-2-8-2-3-1-1-1-1-1-3-3-4-1-1-1-1-1-1-1-1-7+198-1-1-2-22-1-2-3-1-1-10-9-1-10-4-1-4-9-2-1-2-2-3-1+1-2-2-1-1-2-1-2-4-1-1-2-5-1-1-2-4-1-1-1-1-1-103-29-2-1-50+100-1-1-1-50+100-98-1-2-6-1-3-1-10-1-2-1-2-2-1-2-1-1-1-4-6-2+200+144-1-3+9-2-2-1-1-1-1-4-6-1-2-2-1-1-1-1</f>
        <v>336</v>
      </c>
      <c r="D163" s="115">
        <f>49+70-49-3-1+200+50-244-1-1+99-7-6-1-21-1-1-1-26-1-2-2-4-1-2-1-2-1-1-3-6-1-1-5-2+240+186-1-1-4-2-1-2-1+9-1-1-2-1-1-1-1-4-2-1-1-1-1-2-1-1-1-1-1-2-2-1</f>
        <v>463</v>
      </c>
      <c r="E163" s="115">
        <f>94+100-94-5-1-3-1+150+49-195-1-1+99-5-6-13-1-13-2-4-4-1-7-3-2-1-8+238+146-1-1+6-2-2-1-1-1-8-1-4-1-1-1-3-1-1-1-1-2-1-1</f>
        <v>475</v>
      </c>
      <c r="F163" s="115">
        <f>76-76+60+47-60-1-1+3-4-6-1-1-2-1-16-4-1-1-2-2-1-2-4+149-3-1-1-1-2-1-1-1-1-1-1-1-2-2-2-2-1-1</f>
        <v>124</v>
      </c>
      <c r="G163" s="115">
        <f>91-2-1-1-87+88-1-1-1-1-1-2-2-1-1-1-1-1-1-1-7-2-2-1-1-1-1-1+37-2-2-5-1-6-1-1-1-1+11-1-1+1-1-1-1-2-7-1-4-1-8-56-1+46-46+30+20-30-2-1-3-1-2-1-2-2-2-2+80-1-1-2-1</f>
        <v>77</v>
      </c>
      <c r="H163" s="115">
        <f>26-1-1-1-1-22+20+1-1+14+1-1-1-2-1-1-8-1-1-1-1+40-1-1-5-1-1+6-4-1-1-1-11-5-1-1-1-1-11-1-1-1-10+11-1-1-1-4-1+20-1-2-1-1-1-1</f>
        <v>19</v>
      </c>
      <c r="I163" s="115">
        <f>16-16+16-1-1-1-1-1-1-9-1+7-7+10-2+10-1</f>
        <v>17</v>
      </c>
      <c r="J163" s="115">
        <f>1+19-20+1+19-1-1-1-1-2-3+2-2+10-1-1</f>
        <v>19</v>
      </c>
      <c r="K163" s="115">
        <f>42+30+15-1+1-1-86+59+30-1-2-1-2-1-1-1+51-2-1-1-1-1-1-1-1-16-15-3-1-1-4-1-1-1-8-1-1-1-6-42-1-6-3+9-2-1-1-2-1-1-1-1+48+20-1-2-1</f>
        <v>73</v>
      </c>
      <c r="L163" s="115">
        <f>164-4-2+5+1-1-3-1-1-1-2+1-1-1-2-1-4-3-1-1+1+1-144+49+60+3+23+29-1-1-1+1-1-1+1+77+9-2-1-1-1-1-5-2-1-12-10-1-2-1-2-1-1-1-1-1+155-3-1-1-1-15-5-2-5-11-2-2-5-1-1-12-1-12-11-1-1-1-1-3-3-1-1+73-1-48-5-1-1-1-20-21-2-4-2-1-6+20-3-5-1-1-2-6-5-4+1-3-1-3-2-2-3-3-3-1-1-3-3-79-5-1-1-1-1+99-2-112+117-1-1+1-1-6-21-1-3-17-1-2-2-2-1-4-1-2-2-3+33-1+50-2-2-1-1-1-1-1-1-2-2-2-8-1-1-4-20-1-5</f>
        <v>148</v>
      </c>
      <c r="M163" s="115">
        <f>27+31+120-13-11-2-1+5-5-1-1-3-1-5-5+1+1-1-2-13-3+1-6-1-2-3-2-1+1-105+48+60+50+59-2-1-2-1-2+2+13-1-1-2-3+337-1-1+38-5-1-1-1-3-1-1-1-1-2-1-5-1-1-5-11-2-1-8-1-1-1-4-5-2-1-3-1-2-1-1-1-3-4-1-2-7-1-1-3-1-1-1-4-2-1+232-3-1-1-1-1-15-5-16-23-1-1-1-1-8-2-5-3-3-1-1-11-1-3-1-1-1-1-3-1-4-2-1-1-1-1-1-2-1-1-1-1-2-5-3+105-45-1-2-2-7-1-25-1-33-9-1-2-1-6-4-1-1-5-2+13-9-1-1-2-3-4-8-1-1-2-2-4-3+1-7-1-4-2-1-7-1-1-1-1-1-2-2-2-1-2-3-2-1-1-2-1-1-1-1-1-14-5-1-1-1-2-1-4-1-1-1-1-2-1-10-2-8-2-2-4-1-1-6-76-4-2-1-1-1-6-1-1-7-1-1-1+250-2-195+149-3-1-5-2-1-1-10-15-1-25-1-4-4-1-2-2-1-30-3-1-1-1-1-2-3-4-4-2-1-3-3-8-1-1-2-14-1-2-1-1-2+101-6-1-2-1-6-2-2-2-2-2-4-2-5-5-1-2-10-2-1-1-4-1-1-3-4-1-30-3-1-1-1-3-2</f>
        <v>293</v>
      </c>
      <c r="N163" s="115">
        <f>45+40+200-4-6-3-7-1-3-1-2-2-1-2-6-1-8-1-1-3-233+48+60+6+80-2-1-1+6-1-1+228+26-6-2-1-2-1-1-1-3-1-1-5-1-3-1-5-4-7-2+1-1-2-1-2-1-1-1-1-2-1-1-1-2-1-2-1-1-2-2-2-4-2+358-3-1-2-20-5-4-21-1-3-2-4-5-2-6-10-4-8-1-2-1-1-1-1-1-2-1-1-5-4-1-4-1-1-1-1-1-1-10-1+108-1-2-1-44-8-3-2-1-2-12-25-1-1-36-2-4-3-1-1-2-4+9-20-1-1-2-1-3-1-6-1-4-3-2-1-1-4-1-2-1+1-3-1-8-1-14-1-1-1-2-13-2-1-1-1-1-1-1-1-3-13-1-1-3-16-2-2-10-1-11-2-2-3-54-3-3-1-66-3-1-1-1-1+250-200-1+170-5+1-15-1-23-1-1-26-5-6-19-4-2-3-1-5-3-5-1-1-3-1-2-1-2-1-1-20-1-2-1+100-6-1-1-1-5-4-1-5-2-9-5-1-3-18-1-2-2-1-1-1-1-5-3-1-30-2-1-3-2</f>
        <v>271</v>
      </c>
      <c r="O163" s="115">
        <f>83+103-3-1-1-1-2-6+1-1-2-1-4+1-3-1-162+18+60+60-1-2-1-1+1-1-1+82+6-1-1-1-2-1-1-1-1-6-1-2-1-2-3-2-1-2-1-1-1-2-1-1-1-2-1-1-1-1-1-1-1-1-1-1+99-3-10-5-1-10-1-1-3-2-5-5-1-6-1-1-1-1-3-1-1-1-1-1-10-1+140-4-3-1-1-4-1-13-15-15-2-1-2-1-1-1-4+14-3-20-2-2-1-2-1+1-2-1-1-12-1-1-1-3-1-1-6-1-2-2-1-10-2-1-2-1-5-66-22-2-1-7-2-1-2-50-1-1+80-50-2+100-7-6-16-1-1-5-11-2-1-1-1-1-3-2-3-1-3-2-2-1-9-1-1+157-1+99-4-4-1-1-2-2-4-4-1-12-1-1-1-1-5-1-2-2-30-3-1-1-3-2</f>
        <v>250</v>
      </c>
      <c r="P163" s="115">
        <f>75-2-2-1-2-3-65+64+75-1+40+8-1-1-1-1-3-1-2-1-1-2-2-2-1-1-1-2-5-7-1-4-1-2-1-1-1-1-1-1-1-1-1-1-2+46-10-5-1-10-1-1-1-3-1-1+2-17-4-1-1-1+1-1-2-7-2-1-1-4-1-1-2-1-7-29-3-1-1-15-40+41-10-1-2+49-3-2-3-1-1-1-3-2-1-6+48+51-2-1-3-1-1-4-1-18-1-4-1-1-2-1-1-2</f>
        <v>112</v>
      </c>
      <c r="Q163" s="115">
        <f>63-1-1-2-2-57+57+1-1-1-3-1-1-5-4-1-1-1-1-1-1-1+44-1-5-1-1-1-1+6-12-1-1-1-1-1-1-1-16-1-1+10+25-4-1-2+17-1-1+19-2-2-1-1-1-1</f>
        <v>92</v>
      </c>
      <c r="R163" s="115">
        <f>5-1-4+4-1+10+2-3-2-1-1-1-1-3-1-1-1+29-1-2-2-1-1</f>
        <v>22</v>
      </c>
      <c r="S163" s="115">
        <f>12-12+10-1+10+5-3-1-1-1-1-1-1-1-1-1+30-2+17+10-1</f>
        <v>66</v>
      </c>
      <c r="T163" s="115">
        <f>SUM(B163:S163)</f>
        <v>2945</v>
      </c>
      <c r="U163" s="1"/>
    </row>
    <row r="164" spans="1:24" ht="28.5" customHeight="1">
      <c r="A164" s="135" t="s">
        <v>16</v>
      </c>
      <c r="B164" s="115">
        <f>41-8+6+2-1+2-42+5+12-1+2+2-2-1-1-1-1-2-1+80-8-1-1-3-2-1-2-2-2-4-1-19-3-1-1-2-1-2-1-6</f>
        <v>28</v>
      </c>
      <c r="C164" s="115">
        <f>13-1-1-1+8-6+6+4-22+36-3-1-1-4-1-1-1-1+2-1-1-1-1-2-4-5-5-1-1-1-2+101-1-1-2-1-1-2-2-1-1-1-2-2-2+61-1-1-6-1-4-5-1-1-3-1+1-1-2-5-1-6-2-5-1-3-1-1-1-1-3-1-1-1-1-8-1-1-4-2-1-1+50-1-1-1-1-20-2-2-1-4-1-4-4-2-1-2-2-4-4-2-1-1-2</f>
        <v>52</v>
      </c>
      <c r="D164" s="115">
        <f>39-1-2-1-2-1-1+1-1-6+6-1+1-31+55-2-1-4+1-1-2+1-5+1-1-1-1-1+2-1-1-1-2-1-1-1+1-1+1-1-1-1+1-1-1-1-1-1-1-4-1-6-1-9-1-1+102-1-1-3-1-1-2-1-1-1-2-5-1-1-2-5+149-4-3-12-1-1-2-1-1-1-12-2-2-2+1-2-2-2-1-1-16-5-3-3-1-1-2-10-2-2-1-4-1-1-1-6-1-1-15-2-2-3-4-1-3-1+181-9-1-1-22-1-2-1-1-2-1-2-1-1-4-10-4-2-2-2-3-1-1-2-3</f>
        <v>185</v>
      </c>
      <c r="E164" s="115">
        <f>79-1-1-1-1-1-1-5-68+118-2-4-1-3-3-1-1-1-1-1-1+3-1-1+3+1-1-2-1-2-2-1-1+1-6-1-8-1-1-1-1+28-1-6-1-1-1-2-1+220-6-8-1-1-2-1-5-2-1-1-1-3+1-1-14-5-1-1-1-1-2-1-16-1-1-2-1-1-1-1-5-1-3-1+100+51-1-1-1-12-2-1-2-2-1-8-2-1-5-3-1-2-1-1-1</f>
        <v>322</v>
      </c>
      <c r="F164" s="115">
        <f>25-1-1-1-2+2-1-2-19+15-1+2-1-1-1-1-1-1+6-1-1-1+3+3-1-2-2-1-3-1-3-6+51-1-3-1-1-3-4-4+80-2-2-2-2-2-2-1-4-2-1-3-6-5-1-1-2-7-1-1-1-1-3-2-2-1-1-2-1-1+100-1-1-1-12-1-1-5-1-6-3-2-4-2-1-1-1-1-1-2-1</f>
        <v>104</v>
      </c>
      <c r="G164" s="115">
        <f>11-2-5+3+2-9+3+5-1+3-1+2+2-2+1-2-1-1-1+25-1-2-2+40-3-4-1-6-1-3-1-1-1-1-1-1-2-1-1+47-1-2-2-1-2-1-1</f>
        <v>76</v>
      </c>
      <c r="H164" s="115">
        <f>11-1-10+1-1+24-1-1-1+20-3-2-2-1-1-1-1-1-2+20-1-1-2-1-2-1</f>
        <v>39</v>
      </c>
      <c r="I164" s="115">
        <f>1-1+10-1-1-1-1-2-4+20-1-1-1-1-1+20-2-1</f>
        <v>32</v>
      </c>
      <c r="J164" s="115">
        <f>20-1-19+19+1-1-1-1-1-1+20-1-1-1-1-1-1-1-1-1</f>
        <v>26</v>
      </c>
      <c r="K164" s="115">
        <f>1-1+29+1+50-2-2-1-1-1-3-1-1-2-1-3-1-2-1-2-2-1-1</f>
        <v>52</v>
      </c>
      <c r="L164" s="115">
        <f>8-1-3-2-1+100-8-14-2-4-1-5-6-1+1-1-3-3-1-10-1-5-1-1-1-6-1-1-1-1-2-1-1-1-2-1-1-1-4-1-3-1+157-2-1-1-1-1-5-2-7-2-4-12-1-1-4-4-4-2-1-1-1-1-12-8-5-6-4-5-2-4</f>
        <v>58</v>
      </c>
      <c r="M164" s="115">
        <f>15-5-6-1-2-1+1-1+1-1+1-1+40-2-9-4-1-1-1-15-7+198-6-8-1-8-1-3-1-3-10+3-1-2-2-11-4-1-3-1+200-1-1-5-22-2-2-5-5+3-1-2-2-4-4-2-1-3-2-18-2-5-2-1-1-1-1-1-1-1-1-1-3-1-1-2-1-1-2-10-1-1-2-1-5-2-1-5-1-6-1-1+163-2-4-2-2-5-1-1-1-1-1-11-1-1-1-4-1-5-2-2-1-1-8-1-1-1-1-1-2-1-1-27-1-1-1-1-1-8-2-1-8-2-1-1-1-1-5-27-10-1-2-5-1-2-5-2-3-1</f>
        <v>165</v>
      </c>
      <c r="N164" s="115">
        <f>36-1-2-1-2-1-2-1-2-1-1-2-3-1-1-1+1-1-1-13+4-2-1-1+1-1+3-1-2+31-4-2-2-3-3-6-2-1+155-16-35-1-3-2-3+55-1-2-3-1-1-1-2+199-7-24-2-4-5-1-4-1-1-2-2+1-9-1-1-1-1+1-2-1-4-1-2-2-1-1-1-10-5-3-1-1-1-1-3-1-1-3-1-1-5-3-1-2-1-1-1-18-2-1-1-4-2-1-1-2-2-1-4-1-1+161-2-1-2-1-1-1-22-1-3-5-6-6-1-1-1-1-26-1-1-1-1-2-1-1-2-2-1-1-1-2-1-1-9-26-18-1-1-1-1-1-5-1-1-2</f>
        <v>174</v>
      </c>
      <c r="O164" s="115">
        <f>0+2-2+1-1+1-1+1-1+20-1-3-1-2-6-1-2+73-4-13-3-2-2-1-1+28-1-3-1-1+100-2-10-2-1-1-4+1-5-2-1-1-1-2-1-6-5-1-1-1-1-2-1-2-2-1-1-14-1-1-1-2-1-1-1-2-2-2-1+78-1-2-1-1-5-14-1-2-2-1-1-1-1-15-1-1-1-3-2-1-1-4-15-1-12-1-1-6-1-5-1-3</f>
        <v>58</v>
      </c>
      <c r="P164" s="115">
        <f>13-1-2-4-2-2-2+3-1+1-3+21-4-4-1-2-1-1-1-5-2+36-1-1-2-1+49-1-1-2-1-5-1-1-6-5-2-1-5-1-1-1-2-5-1-2-1-1-1-1-1+50-1-1-1-1-5-2-1-8-1-3-1-4-8-18-4-3-1-1</f>
        <v>17</v>
      </c>
      <c r="Q164" s="115">
        <f>20-7-1-2-1-5+5-1-8+4+5-1-1-1+1-1-2-1+12-9-1-5+1-1+5-1-1-1+23+19-3-2-1-1+1-1-6-3-2-1-1-1-1-1+49-1-1-3-1-3-2</f>
        <v>59</v>
      </c>
      <c r="R164" s="115">
        <f>18-1-2-5-5+5-1-9+4+5-1+1-1-1+6+6-1-1-1-1-1-1-1+20-7-1-2-1-1-1-1-1-1-2</f>
        <v>14</v>
      </c>
      <c r="S164" s="115">
        <f>16-2-1-13+14-1-1+2+2-6-1+20-1-2-1-1-2-1-1</f>
        <v>20</v>
      </c>
      <c r="T164" s="115">
        <f>SUM(B164:S164)</f>
        <v>1481</v>
      </c>
      <c r="U164" s="1"/>
      <c r="X164" t="s">
        <v>0</v>
      </c>
    </row>
    <row r="165" spans="1:24" ht="28.5" customHeight="1">
      <c r="A165" s="135" t="s">
        <v>30</v>
      </c>
      <c r="B165" s="115">
        <f>3-1-2+5-5+30-1-1-1-1-2-3-1-1-1-1-1+40-2-5-3-1-1-7-1+50-2-21-1-1-1-1-1-2-2-1-1-1-1-1</f>
        <v>49</v>
      </c>
      <c r="C165" s="115">
        <f>0+20-1-2-1-3-2-9-5+3+21-2+1-10-10+10-1-1-1-3-2-1-1+2-2+120-1-8-3-2-5-3-5-4-8-4-2-1-2-2-3-2-3-1-1-1-2-1-4-2-2-3-5-5+40-11-1-2-10-5-20-5-1-5-1-3-5-6+150-6-1-1-30-1-1-1-4+20-2-1-1-1-2-2-1-7-1-2-3-1-1-3-2-2-2-14-1-6-1-1-10-6-1-1-1-1</f>
        <v>48</v>
      </c>
      <c r="D165" s="115">
        <f>0+1+1-15+13+3+10-10-1-1+1-1-1+150-6-9-3-8-7-5-11-5-1-11-4-1-2-5-2-2-3-1-1-1-2-7-2-2-1-3-1-3-1-3-1+99-26-2-2-18-1-1-6-20-2-1-5-4-2-1-2-14-1-1-6-9-3-1-1-1+201-7-1-4-37-1-1-2-1-1-1-3-5+160-2-1-1-1-6-4-1-1-1-1-2-8-1-1-1-2-2-4-1-2-5-2-1-1-5-5-4-33-1-3-11-3-1-16-2-2-1-2-1-1-1-2-1-2-2-2-2</f>
        <v>147</v>
      </c>
      <c r="E165" s="115">
        <f>2-2+3-1-1+1-1-1+1-1+4-4+150-9-4-5-7-7-4-8-4-1-7-1-1-2-3-1-1-1-7-2-1-1-2-1-5-1-1+100-27-2-2-17-1-5-45-1-2-5-7-1-4-5-1-2-11-1-9-3-1-1+150-1-2-3-37-1+236-3+1-1-6-1-8-1-2-7-3-1-1-2-2-1-25-11-6-1-1-1-47-1-1-1-3-1-1-3-1-1</f>
        <v>209</v>
      </c>
      <c r="F165" s="115">
        <f>1+1-1-1+1-1+75-6-5-5-10-8-4-1-4-2-3-1-1-1-3-2-3-1-3-2+80-14-2-2-7-1-1-25-1-1-1-1-3-5-6-6-14+100-3-24-1-1-1-2-1-2+80-1-1-5-2-4-6-1-1-1-2-2-8-7-1-1-10-5-1-1-1-4-1-1-2</f>
        <v>76</v>
      </c>
      <c r="G165" s="115">
        <f>21-1-1-1-4+4-18+19+1-1-3-1-1-1-1-2-1+1-2+6-14+30-2-5-5-5-2-2-2-1-2-2-2+40-6-2-10-3-9-8-1-1+50-2-16-1-1+50-8-1-2-1-4-1-2-2-1-10-1-2</f>
        <v>45</v>
      </c>
      <c r="H165" s="115">
        <f>16-7-1-8+9-9+1+9-2-1+2-9+15-1-1-2-2-1-1-1+20-1-2-4-2-3-1-1-3+25-1-1-5-1+20-1-13-1-1-1-1-1-1-1</f>
        <v>25</v>
      </c>
      <c r="I165" s="115">
        <f>4-1-1-2+2-2+1-1+20-1-1-1-3-5</f>
        <v>9</v>
      </c>
      <c r="J165" s="115">
        <f>22-1-21+24-1+1-3-21+5-1-1-1+26-3-1-6</f>
        <v>18</v>
      </c>
      <c r="K165" s="115">
        <f>7-1-1+5-10+4-1-3+30-2-3-1-1+43-3-3+1+7-2-4-1-2-1-3+50-1-1-2-42-1-1-1-1-1-1-2-1-5-1-1-2</f>
        <v>41</v>
      </c>
      <c r="L165" s="115">
        <f>53-2-4-1-1-1-1-4-1-23-1-6-5-1-1+32-1-32+36-1+1-1+1-1-1-1-1-12-1-1-3-1-1-1-1+1-2+1-11+150-8-15-10-8-12-3-1-1-2-2-3-1-3-8-2-1+86-1-4-1+2-3-5-2-1-6-5-5-2-1-5-6-6-1-2+101-1-1-6-1-1-2-1-2-2-1-1-31-79-1-1+54-1+29-3-1-1-1-2-1-1-2-2-1-1-1-2-1-4-5-1-1-1-1-1-43-3-5-1-1-2-2-15-3-8-1-1-6-1-20-1</f>
        <v>7</v>
      </c>
      <c r="M165" s="115">
        <f>96-1-2-1-2-3-6-3+1-2+1-1-15-1-3-58+74-2-2-1-1-1-1-10+2+1-1-1-1-1-2-1-1-1-1-1-2-1-1-2-1-1-17-3-2-1-1-1-1-1-1+1-1-3-3-1+12+1-18+300-9-15-8-15-10-5-5-2-10-1-3-1-1-1-5-3-1-2-3-2-1-1-1-2-20-2-5-1+148-1-2-2-4-6-1-2-2+1-1+3-1-25-2-1-2-10-5-1-1-10-1-4-3-2-3-1-1-1-2-2-2-5-1-2-10-1-1-3-1-4-4-7+199-3-1-1-6-1-4-1-3-1-1-2-2-3-10-1-1-30-6-76-1-1+86-2-2-1+110-2-1-1-1-3-1-1-17-1-5-1-1-12-1-5-4-2-1-4-1-8-13-2-1-1-1-1-1-3-3-1-3-5-2-4-2-2-2-2-124-2-1-29-2-2-5-6-1-24-6-10-1-2-2-1-30-3-2-7-4-3</f>
        <v>23</v>
      </c>
      <c r="N165" s="115">
        <f>92-2+1-11-2+1-2-6-8-1-20-3-39+48-1-1-1-1-10-2+1-2-1-1-1-2-1-1-1-3-7-4-2-1-1-1-3-1+1-1+10-10+300-12-20-5-15-10-4-15-5-4-6-1-4-1-4-4-4-2-1-3-1-4-1-2-1-25-2-1-6-1-3+143-2-4-3-1-2-1-2+3-1+7-25-1-2-4-21-5-2-1-1-2-1-3-1-1-1-5-1-1-5-4-1-3-4-8-1-3+200-12-2-16-2-1-1-1-1-3-4-18-1-3-45+114-1-1-1+111-3-1-1-1-1-4-33-1-5-15-1-1-2-6-9-4-1-1-2-1-4-6-14-1-1-1-1-1-1-1-2-3-1-3-12-3-9-8-2-1-1-1-83-2-33-1-3-4-3-1-3-15-50-1-18-3-1-1-30-1-1-4-2</f>
        <v>45</v>
      </c>
      <c r="O165" s="115">
        <f>52-2-1-2-1-2-2-1-1-1-6+1-5-1-1-27+29-1-1-1+1-1-1+1-1-1-1-1-1+1-1-1-1-3-2-1+1-3-2-1+1-3-1-2-1-2+16-16+150-1-7-10-3-5-5-6-3-2-5-1-1-2-3-2-8-4-5-2-1+55-1-1-1-1-2-1-1+3-1+35-15-2-2-2-21-2-2-10-1-1-5-2-5-5-2-8-1+152-1-1-9-6-2-1-4-14-1-22-1+8-1+75-1-1-1-1-2-1-1-1-16-1-2-6-6-6-1-4-1-1-1-2-4-3-1-8-2-3-20-14-11-1-2-2-1-1-2-10-12-2-30-1-2-2</f>
        <v>54</v>
      </c>
      <c r="P165" s="115">
        <f>75-1+3-1+40-1-1-1-1-1-8-1-1-1-1-1-2-1-6-2-2-1-4-4-2-6-1-1-15-6-18-2</f>
        <v>25</v>
      </c>
      <c r="Q165" s="115">
        <f>13-1-1-2-9+11-1-1-1-1-1-1-1-1-1-1+6-7+30-1-5-1-5-2-2-1-1-2-2+7-1+1+12-1-2-13-1-1-3-2+50-1-15+2+21-2-1-1-1-3-1-4-1-1-1-2-1-1</f>
        <v>41</v>
      </c>
      <c r="R165" s="115">
        <f>5-1-1-3+3-3+15-3-2-1-2+7-2+13-1-2+10-1-1-3-1-4-1-2-2</f>
        <v>17</v>
      </c>
      <c r="S165" s="115">
        <f>9-9+11-2-9+18+2+5-3-1-1-1-1+10-1</f>
        <v>27</v>
      </c>
      <c r="T165" s="115">
        <f>SUM(B165:S165)</f>
        <v>906</v>
      </c>
      <c r="U165" s="1"/>
    </row>
    <row r="166" spans="1:24" ht="25.5" customHeight="1">
      <c r="A166" s="135" t="s">
        <v>80</v>
      </c>
      <c r="B166" s="115">
        <f>21-21+20-2-2-1-1-1-5-1-2-2+48-2-1-1-1-1-5</f>
        <v>40</v>
      </c>
      <c r="C166" s="115">
        <f>69-2-1-2-64+66-1-1-2-3-1-6-1-2-1-1-3-5-8-10-2-1-1-1-3+101-1-2-1-1-2-1-15-2</f>
        <v>89</v>
      </c>
      <c r="D166" s="115">
        <f>114-1-1-1-2-109+112-1-2-1-9-1-1-1-1-1-1-3-1-10-2-1-1-1-1-11-1-2-9-15-1-1+1-1-4-1-4-1-1+110-1-3+27-1-1-1-1-3-1-1-2-1-1-5-2-12-20-2</f>
        <v>101</v>
      </c>
      <c r="E166" s="115">
        <f>107-1-2-1-1-102+103-2-1-1-4-1-1-12-1+1-1-1-2-1-1-2-1-1-1-1-13-3-1-10-20+1-1-1-1-3+76-1-6-1+63-1-1-2-1-1-1-1-1-5-25-2</f>
        <v>107</v>
      </c>
      <c r="F166" s="115">
        <f>72-1-1-70+71-1-1-4-2-1-2-1-2-6-2-1-5-1-1-1-12-2-4-10+1-1+1-3-1+71-1-4-1-2-1-2-1-5-2</f>
        <v>61</v>
      </c>
      <c r="G166" s="115">
        <f>30-1-29+30-2-1-1-2-1-3-2-3-1-1-3-2-3-5+1+1-1+49-1-1-3-1-10</f>
        <v>34</v>
      </c>
      <c r="H166" s="115">
        <f>32-1-31+35-1-2-1-4-1-3-1-2-3-2-5-1+1-1+9-1-2-1-1</f>
        <v>13</v>
      </c>
      <c r="I166" s="115">
        <f>22-22+22-1-2-1-1-1-1-2+10-1-1</f>
        <v>21</v>
      </c>
      <c r="J166" s="115">
        <f>16-3-13+13-2+12-1</f>
        <v>22</v>
      </c>
      <c r="K166" s="115">
        <f>30-1-29+29-1-2-15-1+80-1-2-1-1-10</f>
        <v>75</v>
      </c>
      <c r="L166" s="115">
        <f>129-6-1-1-2+1-2-118+104+9-2-1-1-1-1-1-1-1-1-1-4-1-1-1-1-1-2-3-1-1-1-7-13-20-1-1-4+81-1-1-1-1-1-1-1-1-2-1-1-10-2</f>
        <v>96</v>
      </c>
      <c r="M166" s="115">
        <f>282-3-7-1-1-4-266+107+159-1-3-5-2-1-2-1-5-1-5-1-1-5-1-1-10-1-1-1-1-4-1-1-1-2-2-1-1-1-18-1-4-19-25-4-1-3-1-2-1-1-1+130-1-1-1-1-1-1-1-5-3-2-1-5-1-30-2</f>
        <v>196</v>
      </c>
      <c r="N166" s="115">
        <f>224-3-1-1-2-1-1-4+54+1-266+112+178-2-2-1-1-1-1-3-2-2-3-7-2-6-2-2-6-1-1-1-4-2-1-1-1-1-16-11-25-1-2-3-3-3-1+80-1-3-1-1-1-5-1-1-1-1-1-1-1-5-2-30-2-2-1</f>
        <v>188</v>
      </c>
      <c r="O166" s="115">
        <f>133-3-3-1-1-4-121+106-1-1-1-2-1-1-1-6-2-1-6-1-1-1-2+1-1-8-4-15-1-2-1-4-1+108-1-4-1-1-1-1-1-3-1-4-5-2-1</f>
        <v>124</v>
      </c>
      <c r="P166" s="115">
        <f>70-1-1-1-1-10-1</f>
        <v>55</v>
      </c>
      <c r="Q166" s="115">
        <f>37-37+34-1-1-2-1-5-1-1-4-5+1-1+1-2+20-1-1-1</f>
        <v>29</v>
      </c>
      <c r="R166" s="115">
        <f>15-1-14+14-5-1+1+10-1</f>
        <v>18</v>
      </c>
      <c r="S166" s="21">
        <f>17-1-16+15+10</f>
        <v>25</v>
      </c>
      <c r="T166" s="115">
        <f>SUM(B166:S166)</f>
        <v>1294</v>
      </c>
      <c r="U166" s="1"/>
    </row>
    <row r="167" spans="1:24" ht="28.5" customHeight="1">
      <c r="A167" s="165" t="s">
        <v>81</v>
      </c>
      <c r="B167" s="115">
        <f>4-1-3+3-1-2+30-1</f>
        <v>29</v>
      </c>
      <c r="C167" s="115">
        <f>3-3+3-1-1-1+60-2-1-1</f>
        <v>56</v>
      </c>
      <c r="D167" s="115">
        <f>7+1-8+8-1-1-1-1-1-3+60-1-2-1-1-2-5</f>
        <v>48</v>
      </c>
      <c r="E167" s="115">
        <f>19-19+19+1-1-1-1-1-1-1-1-1-2-1-1+60-7-5-1-1-5-1</f>
        <v>48</v>
      </c>
      <c r="F167" s="115">
        <f>6-1-5+5-1-3-1+30-1-2-1-1</f>
        <v>25</v>
      </c>
      <c r="G167" s="115">
        <f>23-23+24-1-1-2-1-1-1-1-1-1-1-1-4-1</f>
        <v>7</v>
      </c>
      <c r="H167" s="115">
        <f>9-9+9-1-1-1-1-1-1-1+10-3</f>
        <v>9</v>
      </c>
      <c r="I167" s="115">
        <f>8-8+8-1-1-1+10</f>
        <v>15</v>
      </c>
      <c r="J167" s="115">
        <f>0+10</f>
        <v>10</v>
      </c>
      <c r="K167" s="115">
        <f>34-1-33+33-1-1-1-1-1</f>
        <v>28</v>
      </c>
      <c r="L167" s="115">
        <f>48-48+48-1-1-1-1-1+1-1-1-1-1-1-1-2-1-2-1+40-1-3-1</f>
        <v>67</v>
      </c>
      <c r="M167" s="115">
        <f>7-7+7-1-2-1-2-1+90-12-1-3-1-5-4-1-1-1-4-2-1</f>
        <v>54</v>
      </c>
      <c r="N167" s="115">
        <f>0+2-2+2-1-1+90-7-3-3-5-5-1-1-4-1</f>
        <v>60</v>
      </c>
      <c r="O167" s="115">
        <f>9+1-10+10-1-1-1-1-1-1-1-3+40-7-1-1-3</f>
        <v>28</v>
      </c>
      <c r="P167" s="115">
        <f>0+10-7-1-2</f>
        <v>0</v>
      </c>
      <c r="Q167" s="115">
        <f>6-6+6-1-1-1-1+10-1</f>
        <v>11</v>
      </c>
      <c r="R167" s="115">
        <f>8-1-7+7-1-1+10</f>
        <v>15</v>
      </c>
      <c r="S167" s="115">
        <f>12-12+12-1-1</f>
        <v>10</v>
      </c>
      <c r="T167" s="115">
        <f>SUM(B167:S167)</f>
        <v>520</v>
      </c>
      <c r="U167" s="1"/>
    </row>
    <row r="168" spans="1:24" ht="31.5">
      <c r="A168" s="236"/>
      <c r="B168" s="141"/>
      <c r="C168" s="141"/>
      <c r="D168" s="141"/>
      <c r="E168" s="141"/>
      <c r="F168" s="141"/>
      <c r="G168" s="141"/>
      <c r="H168" s="141"/>
      <c r="I168" s="141"/>
      <c r="J168" s="141"/>
      <c r="K168" s="141"/>
      <c r="L168" s="141"/>
      <c r="M168" s="141"/>
      <c r="N168" s="141"/>
      <c r="O168" s="141"/>
      <c r="P168" s="141"/>
      <c r="Q168" s="141"/>
      <c r="R168" s="141"/>
      <c r="S168" s="21"/>
      <c r="T168" s="142">
        <f>SUM(T163:T167)</f>
        <v>7146</v>
      </c>
      <c r="U168" s="1"/>
    </row>
    <row r="169" spans="1:24" ht="21">
      <c r="U169" s="1"/>
    </row>
    <row r="170" spans="1:24" ht="31.5">
      <c r="A170" s="325" t="s">
        <v>82</v>
      </c>
      <c r="B170" s="325"/>
      <c r="C170" s="325"/>
      <c r="D170" s="325"/>
      <c r="E170" s="325"/>
      <c r="F170" s="325"/>
      <c r="G170" s="325"/>
      <c r="H170" s="325"/>
      <c r="I170" s="325"/>
      <c r="J170" s="325"/>
      <c r="K170" s="325"/>
      <c r="L170" s="325"/>
      <c r="M170" s="325"/>
      <c r="N170" s="325"/>
      <c r="O170" s="325"/>
      <c r="P170" s="325"/>
      <c r="Q170" s="325"/>
      <c r="R170" s="325"/>
      <c r="S170" s="325"/>
      <c r="T170" s="326"/>
      <c r="U170" s="1"/>
    </row>
    <row r="171" spans="1:24" s="235" customFormat="1" ht="26.25">
      <c r="A171" s="85" t="s">
        <v>47</v>
      </c>
      <c r="B171" s="322" t="s">
        <v>3</v>
      </c>
      <c r="C171" s="323"/>
      <c r="D171" s="323"/>
      <c r="E171" s="323"/>
      <c r="F171" s="323"/>
      <c r="G171" s="323"/>
      <c r="H171" s="323"/>
      <c r="I171" s="323"/>
      <c r="J171" s="324"/>
      <c r="K171" s="322" t="s">
        <v>4</v>
      </c>
      <c r="L171" s="323"/>
      <c r="M171" s="323"/>
      <c r="N171" s="323"/>
      <c r="O171" s="323"/>
      <c r="P171" s="323"/>
      <c r="Q171" s="323"/>
      <c r="R171" s="323"/>
      <c r="S171" s="323"/>
      <c r="T171" s="324"/>
      <c r="U171" s="179"/>
    </row>
    <row r="172" spans="1:24" s="232" customFormat="1" ht="26.25">
      <c r="A172" s="88" t="s">
        <v>5</v>
      </c>
      <c r="B172" s="87" t="s">
        <v>6</v>
      </c>
      <c r="C172" s="87" t="s">
        <v>7</v>
      </c>
      <c r="D172" s="87" t="s">
        <v>8</v>
      </c>
      <c r="E172" s="87" t="s">
        <v>9</v>
      </c>
      <c r="F172" s="87" t="s">
        <v>10</v>
      </c>
      <c r="G172" s="87" t="s">
        <v>11</v>
      </c>
      <c r="H172" s="87" t="s">
        <v>12</v>
      </c>
      <c r="I172" s="87" t="s">
        <v>13</v>
      </c>
      <c r="J172" s="87" t="s">
        <v>14</v>
      </c>
      <c r="K172" s="87" t="s">
        <v>6</v>
      </c>
      <c r="L172" s="87" t="s">
        <v>7</v>
      </c>
      <c r="M172" s="87" t="s">
        <v>8</v>
      </c>
      <c r="N172" s="87" t="s">
        <v>9</v>
      </c>
      <c r="O172" s="87" t="s">
        <v>10</v>
      </c>
      <c r="P172" s="87" t="s">
        <v>11</v>
      </c>
      <c r="Q172" s="87" t="s">
        <v>12</v>
      </c>
      <c r="R172" s="87" t="s">
        <v>13</v>
      </c>
      <c r="S172" s="87" t="s">
        <v>14</v>
      </c>
      <c r="T172" s="87" t="s">
        <v>15</v>
      </c>
      <c r="U172" s="172"/>
    </row>
    <row r="173" spans="1:24" ht="23.25">
      <c r="A173" s="135" t="s">
        <v>58</v>
      </c>
      <c r="B173" s="115">
        <f>43+56-2+3-2-98+99-1-2-1-1-3-5-1-1-5-4+1+2-5+5-1-1-1-1-1-3-1-1-8-1-1-2-1-1-1-1-1-2-4-1-8-1-1-7-20-1-1-1-1-2-1+50-1-1-1-6-1</f>
        <v>40</v>
      </c>
      <c r="C173" s="115">
        <f>30-1+35-1-2-1+23-5-2-3-1-1-1-6-64+65-12-1+2+70-1-1+60-1-3-6-1-1+2-1-2-1-5-1-1-27-134+61-9-45-1-6+3-1+28+12-6-10-13+6-4-1-1+121-10-4-4-1-1-1-3-9-2-1-5-1-4+273-2-1-1-1-1-4-1-3-2-16-27-5-1-5-2-2-1-1-1-6-5-2-3-2-4-1-6-5-1-2-2-1-22-20-2-3-3-1-6-1-2-3-25-6-45-1-1-2-3-2-1-2-1-1-2-2-1-2-2-16-1-4-2-2-2+200-2-1-3-1-2-1-1+70-1-1-2-2-7-9-1-1-2</f>
        <v>288</v>
      </c>
      <c r="D173" s="115">
        <f>11+141-2-3-4-3-1+16-1-1+1-2-1-2-1-2-1-5-1-3-2-6-1+1-128+128-14-1-8+2+96-3-2+64-1-6-10-4-1-1-1+2-11-1-1-3-1-2-2-5-2-1-1+1-2-203-6+97-97+8-8+222-5-10-4-10-7-5-4-1-9+139-2-5-1-3-1-4-1-1-5-4-1-3+141-1-3-1-1-9-2-1-1-9-1-2-1-1-71-5-2-1-1-2-2-20-3-1-1-1-3-2-1-18-5-5-4-7-3-2-1-1-1-1-1-2-48-1-1-16-2-2-1-1-1-2-8-1-1-3-12-14-1-1-1-60-1-2-1-1-3-1-3-2-1-4-1-1-2-2-1-1+420-1-6-1-5-1-1-2-3-1+70-1-1-1-3-4-4-4-6-1-1-3-1-1-1</f>
        <v>449</v>
      </c>
      <c r="E173" s="115">
        <f>3+208-2-3-1-1-28-1+8-1-1-2-1-2-1-1-3-1-1-6-2-1-6-1-153+149-4-11-1-2+49-1+79-1-2-5-1-1-1-1-4-7-1-5-2-1-1-186-39+101-101+2-1+12-3-1-2-2-2-3+222-10-3-12-2-7-15-1-1+280-4-1-5-1-1-1-6-2+2-2-7-1-3-3-1-11-1-3-15-2-2-13-1-1-1-65-5-1-1-1-1-2-3-5-1-3-1-1-2-3-3-3-2-1-1-1-2-2-20-12-2-1-1-2-1-4-10-2-45-1-2-3-2-11-1-1-4-1-1-2-2-2-4-3-3-2-2-2+320-3-1-9-1-1-1-1-3+70-1-3-3-1-1-6-1-6-4-2</f>
        <v>448</v>
      </c>
      <c r="F173" s="115">
        <f>0+17+47-1-1-1-5+14-1-1-1-1-1-1-5-59+57-12-1-4-2+6+70-1-2-1-1-1+4-1-104-6+61-61-1+1-1+122-5-1-17-2-5-2-1-1-3-2-1-2+131-2-1-1-1-1+6-1-11-1-1-1-13-1-3-40-3-1-1-4-5-1-3-1-3-1-1-1-7-2-1-1-1-7-6-1-1-6-6-1-1-2-2-1-1-3-1-4-1-2-2-3+160-2-3-1-1-6-1-1+40-1-3-3-1-4-1-5-4-2</f>
        <v>212</v>
      </c>
      <c r="G173" s="115">
        <f>10-2+38-4-4-4-1-5-28+29-5-1+39-2-1-12+31-14-1-1-2+7-1+1-1-5+20-2-1-1-2-2-1-3-3-2-1-18-1-1-2-15-1-1-1-2-2-2-4-3-2-8+130-1-1-6+10+29-1-6-1</f>
        <v>153</v>
      </c>
      <c r="H173" s="115">
        <f>24-1+13-36+33-2-1-1+16-1-2+1-3-2+19-2-2-1-4-1-1-1-1-1-3-10-4-1-1-1-4+50-1-1-1+10-1-2-4-4</f>
        <v>65</v>
      </c>
      <c r="I173" s="115">
        <f>23-1+2-24+24-2+1+1-2+2-1-1-1-3-1-1-1-1-2-2</f>
        <v>10</v>
      </c>
      <c r="J173" s="115">
        <f>48-48+48+1+1-1-1-2-1-1-1-2-1-1-1-1-2</f>
        <v>35</v>
      </c>
      <c r="K173" s="115">
        <f>67-14-9-1-12+10-1-1-4-5+6-36+44-6+30+19-11-2-1-11-1-6+5+2-1+1-1-3-1-1-1-3-1-1-1-1-1-5-4-1-3-1-3-3-2-1-2-2-2-1-1-2-1-2-11+80-1+4-5-6-3-4</f>
        <v>65</v>
      </c>
      <c r="L173" s="115">
        <f>80+28-4-2-2-2-8+11-1-1-1-4-4-1-4-1-1-1-1-1-1-1-15+1+1-65+65-1-18-1-2+1+155-1+42-1-4-2-1-1+1-14-1-1-1-1-1-1-17-1-1-33-3-1+80-10-4-5-10-4-19+5+1+1-5+4-2-1-8-2-1-2-1-9-3-1-1-8-1+201-2-2-3-3-1-1-1-2-18-4-1-20-13-1-1-1-4-2-1-2-10-4-4-1-15-1-7-1-2-2-6-4-2-1-2-1-1-1-1-1-1-1-1-1-3-1-8-3-12-18-2-50-2-1-2-1-5-8-1-8-8-7-4-2-8-2-1-2-1-22-1-6-1-1-1+75+75+143-2-2+139-1-2-5+9-5-4-8-14-1-1-2</f>
        <v>399</v>
      </c>
      <c r="M173" s="115">
        <f>106-4-1+181-2-4-1-5-7-70+153+60-1-1-2-5-3-3-2+3-5-2-6-1-2-2-15+1+1-361+201-1-23-1-2-3+75-3-3-1+16-1-1-3-6-1-1-1+3-4-1-1-5-8-3-3+1-1-1-1-160-4-13-1+383+14-1-1-10-4-3-3-1-40-8-28+5+5-1+2-3+3-1-3-1-1-5-5-7-7-1-1-15-1-7-1-1-10-1-1-7+498-1-3-1-2-1-1-2-2-3-1-3-1-3-2-1-1-1-13-1-1-6-115-13-1-1-2-3-2-2-1-2-1-1-1-115-1-1-5-1-3-4-4-4-1-4-2-1-2-39-4-16-3-1-3-2-4-2-1-1-5-1-2-1-2-6-1-4-1-8-1-3-1-1-1-1-1-3-1-1-2-1-20-1-2-2-1-6-25-28-2-3-1-100-1-1-2-1-1-1-20-1-1-1-1-1-1-8-2-1-1-1-1-1-2-1-10-10-25-1-2-1-1-1-2-1-1-6+199+400-2-28-1-3+17-1-12-5-1+200-4-1-2-9-2+4-3-3-5-11-1-3-10-2-2-5-1-4</f>
        <v>699</v>
      </c>
      <c r="N173" s="115">
        <f>18+292-1-3-3-4-4-62-1+140+41-1-1-14-1+1-2-5-4-1-6-1-1-1-3-1-2-6-10+1+1-356+183-13-1-1-2-30+57-2-1+46-1-4-1-2-1-1-2+12-2-11-1-2-1-3-5-3-3-17-1-4-1-182+1-1+3-1+386-35+1+2-8-10-9-6-1-3-2-12-14-9-1-3-1-1-12-8-1-10-1-1+500-1-1-10-7-3-3-6-1-1-1-4-1-9-1-1-4-4-9-1-1-1-3-138-19-1-1-2-1-1-1-2-1-5-45-8-2-1-7-2-4-4-2-2-33-3-1-9-3-8-1-2-6-4-1-7-2-10-4-1-2-8-1-2-3-2-4-1-1-1-1-2-2-6-6-1-1-15-8-3-1-50-1-1-2-1-1-1-20-2-2-3-1-1-5-3-1-1-1-2-1-4-1-5-7-3-1-2-4-4-2-46-1-6-6-12-1-1-3+420-2-2-3+87-2-1-3+6-5+199-2-4+1-6-6-3-4-9-6-1-4</f>
        <v>696</v>
      </c>
      <c r="O173" s="115">
        <f>0+1+30-28+100+116-12-1-1-1-1-1-1-1-1-1-3-1-1-1-10+4-186+62-6-1-2-2-1+38-1+7-1-1-1-1-3-1-1-1+3-3-2-1-2-7-3-1-68+211+29-5-2-15-8-3-2+8-1+5-1+1-1-1-1-1-1-1-3-2-1-1-2-1-4-1-1-5-2-1-1+200-4-1-2-15-3-1-1-4-61-6-1-1-1-1-1-1-2-40-3-1-4-4-6-3-4-2-4-1-2-2-1-3-1-8-3-4-2-4-2-2-1-1-1-4-1-1-5-2-2-2-2-1-2-1-3-1-1-1-2-1-1-4-1-4-1-2-3-3-2-21-1-3-1-4-2-1-1-3-2-1-3+200+100-2-1-3+11-1-1-8-14-2-9-1-1-2-3</f>
        <v>338</v>
      </c>
      <c r="P173" s="115">
        <f>76-1-1-2-1-2-3-10+1-57+56-9-2+1+32+18-1-2-2-3-1-1-1-7-6-1-2+12+62+1-1-1-2-1-1-1-5-3-2+100-4-1-5-2-1-25-2-2-1-3-2-2-25-1-1-3-2-1-1-1-2-2-27-1-2-1-2-7-2-1-1-1-1-2-3-1-1-1-2-1--51-1-2-16-1-1-1-3+84-1+60+1-2-5-1-1-1</f>
        <v>241</v>
      </c>
      <c r="Q173" s="115">
        <f>47-1-3-4-1-10-28+28-1-2+1+17-1+3-1-2-1-1-1-2-1-1-2+2+32+4-3-1-1-1-2-1-1+50-3-2-9-1-1-2-3-1-1-2-1-7-2-1-1-2-2+12+30-1-1-1-1-4</f>
        <v>104</v>
      </c>
      <c r="R173" s="115">
        <f>32-5-27+27-1+1+2-1-1-2-1-1-1-1-5-1+10-2</f>
        <v>23</v>
      </c>
      <c r="S173" s="115">
        <f>26-1-25+24+2+2-1-1-1-1-1-1-2-1-2</f>
        <v>17</v>
      </c>
      <c r="T173" s="115">
        <f>SUM(B173:S173)</f>
        <v>4282</v>
      </c>
      <c r="U173" s="1"/>
    </row>
    <row r="174" spans="1:24" ht="23.25">
      <c r="A174" s="135" t="s">
        <v>83</v>
      </c>
      <c r="B174" s="115">
        <f>1-1</f>
        <v>0</v>
      </c>
      <c r="C174" s="115">
        <f>47-2-1-3-2-39+36-1-1-10-1-1-1-1-1-1-3-2-1-1-1</f>
        <v>10</v>
      </c>
      <c r="D174" s="115">
        <f>102-1-3-4-1-93+83-1-1-1-1-1-1-1-1-3-8-2-1-1-1</f>
        <v>59</v>
      </c>
      <c r="E174" s="115">
        <f>82-2-1-1-4-1-1-1-1-1-1-11-2-1-1-2</f>
        <v>51</v>
      </c>
      <c r="F174" s="115">
        <f>36-1-1-1-1-1-1-4-1-2-1-1</f>
        <v>21</v>
      </c>
      <c r="G174" s="115">
        <f>29+15-1-1-1-1-1-1-2</f>
        <v>36</v>
      </c>
      <c r="H174" s="115">
        <f>0+6-1-1</f>
        <v>4</v>
      </c>
      <c r="I174" s="115">
        <f>6-6+6-1</f>
        <v>5</v>
      </c>
      <c r="J174" s="115">
        <f>12-6</f>
        <v>6</v>
      </c>
      <c r="K174" s="115">
        <f>1-1-1+1+10-1-2-1-1</f>
        <v>5</v>
      </c>
      <c r="L174" s="115">
        <f>75+1-3-5-1-67+1-1+50-1-1-1-1-1-2-1-1-1-1</f>
        <v>39</v>
      </c>
      <c r="M174" s="115">
        <f>172-1-10-1-160+157-2+2-2-1-60-1-1-1-1-1-1-6-1-2-4-1-4-1-1-2-1</f>
        <v>65</v>
      </c>
      <c r="N174" s="115">
        <f>159-8-1-150+160-1-1-1-1-1-1-1-2-7-2-8-1-8-1-1-4</f>
        <v>119</v>
      </c>
      <c r="O174" s="115">
        <f>117-4+116-229+112-11-5-1-1-7-2-9-1-9-1</f>
        <v>65</v>
      </c>
      <c r="P174" s="115">
        <f>38-4-1-1-2-3-3-1</f>
        <v>23</v>
      </c>
      <c r="Q174" s="115">
        <f>13+1-1-1-1</f>
        <v>11</v>
      </c>
      <c r="R174" s="115">
        <f>3-1</f>
        <v>2</v>
      </c>
      <c r="S174" s="115">
        <f>5-1</f>
        <v>4</v>
      </c>
      <c r="T174" s="115">
        <f>SUM(B174:S174)</f>
        <v>525</v>
      </c>
      <c r="U174" s="1"/>
    </row>
    <row r="175" spans="1:24" ht="23.25">
      <c r="A175" s="135" t="s">
        <v>68</v>
      </c>
      <c r="B175" s="115">
        <f>8-3-2-3-2+2+10+28-3+1-36+27-1-2-2-7+3-1-1+2-7-1-1+7-1-6-9+9-6+36+15-1-2+51-1-1-1-1-2-3-2-9-9-1-1-2-22-1-3-2-1-1-1-2-1-1-1-2-7-1-1+20-1-6+50-3-2</f>
        <v>80</v>
      </c>
      <c r="C175" s="115">
        <f>104+177-3-2-3-1-1-1-2-2-3+3-266+149-16-1-5+2-1+2-41-1-2-3-11+34-54-6-12-1-1+55+12-6-3+96-4-1-1+50-2+2-1-2-3-1-1-1-1-1-1-1-4-1-1-2+205-1-1-2+1-2-2-1-3-2-4-3-2-1-1-2-13-3-3-1-2-2-3-1-1-30-1-2-2-4-2-2-2-1-2-1-2-1-2-2-2-1-3-1-1-1-4-2-7-1-2+20-4-4-7-9+30-11-1-1-1-4-1-1</f>
        <v>284</v>
      </c>
      <c r="D175" s="115">
        <f>155-8-1-3-8-5-1-7+34-2+85-8+1-4-1+3-230+289-16-1-2+66-5+8-90-1-1+12-4-1+2-3-1-10-1-1-8+49-4-2-3-1-1-16-2-1-1-11-1+16-3-3-10-5+57-2-16-1-1-5+43-2-1-2-3-4-2-1-2-1-2-2-3-3-3-1-1-1-4-1-1-1-1-6-2+149-4-2-1-1-1-1-2-1-3-1-1+1-2-1-3-1-1-2-1-4-7-1-1-2-2-1-1-16-21-2-1-3-1-1-3-1-1-3-1-37-3-1-3-1-5-1-3-2-1-1-1-2-2-1-1-4-1-1-2-1-2-1-1-2-1-1-7-1-1-1-2-9-2-2-2+150-1-8-3-8-4-6-1+50-11-1-1-2-3-1</f>
        <v>347</v>
      </c>
      <c r="E175" s="115">
        <f>218+81-3-2-3-1-1-16-2-6-2-1-2-1-2-1-1+1-256+244-4-1-23-1+56-5-1-63-1-1+2-1-2-1-4+2-3-4-27-4-4-2-9-1-6-2-1-1-25+6-1-3-13-1+90-5-7-6-1-7-1+57-1-1-4+2-1-1-11-1-4-1-1-3-1-5-2-1-1-3-1-1-1-1-7-1-1-2-1+210-2-4-1-1-2-1-1-1-1+1-1-1-1-4-3-1-1-3-1-1-1-1-2-9-3-3-17-1-3-1-1-4-38-2-3-1-2-6-1-1-4-1-2-2-2-2-3-3-1-2-1-2-2-1-4-1-1-1-1-1-2-5+150-6-1-6-1-1-1-6+50-49-2-1-4-1-2</f>
        <v>314</v>
      </c>
      <c r="F175" s="115">
        <f>13+1-7-1-6-1-1+2+95-2-15-1+24-1+2-102+103-10+80-5+2-17-1+1-1-1-1-1-1-46-3-4-1-4-1-1-13+4-1-9-7-3+15-15-9-1-1-1-1-5+9-1-1+1-1-10-1-7-1-1-1-3+150-1-8-1-1-1-1-1-1-2+1-1-1-6-1-1-3-3-5-4-7-1-3-1-2-24-1-1-2-3-1-1-3-1-2-2-1-1-2-4-1-1-3-1-6-1-1+80-6-6-1+60-23-2-2-1-1-4-4-1</f>
        <v>145</v>
      </c>
      <c r="G175" s="115">
        <f>28-10-10+5-5-4+26+14+1-45+59-16+59-8-1-2-1-1-9-1-3-1-2-1-4+2-1-3-3-4-10-5-1-1-1-4-1-2-7-1-1-1-2-1+49-2-1-1-1-1-1-2-3-2-3-6-1-16-2-1-2-1-2-1-1-1-1-10-1-2-1-1+80+60-30-1</f>
        <v>112</v>
      </c>
      <c r="H175" s="115">
        <f>23-1-8-1-1-12+15-2+28+1-5-1-1-2-3-2-1-3-5-3-1-4-5-2-2-1-1+31-1-1-1-1-1-1-5-3-5-3-1-1-1-1-1-1-1-2+50-2-4+30-29-1-1</f>
        <v>43</v>
      </c>
      <c r="I175" s="115">
        <f>4-1-3+9-2-1-4+4+8+2-1-3-3-2-2-1+15-2-3-2-1-1-1-6</f>
        <v>3</v>
      </c>
      <c r="J175" s="115">
        <f>6+5-11+11-1-1-2-2-2-2+15-2-3-3-1-4-1-2+10-7</f>
        <v>3</v>
      </c>
      <c r="K175" s="115">
        <f>15-12-1+7-9+11-7-4+29-1-1-3-1-2-8-1-1+3-10-2+2+23+23-1+6-1-2-2-1-1-1-1-3-1-1-2-1-2-2-1-1-1-31+61-2-5-6+99-1-1-1</f>
        <v>144</v>
      </c>
      <c r="L175" s="115">
        <f>97+66-2-4-2-1-2-7-2-1-5-1-1-5-5+39+1-165+97-17-2+116-10-1-1-1-1-7-2-2-8-1-1-2-34-1-1-1-1-1-1-10-2-1-1+6-5+34-12-10+10-1-1-1-1+149-10-8-1-1-2+8-4-1-5-1-1-1-1-5-2-2-3-1-1-2-15-1+200-2-1-1-3-5-1-2-1-2+1-6-3-1-1-2-1-2-6-1-2-1-1-3-2-1-1-1-1-1-1-2-5-1-78-5-1-1-1-1-2-1-1-8-1-8-3-8-12-2-1-1-2-1-4-1-4-12-1-1-1-16-2-5-1-2-1-13-1-3-12-2-1-1-2+149-2-4-8+100-1-2-1-1-4-1</f>
        <v>349</v>
      </c>
      <c r="M175" s="115">
        <f>0-13+13+52-2-15-13-1-1-2-16-1+326+1+1+2-331+204-10-2-1+204+6-10+13-45-3-1-1-1-1-1-1+2-1-6-16+1-1-9-1-1-2-1-2-4-6-1-4-1-1-1-1-6-1+1-18-4-1-1-1+67-23-16-6-1+6-1+115-1-3-6-5-2+148-50-1-5-1-6-1-1-7-1+22-7-1-2-4-1-2-5-4-2-2-1-1-1-6-1-1-2-1-1-8-1-2-2-1-2-5-11-1-1-4-20-1-3-1+259-1-1-1-1-1-1-1-4-1-1-5-1-1-5-2-1-2-1-5-1+1-1-5-3-3-1-5-6-1-1-4-1-3-1-3-3-1-1-4-1-1-2-3-1-23-8-10-1-1-1-1-1-3-3-1-1-1-1-1-1-6-5-1-2-1-75-1-1-1-2-1-3-6-1-1-1-3-1-3-2-1-8-2-4-1-1-1-1-10-1-4-1-1-20-2-1-4-2-4-1-1-1-6-1-3-1-1-27-10-1-6-2-1-3-8-5-3-2-1-1-1-2-1-1-1-86-1-6-27-4-1-5+399-1-1-6-1-8-6-1-5-11+260-1-1-4-1-2-1-8-3-4-1</f>
        <v>672</v>
      </c>
      <c r="N175" s="115">
        <f>68-12-1-3-1-12-2-2-2-1-1-18-1-5-13+6-4+4-1+1+7-6-1+287-35-252+218-13-2+274+21-10+6-1-42-1-1-1-1+2-2-2-1-2-2-1+1-1-2-11-2-2-6-1-1-8-1-1-2-3-1-4-2-16-1-18-2-1+30-1-19-6-16+16+59-1-3-1-3-7-5+105-14-2-1-1-1-3+19-8-1-1-2-1-5-5-7-1-1-1-4-1-1-2-6-4-2-3-1-4-1-1-1-1-1-1-5-20-3-3+302-4-1-1-1-1-1-1-1-2-1-1-1-3-1-5-2-1-1-1-1-1-5+1-1-3-1-3-1-2-1-6-5-4-1-3-8-1-2-1-3-1-1-2-10-3-1-1-1-1-12-8-1-5-1-3-1-3-4-1-2-4-1-3-1-4-53-1-3-4-2-3-1-3-1-1-5-3-2-1-2-1-5-5-1-1-18-2-1-2-1-1-3-4-1-1-6-6-10-1-2-1-26-16-1-1-5-2-1-12-5-1-1-1-1-6-1-44-4-8-26-1-4-1+298-2-12-2-12-1-3-4+198-1-1-1-1-1-4-4</f>
        <v>667</v>
      </c>
      <c r="O175" s="115">
        <f>110+20-20-1-2-20-1-10-1-2-1-1-1-1-2-5-2-1-1-2-1-1+2-56+81-6+111-1-10+1-1-27-1-1+9-1-1-2-1-2-1-4-1-1-1-4-4-10-3-1-1-7-4-4+73-5-6+133-1-2-1-1-2+9-2-4-1-2-3-5-2-4-1-1-2-1-4-1-1-5-1-1-1-2-1-1-7-1-1-20+99-1-3-1-1-1-1-1-1+1-2-2-2-2-1-1-6-4-1-1-2-4-2-1-1-1-4-3-2-2-1-1-1-1-22-3-1-1-2-3-4-1-1-1-2-2-1-4-1-1-1-1-18-2-1-2-2-2-2-15-5-3-4-2-1-1-1-16-5-1-1-1-25-4-15-1-2-1+146-2-2-8-14+100-2-3-1-1-1-4-1-2</f>
        <v>286</v>
      </c>
      <c r="P175" s="115">
        <f>28-1-1-6-1-1+40-58+58-2+25+1-6-1+4-1-5-1-1-2-1-2-1-5-2+33-1+58-2-2-1-1+5-2-4-5-1-2-4-1-2-2-3-1+49-1-1-1-2-1-4-2-2-2-1-2-1-1-2-29-1-1-1-2-3-1-1-1-2-1-1-12-2-1-8-5-2-1-1-1-1-1-6-4-8-2-1-1+100-2-5+49-1-1-1-1</f>
        <v>183</v>
      </c>
      <c r="Q175" s="115">
        <f>77-3-1-1-7-2-63+58-5-1+1+1-1-1-1-1-2-1-3-2-1-1-1+9-2-3-2-4+18+4-1-1-1-3-3-2-2-1-2+50-2-1-1-1-1-1-3-1-2-4-2-2-1-16-1-1-2-3-1-2-1-3-6-3-1-1+30-2-2-1-1+15-1</f>
        <v>68</v>
      </c>
      <c r="R175" s="115">
        <f>19-2-2-15+15-1-2+1-12-1+12+2-4-3-2-2-3+30+15</f>
        <v>45</v>
      </c>
      <c r="S175" s="115">
        <f>27-2-25+30-1-2-1-3-3-2-2-1-1-1-1+10+15</f>
        <v>37</v>
      </c>
      <c r="T175" s="115">
        <f>SUM(B175:S175)</f>
        <v>3782</v>
      </c>
      <c r="U175" s="1"/>
    </row>
    <row r="176" spans="1:24" ht="23.25">
      <c r="A176" s="135" t="s">
        <v>24</v>
      </c>
      <c r="B176" s="115">
        <f>38-3-1-2-1+2+2-3-2-1-7-1-1-1-1-1-1+1-2-1-1-1-1-1-1-1-1-1-1-2+30-1-1-1-22-2-3-1-2+17-1+3-2+31-2-1-5</f>
        <v>40</v>
      </c>
      <c r="C176" s="115">
        <f>100-7-1-2+2-92+81+4-1+2-2-1-1-7-6-1-1-3-2-1+1-2-1+20-1-2-2-2-1-1-1-3-1-1-1-2-1-1-30-2-2-4-1-1-2-1-3-1-11-1+60-3-2-2-3-3-1-1-30-2-1-1-5-1-2+70-3-2-1-1-7+31-1-1-1-1-14-2</f>
        <v>70</v>
      </c>
      <c r="D176" s="115">
        <f>152-3-3-1-1-7-1-1-2-1-2+1+1+2-1-1+8-1+1+1-2-1-1-1-1-11-2-1-14-5-1-1-8-1-1-3-2-1-6-1+1-2-2-1-1-1+20-3-3-1-2-1-1-1-5-3-9-1-1-1-2-1-1-1-1-3-1-1-1-1-1-1-1-1-1-4-4-1-1-2-4+61-7-2-3-1-1-1-6-1+19-2-1-1-1-2-1-37-1-1-1-2-1-2+90-1-1-1-2-2-1-1-1-1-1-2-2-4-3+30-1-1-1-1-1-2-2-11-1</f>
        <v>106</v>
      </c>
      <c r="E176" s="115">
        <f>102-1-1-12-2-6-1-1-2-2-1-2+1-72+77+6-1+4-1-4-7-2-1-9-1-4-1-2-6+1-4-2-1+40-1-1-1-1-1-5-1-1-1-1-1-1-3-15-8-1-5-2-1-1-5-1-1-8-1-1-1-5-2-1-1-1-2+61-3-1-1-2-1-3+19-1-1-38-1-1-1-1-2-2+90-2-4-1-4-2-1-1-1-1-1-5-1-1+61-1-1-1-1-1-3-1-6-2</f>
        <v>130</v>
      </c>
      <c r="F176" s="115">
        <f>63-3-1-1-5-1-1-1+1-1+1-1+1-1-1-1-1-1-2-1-2-1-3-4+1-2-5-1-1-5-1-1-1-1-1-1-1-13+1-1+1-1+30-3-1-1-1-24+70-1-1-1-1-1-1-2-2-1-1-1-5-1+31-1-2-4-5-2</f>
        <v>68</v>
      </c>
      <c r="G176" s="115">
        <f>29-5-1-1-1+1-1-1-1-2+1-1-1-1-1+1-3-1-1-1-1-1-7+10-1-3-1-1-1-1-2+35-2-3-1-1-1+5-3-3-4</f>
        <v>22</v>
      </c>
      <c r="H176" s="115">
        <f>26-1-1-1+1+1+1-1-1-1+1-1-3-1-1-5-1-3-1-1-1-1-5+10-1-1-1-5-1-1+20-1-1-1-1-2-2+5-1-1</f>
        <v>15</v>
      </c>
      <c r="I176" s="115">
        <f>34-1-1-1-1-1-1-1-1-20-1-3+1-1+10-1-3+5-1</f>
        <v>12</v>
      </c>
      <c r="J176" s="115">
        <f>35-1+1-5-1-20-2-1-1+10-3-1-1-1-1-1-1-1+5-3</f>
        <v>7</v>
      </c>
      <c r="K176" s="115">
        <f>67-5-1-61+56-1-1-1-11-1-1-2-1-1-1-1-1-1+1-3-5-2-1-1-1-1-1-1-1-1-1-2+30-1-1-1-2-1-1-3-32+50-1-1-2-5-5+30-1-1</f>
        <v>64</v>
      </c>
      <c r="L176" s="115">
        <f>85-1-4-1-1-5-1-1-4-10-2-1-6+3-2-4-1-1-14-1-6-10-2-1-1-1-5-2+1-1+100-3-5-4-1-5-10-2-1-1-3-1-1-3-1-1-3-1-2-1-1-1-7-3-1-1-3-6-7-1-1-4-1-1-1-1-2-6+50-1-1-2-1-1-1-1-3-1-1-1-1-38+100-6-6-10-2-1-3-5-1-2-1-2-2-4-4+60-1-2-1-1-6-2-1</f>
        <v>97</v>
      </c>
      <c r="M176" s="115">
        <f>187-1-1-15-3-1-5-1-3-16-1-1-4-1-2-3-5-1-20-2+3+1-27-1-1+9-1-5-1-1-1-1-6-1-4-3-1-19-10-4-3-2-1-2-9-10+1-1+200-4-2-5-4+1-1-10-1-2-1-7-15-3-1-1-1-1-1-1-10-1-2-8-1-2-1-4-1-4-1-1-6-3-1-1-2-3-1-2-2-1-5-5-1-1-2-1-5-2-1-2-1-3-3-2-4-3-2-1-1-1-1-3-1-3+50-4-1-1-1-1-3-6-1-1-1-1-1-1-1-1-2-1-1-49+199-14-2-2-1-6-8-2-1-2-1-1-1-1-1-1-1-1-1-5-1-1-1-1-1-1-2-8-1-5-6+120-1-1-3-2-1-1-2-1-8-4-1</f>
        <v>214</v>
      </c>
      <c r="N176" s="115">
        <f>187-1-2-11-1-1-4-2-2-17-1-4-1-3-1-1-1-1-2+2-1+6-2+11-1-1-2-1-1-3-2-11-3-1-20-10-7-1-7-1-1-20-4-2-1-2-1-1-2+1-1-1-1-39+120-5-5-5-1-1-1-1-3-1-8-15-5-2-2-1-1-5-1-4-1-3-1-3-1-1-1-1-1-9-1-1-1-1-2-1-8-3-1-4-6-1-1+100-1-2-2-1-1-2-3-1-2-1-1-8-3-2-3-4-1-4-2-3-3-1-3-1-45+200-8-2-1-4-2-4-5-2-1-2-1-10-1-4-1-1-1-2-2-4-2-3-3+100-1-1-1-2-1-1-9</f>
        <v>218</v>
      </c>
      <c r="O176" s="115">
        <f>94-2-1-4-1-1-1-2+2-2-1-1-1-1+1+1-2-1-1-2-1-9-3-1-1-1-4-1-1-1-1+1-1-1-8-1-2-4-1-1-1-4+60-5-2-1-1-4-1-5-3-2-1-5-1-1-1-1-2-15-1-1-1-1-4-1-1-1-1-1-1-1-4-2-1-1-10-3+5-3-1-1+50-2-1-1-2-1-1-4-1-2-2-1-1-1-1-2-2-1-22-1-1+100+1-6-1-1-2-2-10-1-1-1-2-1-4-8-8+50-1-1-1-2-1-3-2</f>
        <v>92</v>
      </c>
      <c r="P176" s="115">
        <f>55-2-2-1-1-2+1-1+1-1-1-4-1-1-2-6-2-1+1-1-1-1-1+15-1-5-1-1-1-1-5-1-1-2-1-4-1-1-1-1-2-2-1-1-1-1+30-2-3-1-1-1-1-26+50-1-2-1-3-1-1-1-1-2-2+20-3-1-1-6</f>
        <v>44</v>
      </c>
      <c r="Q176" s="115">
        <f>23-1-1-21+26+1+1-1-6-1-1-5-1-3-1-1-1+1+15-1-1-1-1-1-2-1-2-1-1-1-3-7+25-1-1-1-1-1-1-1+20-1</f>
        <v>37</v>
      </c>
      <c r="R176" s="115">
        <f>15-2-1-1+1-1-3-1+10-1</f>
        <v>16</v>
      </c>
      <c r="S176" s="115">
        <f>17-2-1-1-2-1-1-1-1-1-1+10</f>
        <v>15</v>
      </c>
      <c r="T176" s="115">
        <f>SUM(B176:S176)</f>
        <v>1267</v>
      </c>
      <c r="U176" s="1"/>
    </row>
    <row r="177" spans="1:23" ht="31.5">
      <c r="A177" s="236"/>
      <c r="B177" s="141"/>
      <c r="C177" s="141"/>
      <c r="D177" s="141"/>
      <c r="E177" s="141"/>
      <c r="F177" s="141"/>
      <c r="G177" s="141"/>
      <c r="H177" s="141"/>
      <c r="I177" s="141"/>
      <c r="J177" s="141"/>
      <c r="K177" s="141"/>
      <c r="L177" s="141"/>
      <c r="M177" s="141"/>
      <c r="N177" s="141"/>
      <c r="O177" s="141"/>
      <c r="P177" s="141"/>
      <c r="Q177" s="141"/>
      <c r="R177" s="141"/>
      <c r="S177" s="21"/>
      <c r="T177" s="142">
        <f>SUM(T173:T176)</f>
        <v>9856</v>
      </c>
      <c r="U177" s="1"/>
    </row>
    <row r="178" spans="1:23" ht="21">
      <c r="U178" s="1"/>
    </row>
    <row r="179" spans="1:23" ht="31.5">
      <c r="A179" s="325" t="s">
        <v>84</v>
      </c>
      <c r="B179" s="325"/>
      <c r="C179" s="325"/>
      <c r="D179" s="325"/>
      <c r="E179" s="325"/>
      <c r="F179" s="325"/>
      <c r="G179" s="325"/>
      <c r="H179" s="325"/>
      <c r="I179" s="325"/>
      <c r="J179" s="325"/>
      <c r="K179" s="325"/>
      <c r="L179" s="325"/>
      <c r="M179" s="325"/>
      <c r="N179" s="325"/>
      <c r="O179" s="325"/>
      <c r="P179" s="325"/>
      <c r="Q179" s="325"/>
      <c r="R179" s="325"/>
      <c r="S179" s="325"/>
      <c r="T179" s="326"/>
      <c r="U179" s="150"/>
      <c r="V179" s="131"/>
    </row>
    <row r="180" spans="1:23" s="235" customFormat="1" ht="26.25">
      <c r="A180" s="85" t="s">
        <v>47</v>
      </c>
      <c r="B180" s="322" t="s">
        <v>3</v>
      </c>
      <c r="C180" s="323"/>
      <c r="D180" s="323"/>
      <c r="E180" s="323"/>
      <c r="F180" s="323"/>
      <c r="G180" s="323"/>
      <c r="H180" s="323"/>
      <c r="I180" s="323"/>
      <c r="J180" s="324"/>
      <c r="K180" s="322" t="s">
        <v>4</v>
      </c>
      <c r="L180" s="323"/>
      <c r="M180" s="323"/>
      <c r="N180" s="323"/>
      <c r="O180" s="323"/>
      <c r="P180" s="323"/>
      <c r="Q180" s="323"/>
      <c r="R180" s="323"/>
      <c r="S180" s="323"/>
      <c r="T180" s="324"/>
      <c r="U180" s="240"/>
      <c r="V180" s="241"/>
    </row>
    <row r="181" spans="1:23" s="232" customFormat="1" ht="26.25">
      <c r="A181" s="88" t="s">
        <v>5</v>
      </c>
      <c r="B181" s="87" t="s">
        <v>6</v>
      </c>
      <c r="C181" s="87" t="s">
        <v>7</v>
      </c>
      <c r="D181" s="87" t="s">
        <v>8</v>
      </c>
      <c r="E181" s="87" t="s">
        <v>9</v>
      </c>
      <c r="F181" s="87" t="s">
        <v>10</v>
      </c>
      <c r="G181" s="87" t="s">
        <v>11</v>
      </c>
      <c r="H181" s="87" t="s">
        <v>12</v>
      </c>
      <c r="I181" s="87" t="s">
        <v>13</v>
      </c>
      <c r="J181" s="87" t="s">
        <v>14</v>
      </c>
      <c r="K181" s="87" t="s">
        <v>6</v>
      </c>
      <c r="L181" s="87" t="s">
        <v>7</v>
      </c>
      <c r="M181" s="87" t="s">
        <v>8</v>
      </c>
      <c r="N181" s="87" t="s">
        <v>9</v>
      </c>
      <c r="O181" s="87" t="s">
        <v>10</v>
      </c>
      <c r="P181" s="87" t="s">
        <v>11</v>
      </c>
      <c r="Q181" s="87" t="s">
        <v>12</v>
      </c>
      <c r="R181" s="87" t="s">
        <v>13</v>
      </c>
      <c r="S181" s="87" t="s">
        <v>14</v>
      </c>
      <c r="T181" s="87" t="s">
        <v>15</v>
      </c>
      <c r="U181" s="242"/>
      <c r="V181" s="242"/>
    </row>
    <row r="182" spans="1:23" ht="23.25">
      <c r="A182" s="165" t="s">
        <v>58</v>
      </c>
      <c r="B182" s="115">
        <f>30+38-3-1+1-65+62-1+26-1-1-36-49+19-11-1-1-1-1+30-1-4-1-4-1-2-1-2-2+2-1-1-1-4+50+60-65-2-1-2-2+49-2-4-1-1-1-3-8-2-1-1-3-1-2-7-1-1</f>
        <v>59</v>
      </c>
      <c r="C182" s="115">
        <f>101-4-1-1-1+1-2-3-1-1-2+1+1-88+74-1-1-1-7-1+100+2+1-1-1-1-1-1-6-2-2-6+2-10-1-10-2-1-2-10-32-10-35-34+120-12-3-1-2-1-1-1-1-1-8-1-1-2-1-3-1-1+60-4-1-3-1-1-1-3-1-2-1-2-25+25-5-1-1-1-1-1-60+100-17-10-1-5-5-2-5-2-1-1-1-2-4+112-15-1-4-1-1-1-1-1-5-100-1-2-1-1-3-2-1-4-1+1-2-7-10-1-1-1-1-1-3-1-1-2-1-10-1-2-1-13-1</f>
        <v>0</v>
      </c>
      <c r="D182" s="115">
        <f>89-4-5-6-2-3-1-2-6-6-2-2-6-4-1-1+1-1+2-40+39-4-2-14-3-1+102-1-6-1-1-16-1-1-40-40-3-2-2-1-2+3-2-1+110-15-2-26-24-6-11-1+2-3-3+1+11-1-1-1-2+25-5-1-1-1-1-1-40-1-2+119-28-2-1-1-1-1-8-1-3+99-1-1-1-2-1-3-6-2-13-3+2-3-1-1-2-1-16-2-1-1-1-2-40+40-1-1-7-1-1-4-1-2-2-3-3-84+68+119-43-10-1-1-1-1-1-1-1-8-7-1-6-1-12-1-1-1-1-1-6-1-2-1+183-4-4-2-1-4-2-1-1-113-1-1-8-5-2-2-1-3-1-8-23-5-1-6-2-1-1-3-2-7-1-15-1-4-4-6-3-2-1-1-6-1</f>
        <v>0</v>
      </c>
      <c r="E182" s="115">
        <f>56-4-4-6-5-2-1-1-1-3-1-1-1-1-1+1-25+37-5-2-13-1-1+87-1-2-1-1-1-6-2-40-40-3-1+1+15-4-10-2-2-2+121-10-32-32-4-8-35+19-4-1-1+10-5-1-1-1-1-1-10-1-2+140-44-2-36-1-1-1-3-1-2+101-1-1-1-1+20-1-1-3-3-12-1-3-1-1-1-1-2-19-1-1-1-2-1-10+10-2-1-3-1-3-1-3-2-1-11-83+66+118-6-2-5-1-3-2-1-8-1-1-1-10-6-16-2-1-1-1-1+150-15-3-4-4-2-1-2-1-2-1-5-2-2-1-2-6-1-1-3-1-1-3-3-1-7-1-45-5-1-2-1-8-1-4-5-15-1-4-4-5-3-2-9-1-1-1-19-1-1-4-1-1-1-1-1</f>
        <v>42</v>
      </c>
      <c r="F182" s="115">
        <f>61-1-2-3-9-1-1-1-1-1-10+1-32+44-2+51-1-1-1-2-1-20-20+4-3-10-20-4-1+20-22-11+20-1-1-1-1-4-12+50-4-2-9-1-2-1-1-2-1-1-1-1+60-3-18-2-2-2-18-2-1-1-2-2-1-2-1-27+50+60-64-1-45+110-15-5-2-1-2-1-10-1-1-2-2-1-1-2-6-27-1-2-1-5-3-4-1-1-10-1-2</f>
        <v>0</v>
      </c>
      <c r="G182" s="115">
        <f>3-3</f>
        <v>0</v>
      </c>
      <c r="H182" s="115">
        <f>13-1-10-2+21-3+3-2+3-1-1-2-16+30-12-1-1-1-1-1-2-1-3-5+1-1-4+15+14-29+51-1-3-1-13-1-1-1-1-10-1-5</f>
        <v>13</v>
      </c>
      <c r="I182" s="115">
        <f>16-16+15-2+6-5-14+20-9-4-1-1-1-1-1-2+15+10-19-1-5+25-1-1-6-1-3-5-1-1</f>
        <v>6</v>
      </c>
      <c r="J182" s="115">
        <f>10-10+10+5+1-1-15+50-27-5-8-1-1-1-2-2-1+15+10-21-1-5+25-4-6-1-1</f>
        <v>13</v>
      </c>
      <c r="K182" s="115">
        <f>50-2+3-51+40+17+2-20-20-10-1-1-1-2-1+20-1-3-10-9+35-2-2-1-2-1-2-2-2+1+99-1-42-5-1-3-8-3-2+50-9-2-5-1-12-1-1-9-1-1</f>
        <v>64</v>
      </c>
      <c r="L182" s="115">
        <f>38+70-6-1-11-1-2-1-1-8-5-1-3+2-70+20+70-1-4-1-1-4-1+63-1-2-1-2+24-10-10-1-1-2-2-10-1-1-36-34-2-22-2-1+102+1-5-1-2-1-1-10-5-4-1-1-5-1-1-1-3-10-2-51-1-1-2-3-1-1-1-1-10-1+100-10-2-3-12-1-2-25+1+14-60+99-5-2-1-35-4-3-2-1-5+82+1-30-1-1-1-7-7-1-1-15-1-6-1-6-2-1-40-3+176-1-1-1-3-1-2-2-1-5-6-5-1-1-1-15-10-1-1-3-1-15-1-2-24-1-2-1-2</f>
        <v>66</v>
      </c>
      <c r="M182" s="115">
        <f>98+70-1-17-6-9-4-23-1-1-2-1-1-4-4-1-16-1-2-1-1-3-1-1+2-69+21+70-8-1-2-7-1-4-1+95-2-1-8-6-1-80-80+81+12-3-6-1-6-4-2+79-15-15-2-3-16-1-10-2-5-2-1-2-4-1-1-2-1-1-2-1-1-5-4-3-1-33+6-6+1+3+1-1-4+199+4-4-6-15-1-4+17-1-5-1-1-10-1-1-1-3-1-10-3-1+1-20-1-4-2+40-2-1-1-1-9-1-20-2-1-1-26-1-2-1-1-1-1-1-1-1-3-1-1-2-1-1-2-1-5-2-1-2-2-1-4-3-2+180-1-1-2-30-1-2-4-23-1-2-1-2-2-1-2-1-40-1+1+7-127+197-5-4-3-1-5-97-27-4-1-3-1-8-2-1+132+2-3-2-10-1-1-2-1-1-1-1-1-1-1-1-1-10-10-1-1-1-16-1-1-1-1-1-2-1-1-5-14-5-1-6-2-11-1+449-1-2-1-4-1-1-6-2-1-1-1-3-1-5-2-1-1-13-23-5-3-1-2-1-1-1-1-3-15-1-20-1-1-11-4-6-3-1-1-1-1-3-7-1-1-1-28-1-1-1-1-5-1-2-3</f>
        <v>287</v>
      </c>
      <c r="N182" s="115">
        <f>52+70-2-4-6-4+2-17-6-2-1+1-23-2-2-1-1-3-1+2-52+69-8-1-2-31-1-1-3+1-2-2-10+116-1-8-1-2-1-60-60+9+4-1-2-1-2-1-4-1-1-1-3+55-15-15+1-1-2-11+2-1-1+4+98-3-4-20-1+75-5-1-1-2-1-1-16-3-1-1-40-1-24-4+80-1-2-3-2-1-1-1-4-1-1-1-10-21-1-4-1-4-1-1-2-3-1-1-1-1-1-4-1-1-3-2-4+1-3-1+90-1-10-1-1-2-21-1-1+90+1-2-10-1-134-3-1-1-1-1-2+97-3-2-2-1-1-62-1-3-1-6-2+230+1-2-2-1-2-2-2-4-1-1-1-10-7-1-1-2-2-1-3-21-6-1-1-2-1-3-1-1-6-1-3-1-2-1-1-1-1-15-4-1-1-1-6-1-3-1-2-3-2-3+347-10-1-1-6-1-8-4-14-1-1-1-3-4-1-14-37-5-1-3-2-2-1-4-1-2-3-15-1-8-1-2-4-2-3-1-10-1-1-1-15-2-5-1-2-28-1-2-1-8-2-1-12</f>
        <v>214</v>
      </c>
      <c r="O182" s="115">
        <f>45+18+60-2-4-4-18-1-12-12-1-1-1+1-2-3-2+2-63+21+60-8-1-13-1-3-1-3-3-1-1-20-20+6-1-2-1+78-2-1-7-1-3-1-14-16-2-2-1+1-1-6+1-1-10+5-1-2-1-3+92-5-1-1-1-19-3-1-1-1-4-20-2-8-2-2-1-1-2-11-1-1-1-2-1-5-1+50-3-12-1+3-5+50-1-2-2-8-1-1-2-1-2+1-75+96-2-2-41-1-1-5-1-1+79+2-1-1-4-8-2-2-7-15-1-2-1-12-1-1-2-1-1-5-1-3-15-1-1-2-1-1+178-1-1-1-2-3-1-2-1-2-2-2-2-1-23-5-2-3-1-2-1-1-3-2-1-2-2-2-7-24-1-7-1-2</f>
        <v>96</v>
      </c>
      <c r="P182" s="115">
        <f>0+50-4-1-3+1-1-1-2+1-40+40-1-1-1+4-4+39-1-1-3-1-1-14-12+4+27-1-5-5-1-12-1-1-1-1-1-3-2-1-2-1-2-5-5-1-2-1+35-2+2-12-1-27-1+83-2-2-3-5-2-5-2-2-1-1-1-2-1-1-1+50-10-1-15-1-1-2-1-3-2-1-2-6-7-1-1-1-1-5-4-5-8-7-1-3-8-1</f>
        <v>18</v>
      </c>
      <c r="Q182" s="115">
        <f>45-1-3-1-2-38+36-1-6+1-1-2-6-1-1-1-2-2-1-1-1-2-1-1-2-5+12-12+39+2-3-1-3-1-1-1+30-1-1-2-3-3-1-3-1-13-1</f>
        <v>32</v>
      </c>
      <c r="R182" s="115">
        <f>24-2-22+21+1-4-4-1-5-1-1-1-2+7-10+21+8-1+15-2-4</f>
        <v>37</v>
      </c>
      <c r="S182" s="115">
        <f>13-13+13-1-6+5-1-3-1-1-1-2-2+21+16-1-1-1-1+15-1-1</f>
        <v>46</v>
      </c>
      <c r="T182" s="115">
        <f>SUM(B182:S182)</f>
        <v>993</v>
      </c>
      <c r="U182" s="131"/>
      <c r="V182" s="150"/>
    </row>
    <row r="183" spans="1:23" ht="22.5">
      <c r="A183" s="136" t="s">
        <v>16</v>
      </c>
      <c r="B183" s="115">
        <f>45-2-20-2-2+17-1-2-1-1-2-1-1-1-2-1</f>
        <v>23</v>
      </c>
      <c r="C183" s="115">
        <f>2-2-3+3+2-2+13-1-4-2-1-1-1-2-1+81-2-10-6-4-1-1-4-1-1-1-2-3-1-4-4-3-1-1-1-2-2-1-1+20+1+1-1-1-14-1-3-3-1-2-10-2-1+120-1-2-2-2-3-1-1-50-2-1+50-2-3-78-16-1-1-5-1+45-4-40-1-3-1+7-1+156-2-1-3-1-1-1-1-3-2-1-1-1-8-1-1-1</f>
        <v>134</v>
      </c>
      <c r="D183" s="115">
        <f>0-3-3+6-3+3+3-3+9-4-1-1-2-1+178-1-14-16-2-1-1-1-1-6-1-3-3-4-1-2-3+1-2-4-6-1-2-3-1-2-1-3-4-2-1-2-3-1-2+1+1-2-1-3-2-8-1-1-2-2-1-2-1-44-2-1-1+120-5-1-2-2-1-2-1-1-3-2-4-3-100+100-2-3-1-94+179-1-2-1-2-4-40-1-3-6-2-4-1-8-1-1-1-1-3+161-1-2-4-4-2-5+1-2-1-2-1-1-1-2-9-1-2-3-1-4-1-2-3-1-13-1-1</f>
        <v>189</v>
      </c>
      <c r="E183" s="115">
        <f>88-1-2-1-2-3-1-2-1-1-3-1-2+4-1-1-15-1-1-2+2-53+38-20-1-6-5-1-4+81-3-2-1-1-1-1-1-1-1-3-1-3+1-6-3-1-1-1-2-1-1-1-1-1-2-2-2-1-3-2-1+49+1+1-1-3-1-1-2-1-1-8-1-1-3-6-53-1+119-2-6-1-1-2-2-1-1-1-1-1-1-2-1-1-1-94+94-8-86+179-1-4-40-8-2-2-4-1-2-1-1+160-2-3-1-4-4-2-1-2-5-1-5-2-2-1-1-1-10-1</f>
        <v>225</v>
      </c>
      <c r="F183" s="115">
        <f>45-1-3-1-2-15-2-21+10-6-4+46-1-1-1-2-2-2-1-6-6-2-1-1-1-1-1-1+1+1-1-1-1-1-6-2-1+1-1-1-3-1+100+1-6-2-2-2-1-1-1-86+86-86+90-1-20-1-4-2-1-1-3-2-1+100-1-1-1-2-2-2-2-2-1-4-1-1</f>
        <v>134</v>
      </c>
      <c r="G183" s="115">
        <f>42-1-4-6-31+34-2-2-1-1-2+2-7-1-2-1-1+1-1-1-1-1-1+50-2-2-8-50+50-50+40-1-20-2-2-1-1-1+60-2-1-1-1</f>
        <v>67</v>
      </c>
      <c r="H183" s="115">
        <f>4-1-3+3-1-1+20-1-1-1-1-1-1-15+36-36+40-1-1-1-1-1-1-1-1-1</f>
        <v>31</v>
      </c>
      <c r="I183" s="115">
        <f>40-2-1-37+37-2-3-1-1-1-1-22+22-22+10-2</f>
        <v>14</v>
      </c>
      <c r="J183" s="115">
        <f>19-1-1-17+17-1-1-15+15-2-13+10-2-1+10</f>
        <v>17</v>
      </c>
      <c r="K183" s="115">
        <f>38-1-1-1-35+31+4-2-1-2+30-1-3-1-1-1-1-1-1-2-2-1-1-38+38-38-1-3-2+70-70+69-1-2-1-3-3-1</f>
        <v>58</v>
      </c>
      <c r="L183" s="115">
        <f>69-1-1-2-2-1+12-10-1-2-1+2-62+49-3-1-1+1+1-1-1-1-1-1-3-1-1+1-1-2-2-1-1-1-7+1-7-2-1-1-1-4-1-1-1-1-1-2+60-2-2-3-1+1-2-2-1-1-2-2-1-3-2-1-3-1-1-2-1-3-1-2-8-1-5-1-1-1-1-1-1-1+160-5-1-1-2-1-2-8-1-6-1-2-2-1-36-2-2+36-64-6-1-1-1-1-2-7-14-27+90-2-49-1-1-4-1-1-1-1-1-1-1+250-2-12-1-4-2-4+1-1-1-3-1-1-2-3-2-1-1-3-2-2-1-1-1-1-1</f>
        <v>224</v>
      </c>
      <c r="M183" s="115">
        <f>60-15-4-4+2-14-1-1-2-1-1-1+22+1+6+1-48+46-2-20-4-15-1-4+4-3+150-5-4-6-3-2-1-1+10-1-2-2-1-1-6-1-2-2-1-2-3-12-2-1-4+2-2-6-3-2-1-7-5-2-4-1-1-1-1-1-4-1-1-1-1-3-2-4-1-1-1-2-2-8-1-1-5-6-1-1-4-1-2+80+1-1-1-1-2-1-12-1-1-1-2-2-1-1-3-1-1-15-4-14-1-4-2-1-1-2-1-1+319-1-1-5-1-2-1-2-2-2-1-1-22-1-1-6-4-4-2-2-1-5-45-1-2-1-3+45-4-1-3-1-92-1-1-20-1-1-5-1-1-3-3-1-3-10-2-16-2-1-6-1+140-1-2-2-100-1-1-1-3-1-12-1-14-1-1-1-1-1-1-4-1-1+352-6-1-3-3-20-3-1-1-5-3-9-1-3-1-1-2-2-2-1-1-1-1-1-2-1-3-1-1-3-1-1-3-7-1-2-30-1-1-2-8-1-1-3-3</f>
        <v>268</v>
      </c>
      <c r="N183" s="115">
        <f>82-6-1-4-10-1-3-1-4-2-6-1-1+60-3-1-6-1-15-2-2-1+10-81+62-20-5-26-8-1-2+70-7-3-19-3-2-1-1-1+9-5-1-2-1-4-1-2-1-2-3-1-15-1+2-4-1+180-1-2-2+1-3-1-1-3-3-1-1-1-2-5-2-1-1-1-2-4-2-2-1-1-1-1-3-1-1-5-2-2-1-1-1-1-1+260-3-5-1-1-2-4-18-1-1-1-6-1-2-3-2-2-2-1-2-1-1-64-3-4-1+64-2-3-1-1-64-1-2-1-7-1-5-2-10-1-1-20-1-1-1-1+69-2-90-3-1-1-1-3-3-1-16-1-1-4-1-2-7-6+300-1-1-3-3-1-2-12-1-3-1-1-5-7-1-1-3-1-2-2-3-1-10-2-2-1-1-1-2-31-24-2-7-1-2-5-2-1</f>
        <v>260</v>
      </c>
      <c r="O183" s="115">
        <f>84-3-5-11-2-2-1-2-1-1-1-8-1-2-1+11-54+32-17-2-3-1-1-1-1-3-1+30-3-4-1-1-1+5-6-6-1-2-2-2-1-2-1-3-1+60-1-1-4-3+1-2-3-2-2-1-3-1-1-1-1-2-1-2-1-6-1-3-2-3-2-1-1+160-2-1-2-1-10-2-6-2-1-2-2-45+45-4-46-1-2-1-5-7-12-1-1-3-1-3-2-50+70-30-2-2-1-1-12-1-1-2-1-1-3-1+200-1-1-1-1-1-6-2-1-2-1-2-1-1-3-2-2-2-1-1</f>
        <v>180</v>
      </c>
      <c r="P183" s="115">
        <f>24-3-1-3-2-1-14+3-3+3-3+30-1-1-1-1+4-2-9-2-6-1-3-7+10-1-5-1-3+9+100-1-2-2-2-3-2-30-3-1+30-2-30-1-1-1-3-3-1-1-40-1-5-1-2-1+141-2-4-2-1-1-1-3-20-3-1-1-1-1-4-4-5-3-1</f>
        <v>83</v>
      </c>
      <c r="Q183" s="115">
        <f>15-1-2-2-10+14-3-5-1-1-2-1+10+5-1-1-1-2-1-1-1-1-1-1-1+10-1-1-2-10+20-1-1-1-5-12+12-12+30-30+70-1-1-4-1-1-1-10-1</f>
        <v>50</v>
      </c>
      <c r="R183" s="115">
        <f>74-1-2-2-69+7-2-3+10-1-2-4-1-4+10-2-1+20-11+11-16-1+5-1-3-1+10-1-11-8</f>
        <v>0</v>
      </c>
      <c r="S183" s="115">
        <f>4-1-1-2+4-2-2+2+5-7+19-10-1-1+5-5+10-5-1</f>
        <v>11</v>
      </c>
      <c r="T183" s="115">
        <f>SUM(B183:S183)</f>
        <v>1968</v>
      </c>
      <c r="U183" s="131"/>
      <c r="V183" s="150"/>
    </row>
    <row r="184" spans="1:23" ht="23.25">
      <c r="A184" s="165" t="s">
        <v>85</v>
      </c>
      <c r="B184" s="115">
        <f>11-1-10+10-1-1-1+10-1</f>
        <v>16</v>
      </c>
      <c r="C184" s="115">
        <f>18-1-2-15+15-1-2-1-1-5-1-2-1-1+31-1-1-1-1-1-1-1</f>
        <v>24</v>
      </c>
      <c r="D184" s="115">
        <f>24-2-1-1-1-19+19-1-1-2-2-1-2-1-1-1-1-2-1+50-1-3-1-1-1+1-1-1-1-1-2-1</f>
        <v>40</v>
      </c>
      <c r="E184" s="115">
        <f>41-1-1-1-1-37+37+1-3-2-1-1-1-1-2-1+51-1-1-1-1-1-1-1</f>
        <v>70</v>
      </c>
      <c r="F184" s="115">
        <f>18-1-1-16+15-1-1-1-1+31-1-1-1-1-1-2-1-1-1</f>
        <v>32</v>
      </c>
      <c r="G184" s="115">
        <f>10-1-1-1-1</f>
        <v>6</v>
      </c>
      <c r="H184" s="115">
        <f>-1+10-1-1-1-1-1</f>
        <v>4</v>
      </c>
      <c r="I184" s="115">
        <f>10-1-1</f>
        <v>8</v>
      </c>
      <c r="J184" s="115">
        <f>4-4+4+10-1</f>
        <v>13</v>
      </c>
      <c r="K184" s="115">
        <f>-1+40-1-2</f>
        <v>36</v>
      </c>
      <c r="L184" s="115">
        <f>0-1+40-1-1-1-1-1-1</f>
        <v>33</v>
      </c>
      <c r="M184" s="115">
        <f>11-4-1-1-1-1-3+4-1-3-1+80-1-1-1-1-1-1-1-2-1-1-1-1-1-1-1-6-1-1-2-1</f>
        <v>52</v>
      </c>
      <c r="N184" s="115">
        <f>11-4-1-1-1-4+4-1-3-2+80-1-1-1-2-2-1-1-1-2-7-2-1-1-1-2-1</f>
        <v>51</v>
      </c>
      <c r="O184" s="115">
        <f>0+2-1-1-2+40-1-3-1-3-1-1-1-2</f>
        <v>25</v>
      </c>
      <c r="P184" s="115">
        <f>15-1-2-1-1-1-1-1</f>
        <v>7</v>
      </c>
      <c r="Q184" s="115">
        <f>15-1-2-1-1-1-3</f>
        <v>6</v>
      </c>
      <c r="R184" s="115">
        <f>5-5+5-1</f>
        <v>4</v>
      </c>
      <c r="S184" s="115">
        <f>5</f>
        <v>5</v>
      </c>
      <c r="T184" s="115">
        <f>SUM(B184:S184)</f>
        <v>432</v>
      </c>
      <c r="U184" s="131"/>
      <c r="V184" s="131"/>
    </row>
    <row r="185" spans="1:23" ht="22.5">
      <c r="A185" s="136" t="s">
        <v>73</v>
      </c>
      <c r="B185" s="4">
        <f>30-1-1-1+5</f>
        <v>32</v>
      </c>
      <c r="C185" s="4">
        <f>31-1-1-1-1-1-2+1-25+25-1-1-1-1+60-21-1-1-1-1-1-1-1-1-2-2-1-1+1-1-1-2-1-1-1</f>
        <v>40</v>
      </c>
      <c r="D185" s="4">
        <f>0+2-2+2-1-1+2-1+119-1-1+1-1-1-1-11-2-9-9-1-1-1-1-1-1-1-4-1-1-1-1-1-1-1-1-1-4-1-1-3-1-1-1-2-2-2-6-2+20</f>
        <v>59</v>
      </c>
      <c r="E185" s="4">
        <f>30-2-2-4-1-3+1-1-2-1-1-2-1-11+13+18-2+93-26-3+1-1-1-1-1-29-4-6-1-1-1-1-1-7-1-1-1-1-1-1-1-1-2-2-1-1-1-2-5-4-2-1-1+20</f>
        <v>29</v>
      </c>
      <c r="F185" s="4">
        <f>59-1-2-1-1-14-1-1-1-1-6-2-1-3-1-1-1-1-1-2-1-1-1-2-2-2+20</f>
        <v>28</v>
      </c>
      <c r="G185" s="4">
        <f>30-2-1-1-10-1-1-1-2-1-1-2-1-1-4+20</f>
        <v>21</v>
      </c>
      <c r="H185" s="115">
        <f>15-1-1-1-1-1-1-2+5</f>
        <v>12</v>
      </c>
      <c r="I185" s="115">
        <f>1-1+1+14-1-1-1</f>
        <v>12</v>
      </c>
      <c r="J185" s="115">
        <f>14-1-1</f>
        <v>12</v>
      </c>
      <c r="K185" s="4">
        <f>14-1-13+13-13+30</f>
        <v>30</v>
      </c>
      <c r="L185" s="4">
        <f>3-1+1-3+3-1+1-1+1+58-3-1-1-1-1-1-1+1</f>
        <v>53</v>
      </c>
      <c r="M185" s="4">
        <f>60-2-2-1-1-9+2-47+47-2+81-44-1-1-6-1-1-1-1-1-3-1-1-1-1-1-1</f>
        <v>60</v>
      </c>
      <c r="N185" s="4">
        <f>55-3-1-1-3-47+47-1+78-47+1-1-1-1-7-1-1-1-1-1-3-1-1-1-3-1-1-1-2+15</f>
        <v>64</v>
      </c>
      <c r="O185" s="4">
        <f>55-1-4-1-49+49+16-49-1-2-2-1-1-2-2-1-1-1-1-1+30</f>
        <v>30</v>
      </c>
      <c r="P185" s="4">
        <f>34-1-33+33-33+30</f>
        <v>30</v>
      </c>
      <c r="Q185" s="4">
        <f>18-18+18-18+15</f>
        <v>15</v>
      </c>
      <c r="R185" s="4">
        <f>10-2</f>
        <v>8</v>
      </c>
      <c r="S185" s="4">
        <f>10</f>
        <v>10</v>
      </c>
      <c r="T185" s="168">
        <f>SUM(B185:S185)</f>
        <v>545</v>
      </c>
      <c r="U185" s="131"/>
      <c r="V185" s="131"/>
    </row>
    <row r="186" spans="1:23" ht="22.5">
      <c r="A186" s="136" t="s">
        <v>86</v>
      </c>
      <c r="B186" s="4"/>
      <c r="C186" s="4">
        <v>21</v>
      </c>
      <c r="D186" s="4"/>
      <c r="E186" s="4">
        <v>13</v>
      </c>
      <c r="F186" s="4"/>
      <c r="G186" s="4"/>
      <c r="H186" s="115"/>
      <c r="I186" s="115"/>
      <c r="J186" s="115"/>
      <c r="K186" s="4">
        <f>13-2-1-1-3</f>
        <v>6</v>
      </c>
      <c r="L186" s="238"/>
      <c r="M186" s="4">
        <f>44-2-1</f>
        <v>41</v>
      </c>
      <c r="N186" s="4">
        <f>47-3</f>
        <v>44</v>
      </c>
      <c r="O186" s="4">
        <f>49-1-2</f>
        <v>46</v>
      </c>
      <c r="P186" s="4">
        <f>33-1-1-2-3</f>
        <v>26</v>
      </c>
      <c r="Q186" s="4">
        <f>18-1-1-1-1</f>
        <v>14</v>
      </c>
      <c r="R186" s="4"/>
      <c r="S186" s="4"/>
      <c r="T186" s="168">
        <f>SUM(B186:S186)</f>
        <v>211</v>
      </c>
      <c r="U186" s="131"/>
      <c r="V186" s="131"/>
    </row>
    <row r="187" spans="1:23" ht="22.5">
      <c r="A187" s="136" t="s">
        <v>71</v>
      </c>
      <c r="B187" s="115">
        <f>13-1-1-11+12-1-1-1-1-1-1-1-2-1-2</f>
        <v>0</v>
      </c>
      <c r="C187" s="115">
        <f>34-8-1-2-2-21+22-1-1-1-1-1-2-1-1-1-1-1-1-1-2-1-1+1-4-1</f>
        <v>0</v>
      </c>
      <c r="D187" s="115">
        <f>32-1-1-5-2-1-22+22+1+12-2-1-1-1-2-1-1-1-1-1-1-1-2-1-1-1-4-12</f>
        <v>0</v>
      </c>
      <c r="E187" s="115">
        <f>73-1-14-2-1-55+45+2-1-1+1-1-1-2-1-1-1-1-1-1-1-1-1-1-2-1-1-1-1-7-1-1-3-1-2-5-6</f>
        <v>0</v>
      </c>
      <c r="F187" s="115">
        <f>22-1-1-1-19+18+1-2-1-1-2-1-1-1-1-2-1-2-1-1-1-1</f>
        <v>0</v>
      </c>
      <c r="G187" s="115">
        <f>1-1+1-1</f>
        <v>0</v>
      </c>
      <c r="H187" s="115">
        <v>0</v>
      </c>
      <c r="I187" s="115">
        <v>0</v>
      </c>
      <c r="J187" s="115">
        <f>22-4-1-17+17-1-2-3-1</f>
        <v>10</v>
      </c>
      <c r="K187" s="115">
        <f>4-1-3+3-2-1+30</f>
        <v>30</v>
      </c>
      <c r="L187" s="115">
        <f>7-1-1-2-1-2+2-2+40</f>
        <v>40</v>
      </c>
      <c r="M187" s="115">
        <f>82-2-3-1-1-75+81-5-1-2-1-1-1-2-1-1-2-1-1-1-1-1-1-1-1-3-1+1-1-1-1-1-1+60</f>
        <v>108</v>
      </c>
      <c r="N187" s="115">
        <f>93-1-1-91+92-3-1-1-1-1-1-1-1-1-1-2-1-1-1-6-1+60</f>
        <v>128</v>
      </c>
      <c r="O187" s="115">
        <f>20-1-2-17+19-1-1-1-1+1-1-3-1-1-1-1-1+30</f>
        <v>37</v>
      </c>
      <c r="P187" s="115">
        <f>17-17+17-1-1-1-2-1+15</f>
        <v>26</v>
      </c>
      <c r="Q187" s="115">
        <f>4-4+4-1-1+15</f>
        <v>17</v>
      </c>
      <c r="R187" s="115">
        <v>5</v>
      </c>
      <c r="S187" s="115">
        <v>5</v>
      </c>
      <c r="T187" s="115">
        <f>SUM(B187:S187)</f>
        <v>406</v>
      </c>
      <c r="U187" s="131"/>
      <c r="V187" s="150"/>
    </row>
    <row r="188" spans="1:23" ht="21" customHeight="1">
      <c r="A188" s="131"/>
      <c r="B188" s="131"/>
      <c r="C188" s="131"/>
      <c r="D188" s="131"/>
      <c r="E188" s="131"/>
      <c r="F188" s="131"/>
      <c r="G188" s="131"/>
      <c r="H188" s="131"/>
      <c r="I188" s="131"/>
      <c r="J188" s="131"/>
      <c r="K188" s="131"/>
      <c r="L188" s="131"/>
      <c r="M188" s="131"/>
      <c r="N188" s="131"/>
      <c r="O188" s="131"/>
      <c r="P188" s="131"/>
      <c r="Q188" s="131"/>
      <c r="R188" s="131"/>
      <c r="S188" s="131"/>
      <c r="T188" s="142">
        <f>SUM(T182:T187)</f>
        <v>4555</v>
      </c>
      <c r="U188" s="131"/>
      <c r="V188" s="131"/>
    </row>
    <row r="189" spans="1:23" s="1" customFormat="1" ht="20.100000000000001" customHeight="1">
      <c r="A189" s="150"/>
      <c r="B189" s="150"/>
      <c r="C189" s="150"/>
      <c r="D189" s="150"/>
      <c r="E189" s="150"/>
      <c r="F189" s="150"/>
      <c r="G189" s="150"/>
      <c r="H189" s="150"/>
      <c r="I189" s="150"/>
      <c r="J189" s="150"/>
      <c r="K189" s="150"/>
      <c r="L189" s="150"/>
      <c r="M189" s="150"/>
      <c r="N189" s="150"/>
      <c r="O189" s="150"/>
      <c r="P189" s="150"/>
      <c r="Q189" s="150"/>
      <c r="R189" s="150"/>
      <c r="S189" s="150"/>
      <c r="T189" s="150"/>
      <c r="U189" s="150"/>
      <c r="V189" s="150"/>
    </row>
    <row r="190" spans="1:23" s="1" customFormat="1" ht="33.75" customHeight="1">
      <c r="A190" s="349" t="s">
        <v>87</v>
      </c>
      <c r="B190" s="350"/>
      <c r="C190" s="350"/>
      <c r="D190" s="350"/>
      <c r="E190" s="350"/>
      <c r="F190" s="350"/>
      <c r="G190" s="350"/>
      <c r="H190" s="350"/>
      <c r="I190" s="350"/>
      <c r="J190" s="350"/>
      <c r="K190" s="350"/>
      <c r="L190" s="350"/>
      <c r="M190" s="350"/>
      <c r="N190" s="350"/>
      <c r="O190" s="350"/>
      <c r="P190" s="350"/>
      <c r="Q190" s="350"/>
      <c r="R190" s="350"/>
      <c r="S190" s="350"/>
      <c r="T190" s="350"/>
      <c r="U190" s="150"/>
      <c r="V190" s="150"/>
    </row>
    <row r="191" spans="1:23" s="179" customFormat="1" ht="27" customHeight="1">
      <c r="A191" s="106" t="s">
        <v>47</v>
      </c>
      <c r="B191" s="322" t="s">
        <v>3</v>
      </c>
      <c r="C191" s="323"/>
      <c r="D191" s="323"/>
      <c r="E191" s="323"/>
      <c r="F191" s="323"/>
      <c r="G191" s="323"/>
      <c r="H191" s="323"/>
      <c r="I191" s="323"/>
      <c r="J191" s="324"/>
      <c r="K191" s="322" t="s">
        <v>4</v>
      </c>
      <c r="L191" s="323"/>
      <c r="M191" s="323"/>
      <c r="N191" s="323"/>
      <c r="O191" s="323"/>
      <c r="P191" s="323"/>
      <c r="Q191" s="323"/>
      <c r="R191" s="323"/>
      <c r="S191" s="323"/>
      <c r="T191" s="323"/>
      <c r="U191" s="240"/>
      <c r="V191" s="240"/>
    </row>
    <row r="192" spans="1:23" s="172" customFormat="1" ht="30" customHeight="1">
      <c r="A192" s="103" t="s">
        <v>5</v>
      </c>
      <c r="B192" s="87" t="s">
        <v>6</v>
      </c>
      <c r="C192" s="87" t="s">
        <v>7</v>
      </c>
      <c r="D192" s="87" t="s">
        <v>8</v>
      </c>
      <c r="E192" s="87" t="s">
        <v>9</v>
      </c>
      <c r="F192" s="87" t="s">
        <v>10</v>
      </c>
      <c r="G192" s="87" t="s">
        <v>11</v>
      </c>
      <c r="H192" s="87" t="s">
        <v>12</v>
      </c>
      <c r="I192" s="87" t="s">
        <v>13</v>
      </c>
      <c r="J192" s="87" t="s">
        <v>14</v>
      </c>
      <c r="K192" s="87" t="s">
        <v>6</v>
      </c>
      <c r="L192" s="87" t="s">
        <v>7</v>
      </c>
      <c r="M192" s="87" t="s">
        <v>8</v>
      </c>
      <c r="N192" s="87" t="s">
        <v>9</v>
      </c>
      <c r="O192" s="87" t="s">
        <v>10</v>
      </c>
      <c r="P192" s="87" t="s">
        <v>11</v>
      </c>
      <c r="Q192" s="87" t="s">
        <v>12</v>
      </c>
      <c r="R192" s="87" t="s">
        <v>13</v>
      </c>
      <c r="S192" s="87" t="s">
        <v>14</v>
      </c>
      <c r="T192" s="243" t="s">
        <v>88</v>
      </c>
      <c r="U192" s="87" t="s">
        <v>89</v>
      </c>
      <c r="V192" s="87" t="s">
        <v>15</v>
      </c>
      <c r="W192" s="172" t="s">
        <v>90</v>
      </c>
    </row>
    <row r="193" spans="1:23" s="1" customFormat="1" ht="28.5" customHeight="1">
      <c r="A193" s="165" t="s">
        <v>91</v>
      </c>
      <c r="B193" s="115">
        <f>33-2-1-1-1-28+30-1-1+1-1-3-1-1-1-1-5-2-2-1-1+20-2-15-1-1-1-1-2</f>
        <v>7</v>
      </c>
      <c r="C193" s="115">
        <f>63-7-1-1-1-11-1+2-43+41-5-4-1-3-1-1-1-5-1-1-5-3-1-4-1-1-1-1-1+1-1+50-2-2-10-4-3-1-3-1-1-1-15-1-1-1-1-3</f>
        <v>0</v>
      </c>
      <c r="D193" s="115">
        <f>15+20-2-3-2+5-6-1-6-20+1-1+1-1+10-7-1+48-1-2-3-2-2-1-3-3-14-5-3-1-1-1-1-1-1-1-1-1-1-1+1-1+1-1+100-1-1-2-1-2-22-2-1-1-2-1-3-1-1-1-4-15-1-1-1-1-9-1-1-3-1-1-2-2-10-5</f>
        <v>0</v>
      </c>
      <c r="E193" s="115">
        <f>49-2+3-1-1-1-18-1-1-2-25+25-2-1-1-3+5-1-1+26-1-2-1-3-1-22-5-2-3-1-1-1-1-2-1+1-1+100-2-1-1-2-13-1-1-1-1-30-1-1-1-1-6-7-2-1-1-5-1-12</f>
        <v>8</v>
      </c>
      <c r="F193" s="115">
        <f>5+20-4-3+3-1-15-5+7-2-1-2-1+29-1-1-9-3-4-1-1-3-7+50-2-4-1-2-1-10-1-2-1-3-1-5-4-13</f>
        <v>0</v>
      </c>
      <c r="G193" s="115">
        <f>31-1-5-1-24+22-1-1-2-1+3-10-1-2-1+20-2-1-1-1-1-1-1-2-1-8</f>
        <v>7</v>
      </c>
      <c r="H193" s="115">
        <f>21+30-2-4-45+27-1-1-5-2-1-1-10</f>
        <v>6</v>
      </c>
      <c r="I193" s="115">
        <f>35-1-34+28-1-1</f>
        <v>26</v>
      </c>
      <c r="J193" s="115">
        <f>36-36+38-1-1-2</f>
        <v>34</v>
      </c>
      <c r="K193" s="115">
        <f>45-1-1-1-5-2-35+35-1-3-1-1-1+1-5+39-2-1-1-1-3-1-1-5-2-2-1-1-2-4-10-1-3-1</f>
        <v>21</v>
      </c>
      <c r="L193" s="115">
        <f>16-4-1-1-1-1-1-2-5+1-1+145+140-1-1+1-2-2-1-2-2-3-1-4-6-2-3-1-1-2-1-4-1-1-1-6-4-1-2-1-1-2-3-1-2-2-1-1-1-1-1-2-2-2-1-1-1-1-1-23-20-1+1-1-1-9-1-1-1-2-7-2-1</f>
        <v>134</v>
      </c>
      <c r="M193" s="115">
        <f>38-1-1-3-3-6-1-3-3-2-15+3+19+1-12-11+13-5-1-1-3-2-1+82-1-1-2-1-2-3+215-2-1-1-1+264-4-2-2-2-1-5-3-2-9-3-2+1-1-19-2-8-3-1-1-11-1-1-4-1-1-12-1-1-2-1-3-2-1-1-1-2-9-1-11-1-1-1-1-1-2-1-1-1-3-1-10-1-12-1-2-2-3-4-1-1-1-1-1-1-1-1-1-3-1-3-1-1-3-1-2-5-2-6-20-1-1-6-1-10-1-4-4-2-2-2-3-1-21-1-2-10-1-1-2-2-3-3-20</f>
        <v>200</v>
      </c>
      <c r="N193" s="115">
        <f>0+4-2-2+3-3+300-1-1-2-4-1-4-2-2+258-1-1+5-2-1-1-2-2-3-1-1-6-2-12-1-8-2-6-2-10-2-11-14-3-1-1-2-1-30-2-22-2-2-2-23-1-1-2-2-1-2-1-1-1-2-2-2-2-4-1-1-1-1-2-5-8-1-1-3-1-2-1-1-3-1-11-1-1-2-1-2-10-4-2-35-2-1-1-1-6-1-15-1-2-1-2-2-10-1-3-18-101-8-7-1-1-2-14-35</f>
        <v>2</v>
      </c>
      <c r="O193" s="115">
        <f>2-2+149-1-1-1-1-1+137-1-1+1-1-1-1-3-2-5-1-8-3-1-1-2-1-1-1-11-7-1-2-4-1-15-1-1-1-2-2-1-1-1-2-2-3-1-5-2-2-1-2-1-1-1-2-2-6-1-1-6-15-1-1-6-10-1-2-3-4-2-3-10-20-2-2-2-2-26-1</f>
        <v>43</v>
      </c>
      <c r="P193" s="115">
        <f>2-2+80-1-1-1-1+59-1+1-1-3-2-1-1-5-2-2-1-4-2-1-1-10-6-1-1-1-1-1-2-1-4-3-2-1-2-1-1-10-1-8-2-6-6-1-2-12-2</f>
        <v>21</v>
      </c>
      <c r="Q193" s="115">
        <f>4-4+4-1+40-1-3+29-1-1-1-2-1-7-1-1-2-5-1-5-2-3-2-1-1-10-3-3-1-2</f>
        <v>12</v>
      </c>
      <c r="R193" s="115">
        <f>24-1-1-1-1-1-1-18+14+7+1-1-1-1-1-1</f>
        <v>17</v>
      </c>
      <c r="S193" s="115">
        <f>16-16+29-1-1-1-1-1-3-3-15-3</f>
        <v>0</v>
      </c>
      <c r="T193" s="115">
        <f>10</f>
        <v>10</v>
      </c>
      <c r="U193" s="115">
        <f>15-1</f>
        <v>14</v>
      </c>
      <c r="V193" s="115">
        <f>SUM(B193:U193)</f>
        <v>562</v>
      </c>
      <c r="W193" s="1">
        <v>300</v>
      </c>
    </row>
    <row r="194" spans="1:23" s="1" customFormat="1" ht="29.25" customHeight="1">
      <c r="A194" s="236"/>
      <c r="B194" s="141"/>
      <c r="C194" s="141"/>
      <c r="D194" s="141" t="s">
        <v>92</v>
      </c>
      <c r="E194" s="141"/>
      <c r="F194" s="141"/>
      <c r="G194" s="141"/>
      <c r="H194" s="141"/>
      <c r="I194" s="141"/>
      <c r="J194" s="141"/>
      <c r="K194" s="141"/>
      <c r="L194" s="141"/>
      <c r="M194" s="141"/>
      <c r="N194" s="141"/>
      <c r="O194" s="141"/>
      <c r="P194" s="141"/>
      <c r="Q194" s="141"/>
      <c r="R194" s="141"/>
      <c r="S194" s="21"/>
      <c r="T194" s="239"/>
      <c r="U194" s="150"/>
      <c r="V194" s="142">
        <f>SUM(V193:V193)</f>
        <v>562</v>
      </c>
    </row>
    <row r="195" spans="1:23" s="1" customFormat="1" ht="20.100000000000001" customHeight="1">
      <c r="A195" s="22"/>
      <c r="B195" s="37"/>
      <c r="C195" s="37"/>
      <c r="D195" s="37"/>
      <c r="E195" s="37"/>
      <c r="F195" s="37"/>
      <c r="G195" s="37"/>
      <c r="H195" s="37"/>
      <c r="I195" s="37"/>
      <c r="J195" s="37"/>
      <c r="K195" s="37"/>
      <c r="L195" s="37"/>
      <c r="M195" s="37"/>
      <c r="N195" s="37"/>
      <c r="O195" s="37"/>
      <c r="P195" s="37"/>
      <c r="Q195" s="37"/>
      <c r="R195" s="37"/>
      <c r="S195" s="9"/>
      <c r="T195" s="19"/>
    </row>
    <row r="196" spans="1:23" s="1" customFormat="1" ht="32.25" customHeight="1">
      <c r="A196" s="349" t="s">
        <v>93</v>
      </c>
      <c r="B196" s="350"/>
      <c r="C196" s="350"/>
      <c r="D196" s="350"/>
      <c r="E196" s="350"/>
      <c r="F196" s="350"/>
      <c r="G196" s="350"/>
      <c r="H196" s="350"/>
      <c r="I196" s="350"/>
      <c r="J196" s="350"/>
      <c r="K196" s="350"/>
      <c r="L196" s="350"/>
      <c r="M196" s="350"/>
      <c r="N196" s="350"/>
      <c r="O196" s="350"/>
      <c r="P196" s="350"/>
      <c r="Q196" s="350"/>
      <c r="R196" s="350"/>
      <c r="S196" s="350"/>
      <c r="T196" s="350"/>
    </row>
    <row r="197" spans="1:23" s="1" customFormat="1" ht="27" customHeight="1">
      <c r="A197" s="106" t="s">
        <v>47</v>
      </c>
      <c r="B197" s="83"/>
      <c r="C197" s="84"/>
      <c r="D197" s="84"/>
      <c r="E197" s="138" t="s">
        <v>3</v>
      </c>
      <c r="F197" s="84"/>
      <c r="G197" s="84"/>
      <c r="H197" s="84"/>
      <c r="I197" s="84"/>
      <c r="J197" s="85"/>
      <c r="K197" s="83"/>
      <c r="L197" s="84"/>
      <c r="M197" s="84"/>
      <c r="N197" s="85"/>
      <c r="O197" s="83" t="s">
        <v>4</v>
      </c>
      <c r="P197" s="84"/>
      <c r="Q197" s="79"/>
      <c r="R197" s="79"/>
      <c r="S197" s="79"/>
      <c r="T197" s="80"/>
    </row>
    <row r="198" spans="1:23" s="1" customFormat="1" ht="24" customHeight="1">
      <c r="A198" s="103" t="s">
        <v>5</v>
      </c>
      <c r="B198" s="87" t="s">
        <v>6</v>
      </c>
      <c r="C198" s="87" t="s">
        <v>7</v>
      </c>
      <c r="D198" s="87" t="s">
        <v>8</v>
      </c>
      <c r="E198" s="87" t="s">
        <v>9</v>
      </c>
      <c r="F198" s="87" t="s">
        <v>10</v>
      </c>
      <c r="G198" s="87" t="s">
        <v>11</v>
      </c>
      <c r="H198" s="87" t="s">
        <v>12</v>
      </c>
      <c r="I198" s="87" t="s">
        <v>13</v>
      </c>
      <c r="J198" s="87" t="s">
        <v>14</v>
      </c>
      <c r="K198" s="87" t="s">
        <v>6</v>
      </c>
      <c r="L198" s="87" t="s">
        <v>7</v>
      </c>
      <c r="M198" s="87" t="s">
        <v>8</v>
      </c>
      <c r="N198" s="87" t="s">
        <v>9</v>
      </c>
      <c r="O198" s="87" t="s">
        <v>10</v>
      </c>
      <c r="P198" s="87" t="s">
        <v>11</v>
      </c>
      <c r="Q198" s="87" t="s">
        <v>12</v>
      </c>
      <c r="R198" s="87" t="s">
        <v>13</v>
      </c>
      <c r="S198" s="87" t="s">
        <v>14</v>
      </c>
      <c r="T198" s="87" t="s">
        <v>15</v>
      </c>
    </row>
    <row r="199" spans="1:23" s="1" customFormat="1" ht="24.75" customHeight="1">
      <c r="A199" s="135" t="s">
        <v>58</v>
      </c>
      <c r="B199" s="114">
        <f>25-1+1-25+26-1+1+30-1-6-3+30+6-2-1-1-1-2-1-2-1-1-1-1-1-2-1-2</f>
        <v>62</v>
      </c>
      <c r="C199" s="114">
        <f>3-1-2+1-1+122-2-26-55-1+120-1-4+26-1-4-1-1-1-1-2-3-2-1-1-1-1-1-1-1-1-2-1-1-2-1+1-2-19-5-1-1-4-1-2-14-1-2-3-1-1-1-1-1-1+1-1-2</f>
        <v>86</v>
      </c>
      <c r="D199" s="114">
        <f>0+5-1-1-1-1+239-50-87-2+40-1-3+50-1-6-2-1-1-1-1-1-3-2-1-1-1-1-1-1-1-1-1-1-1-2-1-3-1-3-1+1-2-1-7-32-4-1-2-6-1-2-4-2-5-1-3-3-3-1-1-1-1-2-1-1-1-1+1-5-2-1-1-2</f>
        <v>48</v>
      </c>
      <c r="E199" s="114">
        <f>0+6+240-25-65-2+40-1-1+25-11-1-1-1-3-2-1-1-1-1-1-1-1-1-2-5-1-1+1-1-1-5-19-1-1-1-2-1-2-2-4-1-1-3-1-4-2-2-2-1-1-1-1-2-3-1-1-1</f>
        <v>114</v>
      </c>
      <c r="F199" s="114">
        <f>1-1+1+120-4-24-1-2+119-1+4-8-1-2-1-2-1-1-1-1-1-1-2-1+1-1-1-2-9-1-1-2-3-1-3-2-1-1-3-1-1</f>
        <v>157</v>
      </c>
      <c r="G199" s="114">
        <f>51-6-4+80+6-2-1-1-1-1-1-2-1-1-9-2-1-2-3-1-1-1-4</f>
        <v>92</v>
      </c>
      <c r="H199" s="114">
        <f>30-3+30+3-1-3-1-1-2-1-1-1-6-1-2-3-1</f>
        <v>36</v>
      </c>
      <c r="I199" s="114">
        <f>1-1+1+15+10-1-1-1-1-1-2-2-1-1</f>
        <v>15</v>
      </c>
      <c r="J199" s="114">
        <f>36-36+36+15+10-1-1-2-1-1-2-1-1</f>
        <v>51</v>
      </c>
      <c r="K199" s="114">
        <f>0+2+50-1-1+1-1-3-1-2-1-2-1-2-1-1-1-2</f>
        <v>33</v>
      </c>
      <c r="L199" s="115">
        <f>62-2-2-1-57+53-1-1+3-1-1+160-13-12-1+260-1+13-1-1-1-1-5-1-1-1-1-1-2-1+1-1-5-3-1-2-1-3-1-1-1-1-1+3-1-1-1-1-2</f>
        <v>418</v>
      </c>
      <c r="M199" s="115">
        <f>72-1-1-1+1-70+70-7-1-1+9-1-1+319-1+1-2-2-2-51-59-2+402-1-15+51-1-3-1-1-14-3-1-4-6-3-1-1-1-1-3-1-1-1-1-1-1+1-1-1-1-1-2-1-3-1-2+1-2-1-2-14-61-3-6-2-1-6-1-1-3-10-1-1-1-6-2-1-4-1-1-1-1-1-2-2-1+1-4-1-2-2-2-1-2-1-4-1-1-4-3</f>
        <v>479</v>
      </c>
      <c r="N199" s="115">
        <f>1-1+1-1+320-1-2-1-1-1-1-72-2-67-1-2+399-1-1-2-4+72-4-1-1-1-2-1-14-1-5-5-1-6-7-1-1-1-3-1-1-1-2-1-1-1-1-1-2-1-1-1-2-2-5-1-3-3+1-1-1-1-1-10-40-1-1-2-1-1-1-5-5-4-5-5-2-1-1-2-1-2-2-2-1-1-2-2-1-12-4-4-1-1-1-4-1-1-1-1-2-2</f>
        <v>407</v>
      </c>
      <c r="O199" s="115">
        <f>1-1+1-2+3+160-33-1-18-2+261-1-2+33-4-1-1-12-2-4-1-1-4-1-1-1-1-1-1-2-1+1-3-4-19-1-1-2-2-2-3-1-1-1-2-1-1-2-2-2-1-6-1-1-2-1-2-1-1-2</f>
        <v>293</v>
      </c>
      <c r="P199" s="115">
        <f>22-1-1-1-19+18-2-1+80-13-4+98+13-2-7-6-2-3-1-1-1-1-1-1-1-1-1-2-1-1-18-1-2-1-2-2-1-1-1-1-1-1-4-1-2-1</f>
        <v>116</v>
      </c>
      <c r="Q199" s="115">
        <f>0+27-1-1+50+7-4-1-2-1-1-1-1-1-1-2-1-1-8-2-1-2-1-1-1-1-1-1</f>
        <v>46</v>
      </c>
      <c r="R199" s="115">
        <f>9-9+8+1-1-1-2-2-1-1</f>
        <v>1</v>
      </c>
      <c r="S199" s="115">
        <f>29-29+29-1-1-1-2-8-2-1-1</f>
        <v>12</v>
      </c>
      <c r="T199" s="115">
        <f>SUM(B199:S199)</f>
        <v>2466</v>
      </c>
      <c r="U199" s="9"/>
    </row>
    <row r="200" spans="1:23" s="1" customFormat="1" ht="24" customHeight="1">
      <c r="A200" s="135" t="s">
        <v>94</v>
      </c>
      <c r="B200" s="115">
        <f>1-1+1-1+1-1+30-2-1-1-1-1-1-1-1-1+29</f>
        <v>49</v>
      </c>
      <c r="C200" s="115">
        <f>5-1+2-6+2-1+3-1-1-1-1+90-2-1-1-2-2-3-3-1-1-1-2-2-4-1-1-1+1-1-1+30-4-2</f>
        <v>85</v>
      </c>
      <c r="D200" s="115">
        <f>3-1-1-1+2-2+4-1-2+2-1-1-1+120-7-3-1-2-1-4-1-3-1-4-1-4-3-1-1-5-1-1-1+50-5-5-4-1</f>
        <v>110</v>
      </c>
      <c r="E200" s="115">
        <f>16-2-1-1+1+1-14+12-1+1-1-1-2-1-1-1-5+120-2-2-3-4-1-4-6-2-2-1-1-1-2-1-1+30-5-2</f>
        <v>110</v>
      </c>
      <c r="F200" s="115">
        <f>6-2-2+1-3+3-1-1-1+60-2-1-2-3-1-1-4-2-1-2-3-1-2-1-1-1+30-2-2</f>
        <v>58</v>
      </c>
      <c r="G200" s="115">
        <f>30-2-1-1-1-1-4-1+15-1</f>
        <v>33</v>
      </c>
      <c r="H200" s="115">
        <f>5-5+5-1-1-1-1-1+15-2-1-1-2-1-1-1-1+15-3</f>
        <v>17</v>
      </c>
      <c r="I200" s="115">
        <f>5-5+5-1+10-2-2</f>
        <v>10</v>
      </c>
      <c r="J200" s="115">
        <f>5-5+5+10-2</f>
        <v>13</v>
      </c>
      <c r="K200" s="115">
        <f>11-1+1-11+10-1-1-1-1-1-1+42-2-1-1-1-8+50</f>
        <v>83</v>
      </c>
      <c r="L200" s="115">
        <f>23-1-2-20+20-1-1-2-1+1-1-1-1-1-1-1+75-1-2-2-4-1-1-5-1-1-4-1-1+1-1+50-2-2</f>
        <v>107</v>
      </c>
      <c r="M200" s="115">
        <f>26-4-8+1+3-18+17-7-1-1-2-1-1-1-1-2+163-14-2-1-2-6-1-2-2-2-3-3-6-1-1-1-5-1-1-3-2-2-2+1-4-1-1-1-1-1-1-1-1+101-1-3-3-3-4</f>
        <v>176</v>
      </c>
      <c r="N200" s="115">
        <f>7-2-2-3+3-3+4-2-2-1+1+1-1+160-4-1-1-2-1-1-3-1-3-1-1-1-1-5-9-2-2-1-12-1-1-1-1-1+81-1-2</f>
        <v>181</v>
      </c>
      <c r="O200" s="115">
        <f>48-1-1-1-1-2-8-1-33+35-1-2-1-1-1-1-1-2-1-1-1-2-1-1-1-1-1-4-1+80-2-1-1-2-4-1-1-2-1-1-2-2-1-6-1-1-1-1-1+40-1-1-2</f>
        <v>94</v>
      </c>
      <c r="P200" s="115">
        <f>46-1-1-44+44-1+30-2-1-1-1-1-4-4-1-1-1</f>
        <v>56</v>
      </c>
      <c r="Q200" s="115">
        <f>8-8+8-1-1-1-3+10-1-2-1-1+20-1</f>
        <v>26</v>
      </c>
      <c r="R200" s="115">
        <f>6-6+17-11+10-2-1</f>
        <v>13</v>
      </c>
      <c r="S200" s="139">
        <f>26-26+9+11+10-2</f>
        <v>28</v>
      </c>
      <c r="T200" s="115">
        <f>SUM(B200:S200)</f>
        <v>1249</v>
      </c>
      <c r="U200" s="9" t="s">
        <v>95</v>
      </c>
    </row>
    <row r="201" spans="1:23" s="1" customFormat="1" ht="29.25" customHeight="1">
      <c r="A201" s="140"/>
      <c r="B201" s="141" t="s">
        <v>0</v>
      </c>
      <c r="C201" s="141"/>
      <c r="D201" s="141"/>
      <c r="E201" s="141"/>
      <c r="F201" s="141"/>
      <c r="G201" s="141"/>
      <c r="H201" s="141"/>
      <c r="I201" s="141"/>
      <c r="J201" s="141"/>
      <c r="K201" s="141"/>
      <c r="L201" s="141"/>
      <c r="M201" s="141"/>
      <c r="N201" s="141"/>
      <c r="O201" s="141"/>
      <c r="P201" s="141"/>
      <c r="Q201" s="141"/>
      <c r="R201" s="141"/>
      <c r="S201" s="21"/>
      <c r="T201" s="142">
        <f>SUM(T199:T200)</f>
        <v>3715</v>
      </c>
    </row>
    <row r="202" spans="1:23" s="1" customFormat="1" ht="20.100000000000001" customHeight="1">
      <c r="A202" s="13"/>
      <c r="B202" s="37"/>
      <c r="C202" s="37"/>
      <c r="D202" s="37"/>
      <c r="E202" s="37"/>
      <c r="F202" s="37"/>
      <c r="G202" s="37"/>
      <c r="H202" s="37"/>
      <c r="I202" s="37"/>
      <c r="J202" s="37"/>
      <c r="K202" s="37"/>
      <c r="L202" s="37"/>
      <c r="M202" s="37"/>
      <c r="N202" s="37"/>
      <c r="O202" s="37"/>
      <c r="P202" s="37"/>
      <c r="Q202" s="37"/>
      <c r="R202" s="37"/>
      <c r="S202" s="9"/>
      <c r="T202" s="19"/>
    </row>
    <row r="203" spans="1:23" s="1" customFormat="1" ht="32.25" customHeight="1">
      <c r="A203" s="349" t="s">
        <v>96</v>
      </c>
      <c r="B203" s="350"/>
      <c r="C203" s="350"/>
      <c r="D203" s="350"/>
      <c r="E203" s="350"/>
      <c r="F203" s="350"/>
      <c r="G203" s="350"/>
      <c r="H203" s="350"/>
      <c r="I203" s="350"/>
      <c r="J203" s="350"/>
      <c r="K203" s="350"/>
      <c r="L203" s="350"/>
      <c r="M203" s="350"/>
      <c r="N203" s="350"/>
      <c r="O203" s="350"/>
      <c r="P203" s="350"/>
      <c r="Q203" s="350"/>
      <c r="R203" s="350"/>
      <c r="S203" s="350"/>
      <c r="T203" s="350"/>
    </row>
    <row r="204" spans="1:23" s="1" customFormat="1" ht="30.75" customHeight="1">
      <c r="A204" s="106" t="s">
        <v>47</v>
      </c>
      <c r="B204" s="83"/>
      <c r="C204" s="84"/>
      <c r="D204" s="84"/>
      <c r="E204" s="138" t="s">
        <v>3</v>
      </c>
      <c r="F204" s="84"/>
      <c r="G204" s="84"/>
      <c r="H204" s="84"/>
      <c r="I204" s="84"/>
      <c r="J204" s="85"/>
      <c r="K204" s="83"/>
      <c r="L204" s="84"/>
      <c r="M204" s="84"/>
      <c r="N204" s="85"/>
      <c r="O204" s="83" t="s">
        <v>4</v>
      </c>
      <c r="P204" s="84"/>
      <c r="Q204" s="84"/>
      <c r="R204" s="84"/>
      <c r="S204" s="84"/>
      <c r="T204" s="80"/>
    </row>
    <row r="205" spans="1:23" s="1" customFormat="1" ht="22.5" customHeight="1">
      <c r="A205" s="103" t="s">
        <v>5</v>
      </c>
      <c r="B205" s="87" t="s">
        <v>6</v>
      </c>
      <c r="C205" s="87" t="s">
        <v>7</v>
      </c>
      <c r="D205" s="87" t="s">
        <v>8</v>
      </c>
      <c r="E205" s="87" t="s">
        <v>9</v>
      </c>
      <c r="F205" s="87" t="s">
        <v>10</v>
      </c>
      <c r="G205" s="87" t="s">
        <v>11</v>
      </c>
      <c r="H205" s="87" t="s">
        <v>12</v>
      </c>
      <c r="I205" s="87" t="s">
        <v>13</v>
      </c>
      <c r="J205" s="87" t="s">
        <v>14</v>
      </c>
      <c r="K205" s="87" t="s">
        <v>6</v>
      </c>
      <c r="L205" s="87" t="s">
        <v>7</v>
      </c>
      <c r="M205" s="87" t="s">
        <v>8</v>
      </c>
      <c r="N205" s="87" t="s">
        <v>9</v>
      </c>
      <c r="O205" s="87" t="s">
        <v>10</v>
      </c>
      <c r="P205" s="87" t="s">
        <v>11</v>
      </c>
      <c r="Q205" s="87" t="s">
        <v>12</v>
      </c>
      <c r="R205" s="87" t="s">
        <v>13</v>
      </c>
      <c r="S205" s="87" t="s">
        <v>14</v>
      </c>
      <c r="T205" s="87" t="s">
        <v>48</v>
      </c>
    </row>
    <row r="206" spans="1:23" s="1" customFormat="1" ht="25.5" customHeight="1">
      <c r="A206" s="135" t="s">
        <v>19</v>
      </c>
      <c r="B206" s="115">
        <f>9-9+9-3-1-1+30</f>
        <v>34</v>
      </c>
      <c r="C206" s="115">
        <f>66-1-65+65+1-1-1-3-3-1-1-2-1-1-1-1</f>
        <v>50</v>
      </c>
      <c r="D206" s="115">
        <f>48-1-47+47-1-1-1-4-10-8-1+59-1-6-1-2-1-1-1+1-2-1</f>
        <v>65</v>
      </c>
      <c r="E206" s="115">
        <f>55-55+55-1-13-21-1-1-1-1-1+59-6-2-1-1</f>
        <v>64</v>
      </c>
      <c r="F206" s="115">
        <f>11-11+11-1-7-3+59-1-2-1-1-1</f>
        <v>53</v>
      </c>
      <c r="G206" s="115">
        <f>15-15+15-3-8-1-1-1+10-1-1-1</f>
        <v>8</v>
      </c>
      <c r="H206" s="115">
        <f>17-1-16+16-1-5-4-1+10-1</f>
        <v>14</v>
      </c>
      <c r="I206" s="115">
        <f>6-6</f>
        <v>0</v>
      </c>
      <c r="J206" s="115">
        <f>13-13+19-1</f>
        <v>18</v>
      </c>
      <c r="K206" s="115">
        <f>34-34+32-1-1-1-1+10-1</f>
        <v>37</v>
      </c>
      <c r="L206" s="115">
        <f>19-19+19-1-2-1-5-1-1-1+70-2-1-1-1+2-1-1</f>
        <v>72</v>
      </c>
      <c r="M206" s="115">
        <f>100-3-1-96+95-1-1+1-1-1-3-5-5-1-1-5-1-1-1-1-2-1-1-1-1+50-1-1-1-1-1-3</f>
        <v>104</v>
      </c>
      <c r="N206" s="115">
        <f>84-2-1-81+81-1-1-3-1-1-2-7-14-5-1-2-1+70-1-5-1-3-1-1-1-4</f>
        <v>95</v>
      </c>
      <c r="O206" s="115">
        <f>26-26+26-1-6-13-5-1+50-3-2-1-2-1</f>
        <v>41</v>
      </c>
      <c r="P206" s="115">
        <f>10-10+10-1-3-1-1-1+25-2-1-1</f>
        <v>24</v>
      </c>
      <c r="Q206" s="115">
        <f>20-20+19-2-11-1+25-3-2</f>
        <v>25</v>
      </c>
      <c r="R206" s="115">
        <f>16-16+16-2+10</f>
        <v>24</v>
      </c>
      <c r="S206" s="115">
        <f>10-10+10-1-2-1+10-1-1</f>
        <v>14</v>
      </c>
      <c r="T206" s="115">
        <f>SUM(B206:S206)</f>
        <v>742</v>
      </c>
      <c r="U206" s="9"/>
      <c r="V206" s="1">
        <v>500</v>
      </c>
      <c r="W206" s="1">
        <v>1000</v>
      </c>
    </row>
    <row r="207" spans="1:23" ht="23.25">
      <c r="A207" s="135" t="s">
        <v>97</v>
      </c>
      <c r="B207" s="115">
        <f>16-2-3-11+13-2-2-1-1+39-1-1-2</f>
        <v>42</v>
      </c>
      <c r="C207" s="115">
        <f>69+44-1-2-9-2+2-101+51-4+2-1-2-1-1-1-2+40-1-1-2-1-2-4-5-2</f>
        <v>63</v>
      </c>
      <c r="D207" s="115">
        <f>33-3+3-2-9-1+2-23+24-1-1-1-2-7-3-1-1-1+100-1+1-1-3-3-18-1-1</f>
        <v>79</v>
      </c>
      <c r="E207" s="115">
        <f>60-2-2-1-16+50+1-90+40-1-1-1-1-3-1-1-2+100-1-1-1-1-2-1-5-3-10-2</f>
        <v>102</v>
      </c>
      <c r="F207" s="115">
        <f>24-2-1-1+1-21+21-1-1-1-1-1-1-2-1-1-1-2+50-1-2-2-2</f>
        <v>51</v>
      </c>
      <c r="G207" s="115">
        <f>16+1-17+34-1-1-1-1-1-1-1-1-1</f>
        <v>25</v>
      </c>
      <c r="H207" s="115">
        <f>20-20+4-1-1-1+10-1-1</f>
        <v>9</v>
      </c>
      <c r="I207" s="115">
        <f>8-8+8-1</f>
        <v>7</v>
      </c>
      <c r="J207" s="115">
        <f>7-1+10-16+6</f>
        <v>6</v>
      </c>
      <c r="K207" s="115">
        <f>14-9-1-2-1-1+2-1-1+79-3-1-1-1</f>
        <v>73</v>
      </c>
      <c r="L207" s="115">
        <f>36-1-4-24-1-2-4+5-1-2-1-1+1-1+101-1-3-1-1-5-1-1-1+1-1-3-7-12-2-2</f>
        <v>61</v>
      </c>
      <c r="M207" s="115">
        <f>74+80-4-2-3+2-1-8-2-1+1+2-138+144-2-1-1-1-1-13-3-2-1-1-1-19-8-5-1-3-1-1-1-1-4-1-1-2+160-1-1-1-1-1-1-1-5-1-1+2-1-1-3-6-35-4-2-4</f>
        <v>161</v>
      </c>
      <c r="N207" s="115">
        <f>125-1-3-2+4-7-1-4-4+1+2-110+111-1-1-1-1-1-1-1-1-1-6-1-2-1+4-22-3-1-10-3-1-1-1-1-2-1-1-8-1-1-1-2+159-1-1-1-1-4-1-10-5-9-31-1-1</f>
        <v>129</v>
      </c>
      <c r="O207" s="115">
        <f>68-4-2-1-1-1-1-2-2-2-52+52-1-3-2-1-1+2-12-1-8-1-1-3-1+80-4-1-4-1-1-2-1-4-5-11-2-1</f>
        <v>62</v>
      </c>
      <c r="P207" s="115">
        <f>25-1-1-1-1-1-20+20-1-2-1-1-1-2-1-1+40-2-1-1-1-4-1-1-2</f>
        <v>37</v>
      </c>
      <c r="Q207" s="115">
        <f>20-3-17+17-1-1-1+9-1</f>
        <v>22</v>
      </c>
      <c r="R207" s="115">
        <f>11-1-10+5+10</f>
        <v>15</v>
      </c>
      <c r="S207" s="115">
        <f>6-6+11-1</f>
        <v>10</v>
      </c>
      <c r="T207" s="115">
        <f>SUM(B207:S207)</f>
        <v>954</v>
      </c>
      <c r="U207" s="130"/>
      <c r="V207" s="1">
        <v>800</v>
      </c>
      <c r="W207" s="1">
        <v>1000</v>
      </c>
    </row>
    <row r="208" spans="1:23" ht="22.5">
      <c r="A208" s="143" t="s">
        <v>30</v>
      </c>
      <c r="B208" s="115">
        <f>15-1-1-3-1-1+1-1-2-1-1-1+30-2-2-1-3</f>
        <v>25</v>
      </c>
      <c r="C208" s="115">
        <f>41-1-1-1-9-3-26+27-1-1-1-4-2-2+1-1-2-1-1-1-2-1-1-1-1-5+80-18-2-1-1-1-11-2</f>
        <v>44</v>
      </c>
      <c r="D208" s="115">
        <f>81-4-2+3-1-1-1-9-1-4-61+65-1+1-1-1-4-4-1-11-2+1-3-3-1-1-2-6-1-1-9-1+110-8-21-1-2-3-1-2-1-1+1-1-1-2-3-2-20-3-1-1</f>
        <v>51</v>
      </c>
      <c r="E208" s="115">
        <f>77-1-1-1-1-16-1+1-57+132-1-1-4-2-1-25-2+1-1-1-5-1-1-3-2-1-2-1-3-1-8-1-1-1-2+112-18-7-2-2-4-1-1-3-4-1-1-4-20-1-1</f>
        <v>104</v>
      </c>
      <c r="F208" s="115">
        <f>36-1-1-1-1-1-1-1-13-3+1-1-1-2-7-1-2+60-12-11-2-1-3-2-1-2-13</f>
        <v>13</v>
      </c>
      <c r="G208" s="115">
        <f>14-1-1+1-2-1-4+1-1-6+30-6-1-2-1-1-5</f>
        <v>14</v>
      </c>
      <c r="H208" s="115">
        <f>8-1-1-1-1-4+13+1-1-3+1-4-2-1-1-1-1-1+15-2-1-3-1-1</f>
        <v>7</v>
      </c>
      <c r="I208" s="115">
        <f>26-1-1-24+10-1-3-2+10-2-1-1-2</f>
        <v>8</v>
      </c>
      <c r="J208" s="115">
        <f>0+18-8-2-2+10-1-1</f>
        <v>14</v>
      </c>
      <c r="K208" s="115">
        <f>72-3-2-67+5-1-1-1+1-2+2-1-1-1+60-2-2-2-1</f>
        <v>53</v>
      </c>
      <c r="L208" s="115">
        <f>70-15-1-1-1-24-5+1-1-2-1-1-1-1-5-2-5-2+1-1-3+80-5-32-4-1-6-2-2-2-1-2-6-5-2</f>
        <v>10</v>
      </c>
      <c r="M208" s="115">
        <f>73+60+60-8-4+3-1-8-1-1-1-172+111-2-3-1-1-1-1-1-2-5-1-17-1-1-23-8+1-1-1-1-1-1-1-5-1-2-19-8-3+160-12-2-1-4-1-12-1-6-6-2-2-1-1-3-4-1-1-1-1-1-1+1-4-1-5-13-1-1-2-1</f>
        <v>69</v>
      </c>
      <c r="N208" s="115">
        <f>43+50-18-4-7-1-1-62+120-1-1-2-1-1-3-1-1-1-5-9-1-19-4+1-1-1-1-5-22-1-1-15-1-6-2-14-1+160-22-4-5-29-4-6-2-2-1-3-1-2-1-1-2-1-3-11-10-14-1-1-1-2-1</f>
        <v>30</v>
      </c>
      <c r="O208" s="115">
        <f>61-8-5-1-1-1-1-1-1-3-2-5-1-7-4+1-2-4-5-2-2-6+80-38-4-10-4-2-2-1-1-1-2-3-2-6-4</f>
        <v>0</v>
      </c>
      <c r="P208" s="115">
        <f>45-1-1-43+38-2-1-2+1-1-1-1-12-1-4-1-5-2-6+30-18-1-2-1-2-1-1-1-2-1</f>
        <v>0</v>
      </c>
      <c r="Q208" s="115">
        <f>23-3-20+17+3-1-1-1-1-1+1-1-3-2-1-3-6+10-8-1-1</f>
        <v>0</v>
      </c>
      <c r="R208" s="115">
        <f>15-6-1-1-2-3-2+10-1-1-1-7</f>
        <v>0</v>
      </c>
      <c r="S208" s="115">
        <f>16-1-1-1-3-2-8+10-1-1-1-1</f>
        <v>6</v>
      </c>
      <c r="T208" s="115">
        <f>SUM(B208:S208)</f>
        <v>448</v>
      </c>
      <c r="U208" s="130"/>
      <c r="V208" s="1">
        <v>800</v>
      </c>
      <c r="W208" s="1">
        <v>1000</v>
      </c>
    </row>
    <row r="209" spans="1:16383" ht="31.5">
      <c r="A209" s="131"/>
      <c r="B209" s="131"/>
      <c r="C209" s="131"/>
      <c r="D209" s="131"/>
      <c r="E209" s="131"/>
      <c r="F209" s="131"/>
      <c r="G209" s="131"/>
      <c r="H209" s="131"/>
      <c r="I209" s="131"/>
      <c r="J209" s="131"/>
      <c r="K209" s="131"/>
      <c r="L209" s="131"/>
      <c r="M209" s="131"/>
      <c r="N209" s="131"/>
      <c r="O209" s="131"/>
      <c r="P209" s="131"/>
      <c r="Q209" s="131"/>
      <c r="R209" s="131"/>
      <c r="S209" s="131"/>
      <c r="T209" s="137">
        <f>SUM(T206:T208)</f>
        <v>2144</v>
      </c>
    </row>
    <row r="211" spans="1:16383" s="1" customFormat="1" ht="19.5" customHeight="1">
      <c r="A211" s="332" t="s">
        <v>98</v>
      </c>
      <c r="B211" s="332"/>
      <c r="C211" s="332"/>
      <c r="D211" s="332"/>
      <c r="E211" s="332"/>
      <c r="F211" s="332"/>
      <c r="G211" s="332"/>
      <c r="H211" s="332"/>
      <c r="I211" s="332"/>
      <c r="J211" s="332"/>
      <c r="K211" s="332"/>
      <c r="L211" s="332"/>
      <c r="M211" s="332"/>
      <c r="N211" s="332"/>
      <c r="O211" s="332"/>
      <c r="P211" s="332"/>
      <c r="Q211" s="332"/>
      <c r="R211" s="332"/>
      <c r="S211" s="332"/>
      <c r="T211" s="332"/>
      <c r="U211" s="332"/>
    </row>
    <row r="212" spans="1:16383" s="1" customFormat="1" ht="36" customHeight="1">
      <c r="A212" s="332"/>
      <c r="B212" s="332"/>
      <c r="C212" s="332"/>
      <c r="D212" s="332"/>
      <c r="E212" s="332"/>
      <c r="F212" s="332"/>
      <c r="G212" s="332"/>
      <c r="H212" s="332"/>
      <c r="I212" s="332"/>
      <c r="J212" s="332"/>
      <c r="K212" s="332"/>
      <c r="L212" s="332"/>
      <c r="M212" s="332"/>
      <c r="N212" s="332"/>
      <c r="O212" s="332"/>
      <c r="P212" s="332"/>
      <c r="Q212" s="332"/>
      <c r="R212" s="332"/>
      <c r="S212" s="332"/>
      <c r="T212" s="332"/>
      <c r="U212" s="332"/>
    </row>
    <row r="213" spans="1:16383" s="1" customFormat="1" ht="23.25" customHeight="1">
      <c r="A213" s="22"/>
      <c r="B213" s="37"/>
      <c r="C213" s="37"/>
      <c r="D213" s="37"/>
      <c r="E213" s="37"/>
      <c r="F213" s="37"/>
      <c r="G213" s="37"/>
      <c r="H213" s="37"/>
      <c r="I213" s="37"/>
      <c r="J213" s="37"/>
      <c r="K213" s="37"/>
      <c r="L213" s="37"/>
      <c r="M213" s="37"/>
      <c r="N213" s="37"/>
      <c r="O213" s="37"/>
      <c r="P213" s="37"/>
      <c r="Q213" s="37"/>
      <c r="R213" s="37"/>
      <c r="S213" s="9"/>
      <c r="T213" s="9"/>
      <c r="U213" s="14"/>
    </row>
    <row r="214" spans="1:16383" ht="31.5">
      <c r="A214" s="339" t="s">
        <v>99</v>
      </c>
      <c r="B214" s="340"/>
      <c r="C214" s="340"/>
      <c r="D214" s="340"/>
      <c r="E214" s="340"/>
      <c r="F214" s="340"/>
      <c r="G214" s="340"/>
      <c r="H214" s="340"/>
      <c r="I214" s="340"/>
      <c r="J214" s="340"/>
      <c r="K214" s="341"/>
      <c r="T214"/>
    </row>
    <row r="215" spans="1:16383" s="38" customFormat="1" ht="39.75" customHeight="1">
      <c r="A215" s="106" t="s">
        <v>2</v>
      </c>
      <c r="B215" s="322" t="s">
        <v>54</v>
      </c>
      <c r="C215" s="323"/>
      <c r="D215" s="323"/>
      <c r="E215" s="323"/>
      <c r="F215" s="323"/>
      <c r="G215" s="323"/>
      <c r="H215" s="323"/>
      <c r="I215" s="323"/>
      <c r="J215" s="323"/>
      <c r="K215" s="324"/>
      <c r="L215" s="45"/>
      <c r="M215" s="45"/>
    </row>
    <row r="216" spans="1:16383" s="1" customFormat="1" ht="33.75" customHeight="1">
      <c r="A216" s="128" t="s">
        <v>5</v>
      </c>
      <c r="B216" s="87" t="s">
        <v>6</v>
      </c>
      <c r="C216" s="87" t="s">
        <v>7</v>
      </c>
      <c r="D216" s="87" t="s">
        <v>8</v>
      </c>
      <c r="E216" s="87" t="s">
        <v>9</v>
      </c>
      <c r="F216" s="87" t="s">
        <v>10</v>
      </c>
      <c r="G216" s="87" t="s">
        <v>11</v>
      </c>
      <c r="H216" s="87" t="s">
        <v>12</v>
      </c>
      <c r="I216" s="87" t="s">
        <v>13</v>
      </c>
      <c r="J216" s="87" t="s">
        <v>14</v>
      </c>
      <c r="K216" s="87" t="s">
        <v>48</v>
      </c>
    </row>
    <row r="217" spans="1:16383" s="1" customFormat="1" ht="43.5" customHeight="1">
      <c r="A217" s="247" t="s">
        <v>100</v>
      </c>
      <c r="B217" s="129">
        <f>2-2+55-1-1-53+11+40-1-1</f>
        <v>49</v>
      </c>
      <c r="C217" s="129">
        <f>26-2-3-2-12-1-1+5-6-4+1+110-1-1-3-1-1-1-1-102+27+30+40-1-1-1-1-1-1-1</f>
        <v>90</v>
      </c>
      <c r="D217" s="129">
        <f>52+8-2-2-3-4-4-4-3-2-1-30-1-6+2+55-3-3-1-1-1-4-1+1-1-1-1-1-1-1-1-4-1-1-29+11+15-1-4-3-1-3-1-2-1</f>
        <v>10</v>
      </c>
      <c r="E217" s="129">
        <f>59-1-1-2-4-1-1-1-1-1-9-30-1-1-2-2-1+130-2-1-3-1-9-1+1-1-1-1-1-1-1-5-1-1-101+8+40+50-1-1-3-1-1-1-1-1-2-1-1-6-12-2-1-2-1-1-1</f>
        <v>58</v>
      </c>
      <c r="F217" s="129">
        <f>30-1-3-1-1-6-1-2-15+65-1-1-2-3-4-1-1-1-1-50+16+35-1+1-2-2-10-5-1</f>
        <v>31</v>
      </c>
      <c r="G217" s="129">
        <f>21-1-2-1-6-9-1-1-1+1+35-1-1-1-1-31+31-2-1</f>
        <v>28</v>
      </c>
      <c r="H217" s="129">
        <f>8-1-2-1-1-1-1-1+20-1-2-17+17-1-1</f>
        <v>15</v>
      </c>
      <c r="I217" s="129">
        <f>9-1-1-1-1-1-1-2-1</f>
        <v>0</v>
      </c>
      <c r="J217" s="129"/>
      <c r="K217" s="110">
        <f>SUM(B217:J217)</f>
        <v>281</v>
      </c>
    </row>
    <row r="218" spans="1:16383" s="1" customFormat="1" ht="25.5" customHeight="1">
      <c r="A218" s="22"/>
      <c r="B218" s="37"/>
      <c r="C218" s="37"/>
      <c r="D218" s="37"/>
      <c r="E218" s="37"/>
      <c r="F218" s="37"/>
      <c r="G218" s="37"/>
      <c r="H218" s="37"/>
      <c r="I218" s="37"/>
      <c r="J218" s="37"/>
      <c r="K218" s="37"/>
      <c r="L218" s="37"/>
      <c r="M218" s="37"/>
      <c r="N218" s="37"/>
      <c r="O218" s="37"/>
      <c r="P218" s="37"/>
      <c r="Q218" s="37"/>
      <c r="R218" s="37"/>
      <c r="S218" s="9"/>
      <c r="T218" s="14"/>
    </row>
    <row r="219" spans="1:16383" s="1" customFormat="1" ht="49.5" customHeight="1">
      <c r="A219" s="342" t="s">
        <v>101</v>
      </c>
      <c r="B219" s="325"/>
      <c r="C219" s="325"/>
      <c r="D219" s="325"/>
      <c r="E219" s="325"/>
      <c r="F219" s="325"/>
      <c r="G219" s="325"/>
      <c r="H219" s="325"/>
      <c r="I219" s="325"/>
      <c r="J219" s="325"/>
      <c r="K219" s="325"/>
      <c r="L219" s="325"/>
      <c r="M219" s="325"/>
      <c r="N219" s="325"/>
      <c r="O219" s="325"/>
      <c r="P219" s="325"/>
      <c r="Q219" s="325"/>
      <c r="R219" s="325"/>
      <c r="S219" s="325"/>
      <c r="T219" s="326"/>
    </row>
    <row r="220" spans="1:16383" s="1" customFormat="1" ht="29.25" customHeight="1">
      <c r="A220" s="106" t="s">
        <v>47</v>
      </c>
      <c r="B220" s="322" t="s">
        <v>3</v>
      </c>
      <c r="C220" s="323"/>
      <c r="D220" s="323"/>
      <c r="E220" s="323"/>
      <c r="F220" s="323"/>
      <c r="G220" s="323"/>
      <c r="H220" s="323"/>
      <c r="I220" s="323"/>
      <c r="J220" s="324"/>
      <c r="K220" s="322" t="s">
        <v>4</v>
      </c>
      <c r="L220" s="323"/>
      <c r="M220" s="323"/>
      <c r="N220" s="323"/>
      <c r="O220" s="323"/>
      <c r="P220" s="323"/>
      <c r="Q220" s="323"/>
      <c r="R220" s="323"/>
      <c r="S220" s="323"/>
      <c r="T220" s="324"/>
    </row>
    <row r="221" spans="1:16383" s="1" customFormat="1" ht="33.75" customHeight="1">
      <c r="A221" s="128" t="s">
        <v>5</v>
      </c>
      <c r="B221" s="87" t="s">
        <v>6</v>
      </c>
      <c r="C221" s="87" t="s">
        <v>7</v>
      </c>
      <c r="D221" s="87" t="s">
        <v>8</v>
      </c>
      <c r="E221" s="87" t="s">
        <v>9</v>
      </c>
      <c r="F221" s="87" t="s">
        <v>10</v>
      </c>
      <c r="G221" s="87" t="s">
        <v>11</v>
      </c>
      <c r="H221" s="87" t="s">
        <v>12</v>
      </c>
      <c r="I221" s="87" t="s">
        <v>13</v>
      </c>
      <c r="J221" s="87" t="s">
        <v>14</v>
      </c>
      <c r="K221" s="87" t="s">
        <v>6</v>
      </c>
      <c r="L221" s="87" t="s">
        <v>7</v>
      </c>
      <c r="M221" s="87" t="s">
        <v>8</v>
      </c>
      <c r="N221" s="87" t="s">
        <v>9</v>
      </c>
      <c r="O221" s="87" t="s">
        <v>10</v>
      </c>
      <c r="P221" s="87" t="s">
        <v>11</v>
      </c>
      <c r="Q221" s="87" t="s">
        <v>12</v>
      </c>
      <c r="R221" s="87" t="s">
        <v>13</v>
      </c>
      <c r="S221" s="87" t="s">
        <v>14</v>
      </c>
      <c r="T221" s="4" t="s">
        <v>15</v>
      </c>
    </row>
    <row r="222" spans="1:16383" s="1" customFormat="1" ht="45" customHeight="1">
      <c r="A222" s="136" t="s">
        <v>102</v>
      </c>
      <c r="B222" s="4">
        <f>15-15+13-2-5-1-5</f>
        <v>0</v>
      </c>
      <c r="C222" s="4">
        <f>40+3-1-5-1-1-2-2</f>
        <v>31</v>
      </c>
      <c r="D222" s="4">
        <f>55-55+43-1-2-1-10+30-1-1-2-1-1-2-1</f>
        <v>50</v>
      </c>
      <c r="E222" s="4">
        <f>55-1-4-10+27-1+3-10-2-1-1</f>
        <v>55</v>
      </c>
      <c r="F222" s="4">
        <f>41+5-5-1-10-2</f>
        <v>28</v>
      </c>
      <c r="G222" s="4">
        <f>43+1-5-1</f>
        <v>38</v>
      </c>
      <c r="H222" s="4">
        <f>39-5-1-1</f>
        <v>32</v>
      </c>
      <c r="I222" s="4">
        <f>15-1-5-1</f>
        <v>8</v>
      </c>
      <c r="J222" s="4">
        <f>18-1-5-1</f>
        <v>11</v>
      </c>
      <c r="K222" s="4">
        <f>28+1-1-2-10+16+1-16+10+16-2-2-1-2-1-2-1</f>
        <v>32</v>
      </c>
      <c r="L222" s="4">
        <f>44-1-8-12-23+27-1+100-1+1-20-1-5+31+44-31+34+30-2-2-1-1-1-10-3-2-1-1-1-1-11</f>
        <v>171</v>
      </c>
      <c r="M222" s="4">
        <f>3-6+3+6-6+230-1+2-52-1-3+1-7-1-2-1-20+89-2+119-89+78-1-1-1-1+73-2-1-2-2-4-1+11-1-2-1-18-2-1-1-1-3-1-1-1-2-1-20-1-3-1-3-4-2-1-12-2-2-1-1-5</f>
        <v>314</v>
      </c>
      <c r="N222" s="4">
        <f>0+243-1-48-1-7-5-1-5-3-1-1-1-20+1-2+140+79-1-5+54-2-2-2-2-11-2-1-1+1-1-1-2-1-2-48-1-2-10-13-1-1-4-2-1-1-2-30-2-3-1-6-10-2-15-1-1-1</f>
        <v>228</v>
      </c>
      <c r="O222" s="4">
        <f>0+2+6-8+118-16-1-1-1-5-5-1-2-1-20+75+28-75+10-1+77-7-2-2-2-11-1-1-2-1-5-4-27-2-10-1-5-1-1-2-2-10-2-2-2-1-1-7-1-2</f>
        <v>62</v>
      </c>
      <c r="P222" s="4">
        <f>1-1+56-8-5-20+57+1-57+60-2-2-2-1-1-24-2-4-1-1-1-5-3-1-1-2</f>
        <v>31</v>
      </c>
      <c r="Q222" s="4">
        <f>2-1-3+2+30-2-10+15-15+13-4-4+16-2-2-7-1+1-1-1-1-3-1</f>
        <v>21</v>
      </c>
      <c r="R222" s="4">
        <f>0+16-5+5-2-2-1-1-1</f>
        <v>9</v>
      </c>
      <c r="S222" s="4">
        <f>0+19-5-2-2-1-1-5-1</f>
        <v>2</v>
      </c>
      <c r="T222" s="4">
        <f>SUM(B222:S222)</f>
        <v>1123</v>
      </c>
      <c r="U222" s="16"/>
      <c r="V222" s="16"/>
      <c r="W222" s="16"/>
      <c r="X222" s="16"/>
      <c r="Y222" s="16"/>
      <c r="Z222" s="16"/>
      <c r="AA222" s="16"/>
      <c r="AB222" s="16"/>
      <c r="AC222" s="16"/>
      <c r="AD222" s="16" t="s">
        <v>91</v>
      </c>
      <c r="AE222" s="16" t="s">
        <v>91</v>
      </c>
      <c r="AF222" s="16" t="s">
        <v>91</v>
      </c>
      <c r="AG222" s="16" t="s">
        <v>91</v>
      </c>
      <c r="AH222" s="16" t="s">
        <v>91</v>
      </c>
      <c r="AI222" s="16" t="s">
        <v>91</v>
      </c>
      <c r="AJ222" s="16" t="s">
        <v>91</v>
      </c>
      <c r="AK222" s="16" t="s">
        <v>91</v>
      </c>
      <c r="AL222" s="16" t="s">
        <v>91</v>
      </c>
      <c r="AM222" s="16" t="s">
        <v>91</v>
      </c>
      <c r="AN222" s="16" t="s">
        <v>91</v>
      </c>
      <c r="AO222" s="39" t="s">
        <v>91</v>
      </c>
      <c r="AP222" s="40" t="s">
        <v>91</v>
      </c>
      <c r="AQ222" s="40" t="s">
        <v>91</v>
      </c>
      <c r="AR222" s="40" t="s">
        <v>91</v>
      </c>
      <c r="AS222" s="40" t="s">
        <v>91</v>
      </c>
      <c r="AT222" s="40" t="s">
        <v>91</v>
      </c>
      <c r="AU222" s="40" t="s">
        <v>91</v>
      </c>
      <c r="AV222" s="40" t="s">
        <v>91</v>
      </c>
      <c r="AW222" s="40" t="s">
        <v>91</v>
      </c>
      <c r="AX222" s="40" t="s">
        <v>91</v>
      </c>
      <c r="AY222" s="40" t="s">
        <v>91</v>
      </c>
      <c r="AZ222" s="40" t="s">
        <v>91</v>
      </c>
      <c r="BA222" s="40" t="s">
        <v>91</v>
      </c>
      <c r="BB222" s="40" t="s">
        <v>91</v>
      </c>
      <c r="BC222" s="40" t="s">
        <v>91</v>
      </c>
      <c r="BD222" s="40" t="s">
        <v>91</v>
      </c>
      <c r="BE222" s="40" t="s">
        <v>91</v>
      </c>
      <c r="BF222" s="40" t="s">
        <v>91</v>
      </c>
      <c r="BG222" s="40" t="s">
        <v>91</v>
      </c>
      <c r="BH222" s="40" t="s">
        <v>91</v>
      </c>
      <c r="BI222" s="40" t="s">
        <v>91</v>
      </c>
      <c r="BJ222" s="40" t="s">
        <v>91</v>
      </c>
      <c r="BK222" s="40" t="s">
        <v>91</v>
      </c>
      <c r="BL222" s="40" t="s">
        <v>91</v>
      </c>
      <c r="BM222" s="40" t="s">
        <v>91</v>
      </c>
      <c r="BN222" s="40" t="s">
        <v>91</v>
      </c>
      <c r="BO222" s="40" t="s">
        <v>91</v>
      </c>
      <c r="BP222" s="40" t="s">
        <v>91</v>
      </c>
      <c r="BQ222" s="40" t="s">
        <v>91</v>
      </c>
      <c r="BR222" s="40" t="s">
        <v>91</v>
      </c>
      <c r="BS222" s="40" t="s">
        <v>91</v>
      </c>
      <c r="BT222" s="40" t="s">
        <v>91</v>
      </c>
      <c r="BU222" s="40" t="s">
        <v>91</v>
      </c>
      <c r="BV222" s="40" t="s">
        <v>91</v>
      </c>
      <c r="BW222" s="40" t="s">
        <v>91</v>
      </c>
      <c r="BX222" s="40" t="s">
        <v>91</v>
      </c>
      <c r="BY222" s="40" t="s">
        <v>91</v>
      </c>
      <c r="BZ222" s="40" t="s">
        <v>91</v>
      </c>
      <c r="CA222" s="40" t="s">
        <v>91</v>
      </c>
      <c r="CB222" s="40" t="s">
        <v>91</v>
      </c>
      <c r="CC222" s="40" t="s">
        <v>91</v>
      </c>
      <c r="CD222" s="40" t="s">
        <v>91</v>
      </c>
      <c r="CE222" s="40" t="s">
        <v>91</v>
      </c>
      <c r="CF222" s="40" t="s">
        <v>91</v>
      </c>
      <c r="CG222" s="40" t="s">
        <v>91</v>
      </c>
      <c r="CH222" s="40" t="s">
        <v>91</v>
      </c>
      <c r="CI222" s="40" t="s">
        <v>91</v>
      </c>
      <c r="CJ222" s="40" t="s">
        <v>91</v>
      </c>
      <c r="CK222" s="40" t="s">
        <v>91</v>
      </c>
      <c r="CL222" s="40" t="s">
        <v>91</v>
      </c>
      <c r="CM222" s="40" t="s">
        <v>91</v>
      </c>
      <c r="CN222" s="40" t="s">
        <v>91</v>
      </c>
      <c r="CO222" s="40" t="s">
        <v>91</v>
      </c>
      <c r="CP222" s="40" t="s">
        <v>91</v>
      </c>
      <c r="CQ222" s="40" t="s">
        <v>91</v>
      </c>
      <c r="CR222" s="40" t="s">
        <v>91</v>
      </c>
      <c r="CS222" s="40" t="s">
        <v>91</v>
      </c>
      <c r="CT222" s="40" t="s">
        <v>91</v>
      </c>
      <c r="CU222" s="40" t="s">
        <v>91</v>
      </c>
      <c r="CV222" s="40" t="s">
        <v>91</v>
      </c>
      <c r="CW222" s="40" t="s">
        <v>91</v>
      </c>
      <c r="CX222" s="40" t="s">
        <v>91</v>
      </c>
      <c r="CY222" s="40" t="s">
        <v>91</v>
      </c>
      <c r="CZ222" s="40" t="s">
        <v>91</v>
      </c>
      <c r="DA222" s="40" t="s">
        <v>91</v>
      </c>
      <c r="DB222" s="40" t="s">
        <v>91</v>
      </c>
      <c r="DC222" s="40" t="s">
        <v>91</v>
      </c>
      <c r="DD222" s="40" t="s">
        <v>91</v>
      </c>
      <c r="DE222" s="40" t="s">
        <v>91</v>
      </c>
      <c r="DF222" s="40" t="s">
        <v>91</v>
      </c>
      <c r="DG222" s="40" t="s">
        <v>91</v>
      </c>
      <c r="DH222" s="40" t="s">
        <v>91</v>
      </c>
      <c r="DI222" s="40" t="s">
        <v>91</v>
      </c>
      <c r="DJ222" s="40" t="s">
        <v>91</v>
      </c>
      <c r="DK222" s="40" t="s">
        <v>91</v>
      </c>
      <c r="DL222" s="40" t="s">
        <v>91</v>
      </c>
      <c r="DM222" s="40" t="s">
        <v>91</v>
      </c>
      <c r="DN222" s="40" t="s">
        <v>91</v>
      </c>
      <c r="DO222" s="40" t="s">
        <v>91</v>
      </c>
      <c r="DP222" s="40" t="s">
        <v>91</v>
      </c>
      <c r="DQ222" s="40" t="s">
        <v>91</v>
      </c>
      <c r="DR222" s="40" t="s">
        <v>91</v>
      </c>
      <c r="DS222" s="40" t="s">
        <v>91</v>
      </c>
      <c r="DT222" s="40" t="s">
        <v>91</v>
      </c>
      <c r="DU222" s="40" t="s">
        <v>91</v>
      </c>
      <c r="DV222" s="40" t="s">
        <v>91</v>
      </c>
      <c r="DW222" s="40" t="s">
        <v>91</v>
      </c>
      <c r="DX222" s="40" t="s">
        <v>91</v>
      </c>
      <c r="DY222" s="40" t="s">
        <v>91</v>
      </c>
      <c r="DZ222" s="40" t="s">
        <v>91</v>
      </c>
      <c r="EA222" s="40" t="s">
        <v>91</v>
      </c>
      <c r="EB222" s="40" t="s">
        <v>91</v>
      </c>
      <c r="EC222" s="40" t="s">
        <v>91</v>
      </c>
      <c r="ED222" s="40" t="s">
        <v>91</v>
      </c>
      <c r="EE222" s="40" t="s">
        <v>91</v>
      </c>
      <c r="EF222" s="40" t="s">
        <v>91</v>
      </c>
      <c r="EG222" s="40" t="s">
        <v>91</v>
      </c>
      <c r="EH222" s="40" t="s">
        <v>91</v>
      </c>
      <c r="EI222" s="40" t="s">
        <v>91</v>
      </c>
      <c r="EJ222" s="40" t="s">
        <v>91</v>
      </c>
      <c r="EK222" s="40" t="s">
        <v>91</v>
      </c>
      <c r="EL222" s="40" t="s">
        <v>91</v>
      </c>
      <c r="EM222" s="40" t="s">
        <v>91</v>
      </c>
      <c r="EN222" s="40" t="s">
        <v>91</v>
      </c>
      <c r="EO222" s="40" t="s">
        <v>91</v>
      </c>
      <c r="EP222" s="40" t="s">
        <v>91</v>
      </c>
      <c r="EQ222" s="40" t="s">
        <v>91</v>
      </c>
      <c r="ER222" s="40" t="s">
        <v>91</v>
      </c>
      <c r="ES222" s="40" t="s">
        <v>91</v>
      </c>
      <c r="ET222" s="40" t="s">
        <v>91</v>
      </c>
      <c r="EU222" s="40" t="s">
        <v>91</v>
      </c>
      <c r="EV222" s="40" t="s">
        <v>91</v>
      </c>
      <c r="EW222" s="40" t="s">
        <v>91</v>
      </c>
      <c r="EX222" s="40" t="s">
        <v>91</v>
      </c>
      <c r="EY222" s="40" t="s">
        <v>91</v>
      </c>
      <c r="EZ222" s="40" t="s">
        <v>91</v>
      </c>
      <c r="FA222" s="40" t="s">
        <v>91</v>
      </c>
      <c r="FB222" s="40" t="s">
        <v>91</v>
      </c>
      <c r="FC222" s="40" t="s">
        <v>91</v>
      </c>
      <c r="FD222" s="40" t="s">
        <v>91</v>
      </c>
      <c r="FE222" s="40" t="s">
        <v>91</v>
      </c>
      <c r="FF222" s="40" t="s">
        <v>91</v>
      </c>
      <c r="FG222" s="40" t="s">
        <v>91</v>
      </c>
      <c r="FH222" s="40" t="s">
        <v>91</v>
      </c>
      <c r="FI222" s="40" t="s">
        <v>91</v>
      </c>
      <c r="FJ222" s="40" t="s">
        <v>91</v>
      </c>
      <c r="FK222" s="40" t="s">
        <v>91</v>
      </c>
      <c r="FL222" s="40" t="s">
        <v>91</v>
      </c>
      <c r="FM222" s="40" t="s">
        <v>91</v>
      </c>
      <c r="FN222" s="40" t="s">
        <v>91</v>
      </c>
      <c r="FO222" s="40" t="s">
        <v>91</v>
      </c>
      <c r="FP222" s="40" t="s">
        <v>91</v>
      </c>
      <c r="FQ222" s="40" t="s">
        <v>91</v>
      </c>
      <c r="FR222" s="40" t="s">
        <v>91</v>
      </c>
      <c r="FS222" s="40" t="s">
        <v>91</v>
      </c>
      <c r="FT222" s="40" t="s">
        <v>91</v>
      </c>
      <c r="FU222" s="40" t="s">
        <v>91</v>
      </c>
      <c r="FV222" s="40" t="s">
        <v>91</v>
      </c>
      <c r="FW222" s="40" t="s">
        <v>91</v>
      </c>
      <c r="FX222" s="40" t="s">
        <v>91</v>
      </c>
      <c r="FY222" s="40" t="s">
        <v>91</v>
      </c>
      <c r="FZ222" s="40" t="s">
        <v>91</v>
      </c>
      <c r="GA222" s="40" t="s">
        <v>91</v>
      </c>
      <c r="GB222" s="40" t="s">
        <v>91</v>
      </c>
      <c r="GC222" s="40" t="s">
        <v>91</v>
      </c>
      <c r="GD222" s="40" t="s">
        <v>91</v>
      </c>
      <c r="GE222" s="40" t="s">
        <v>91</v>
      </c>
      <c r="GF222" s="40" t="s">
        <v>91</v>
      </c>
      <c r="GG222" s="40" t="s">
        <v>91</v>
      </c>
      <c r="GH222" s="40" t="s">
        <v>91</v>
      </c>
      <c r="GI222" s="40" t="s">
        <v>91</v>
      </c>
      <c r="GJ222" s="40" t="s">
        <v>91</v>
      </c>
      <c r="GK222" s="40" t="s">
        <v>91</v>
      </c>
      <c r="GL222" s="40" t="s">
        <v>91</v>
      </c>
      <c r="GM222" s="40" t="s">
        <v>91</v>
      </c>
      <c r="GN222" s="40" t="s">
        <v>91</v>
      </c>
      <c r="GO222" s="40" t="s">
        <v>91</v>
      </c>
      <c r="GP222" s="40" t="s">
        <v>91</v>
      </c>
      <c r="GQ222" s="40" t="s">
        <v>91</v>
      </c>
      <c r="GR222" s="40" t="s">
        <v>91</v>
      </c>
      <c r="GS222" s="40" t="s">
        <v>91</v>
      </c>
      <c r="GT222" s="40" t="s">
        <v>91</v>
      </c>
      <c r="GU222" s="40" t="s">
        <v>91</v>
      </c>
      <c r="GV222" s="40" t="s">
        <v>91</v>
      </c>
      <c r="GW222" s="40" t="s">
        <v>91</v>
      </c>
      <c r="GX222" s="40" t="s">
        <v>91</v>
      </c>
      <c r="GY222" s="40" t="s">
        <v>91</v>
      </c>
      <c r="GZ222" s="40" t="s">
        <v>91</v>
      </c>
      <c r="HA222" s="40" t="s">
        <v>91</v>
      </c>
      <c r="HB222" s="40" t="s">
        <v>91</v>
      </c>
      <c r="HC222" s="40" t="s">
        <v>91</v>
      </c>
      <c r="HD222" s="40" t="s">
        <v>91</v>
      </c>
      <c r="HE222" s="40" t="s">
        <v>91</v>
      </c>
      <c r="HF222" s="40" t="s">
        <v>91</v>
      </c>
      <c r="HG222" s="40" t="s">
        <v>91</v>
      </c>
      <c r="HH222" s="40" t="s">
        <v>91</v>
      </c>
      <c r="HI222" s="40" t="s">
        <v>91</v>
      </c>
      <c r="HJ222" s="40" t="s">
        <v>91</v>
      </c>
      <c r="HK222" s="40" t="s">
        <v>91</v>
      </c>
      <c r="HL222" s="40" t="s">
        <v>91</v>
      </c>
      <c r="HM222" s="40" t="s">
        <v>91</v>
      </c>
      <c r="HN222" s="40" t="s">
        <v>91</v>
      </c>
      <c r="HO222" s="40" t="s">
        <v>91</v>
      </c>
      <c r="HP222" s="40" t="s">
        <v>91</v>
      </c>
      <c r="HQ222" s="40" t="s">
        <v>91</v>
      </c>
      <c r="HR222" s="40" t="s">
        <v>91</v>
      </c>
      <c r="HS222" s="40" t="s">
        <v>91</v>
      </c>
      <c r="HT222" s="40" t="s">
        <v>91</v>
      </c>
      <c r="HU222" s="40" t="s">
        <v>91</v>
      </c>
      <c r="HV222" s="40" t="s">
        <v>91</v>
      </c>
      <c r="HW222" s="40" t="s">
        <v>91</v>
      </c>
      <c r="HX222" s="40" t="s">
        <v>91</v>
      </c>
      <c r="HY222" s="40" t="s">
        <v>91</v>
      </c>
      <c r="HZ222" s="40" t="s">
        <v>91</v>
      </c>
      <c r="IA222" s="40" t="s">
        <v>91</v>
      </c>
      <c r="IB222" s="40" t="s">
        <v>91</v>
      </c>
      <c r="IC222" s="40" t="s">
        <v>91</v>
      </c>
      <c r="ID222" s="40" t="s">
        <v>91</v>
      </c>
      <c r="IE222" s="40" t="s">
        <v>91</v>
      </c>
      <c r="IF222" s="40" t="s">
        <v>91</v>
      </c>
      <c r="IG222" s="40" t="s">
        <v>91</v>
      </c>
      <c r="IH222" s="40" t="s">
        <v>91</v>
      </c>
      <c r="II222" s="40" t="s">
        <v>91</v>
      </c>
      <c r="IJ222" s="40" t="s">
        <v>91</v>
      </c>
      <c r="IK222" s="40" t="s">
        <v>91</v>
      </c>
      <c r="IL222" s="40" t="s">
        <v>91</v>
      </c>
      <c r="IM222" s="40" t="s">
        <v>91</v>
      </c>
      <c r="IN222" s="40" t="s">
        <v>91</v>
      </c>
      <c r="IO222" s="40" t="s">
        <v>91</v>
      </c>
      <c r="IP222" s="40" t="s">
        <v>91</v>
      </c>
      <c r="IQ222" s="40" t="s">
        <v>91</v>
      </c>
      <c r="IR222" s="40" t="s">
        <v>91</v>
      </c>
      <c r="IS222" s="40" t="s">
        <v>91</v>
      </c>
      <c r="IT222" s="40" t="s">
        <v>91</v>
      </c>
      <c r="IU222" s="40" t="s">
        <v>91</v>
      </c>
      <c r="IV222" s="40" t="s">
        <v>91</v>
      </c>
      <c r="IW222" s="40" t="s">
        <v>91</v>
      </c>
      <c r="IX222" s="40" t="s">
        <v>91</v>
      </c>
      <c r="IY222" s="40" t="s">
        <v>91</v>
      </c>
      <c r="IZ222" s="40" t="s">
        <v>91</v>
      </c>
      <c r="JA222" s="40" t="s">
        <v>91</v>
      </c>
      <c r="JB222" s="40" t="s">
        <v>91</v>
      </c>
      <c r="JC222" s="40" t="s">
        <v>91</v>
      </c>
      <c r="JD222" s="40" t="s">
        <v>91</v>
      </c>
      <c r="JE222" s="40" t="s">
        <v>91</v>
      </c>
      <c r="JF222" s="40" t="s">
        <v>91</v>
      </c>
      <c r="JG222" s="40" t="s">
        <v>91</v>
      </c>
      <c r="JH222" s="40" t="s">
        <v>91</v>
      </c>
      <c r="JI222" s="40" t="s">
        <v>91</v>
      </c>
      <c r="JJ222" s="40" t="s">
        <v>91</v>
      </c>
      <c r="JK222" s="40" t="s">
        <v>91</v>
      </c>
      <c r="JL222" s="40" t="s">
        <v>91</v>
      </c>
      <c r="JM222" s="40" t="s">
        <v>91</v>
      </c>
      <c r="JN222" s="40" t="s">
        <v>91</v>
      </c>
      <c r="JO222" s="40" t="s">
        <v>91</v>
      </c>
      <c r="JP222" s="40" t="s">
        <v>91</v>
      </c>
      <c r="JQ222" s="40" t="s">
        <v>91</v>
      </c>
      <c r="JR222" s="40" t="s">
        <v>91</v>
      </c>
      <c r="JS222" s="40" t="s">
        <v>91</v>
      </c>
      <c r="JT222" s="40" t="s">
        <v>91</v>
      </c>
      <c r="JU222" s="40" t="s">
        <v>91</v>
      </c>
      <c r="JV222" s="40" t="s">
        <v>91</v>
      </c>
      <c r="JW222" s="40" t="s">
        <v>91</v>
      </c>
      <c r="JX222" s="40" t="s">
        <v>91</v>
      </c>
      <c r="JY222" s="40" t="s">
        <v>91</v>
      </c>
      <c r="JZ222" s="40" t="s">
        <v>91</v>
      </c>
      <c r="KA222" s="40" t="s">
        <v>91</v>
      </c>
      <c r="KB222" s="40" t="s">
        <v>91</v>
      </c>
      <c r="KC222" s="40" t="s">
        <v>91</v>
      </c>
      <c r="KD222" s="40" t="s">
        <v>91</v>
      </c>
      <c r="KE222" s="40" t="s">
        <v>91</v>
      </c>
      <c r="KF222" s="40" t="s">
        <v>91</v>
      </c>
      <c r="KG222" s="40" t="s">
        <v>91</v>
      </c>
      <c r="KH222" s="40" t="s">
        <v>91</v>
      </c>
      <c r="KI222" s="40" t="s">
        <v>91</v>
      </c>
      <c r="KJ222" s="40" t="s">
        <v>91</v>
      </c>
      <c r="KK222" s="40" t="s">
        <v>91</v>
      </c>
      <c r="KL222" s="40" t="s">
        <v>91</v>
      </c>
      <c r="KM222" s="40" t="s">
        <v>91</v>
      </c>
      <c r="KN222" s="40" t="s">
        <v>91</v>
      </c>
      <c r="KO222" s="40" t="s">
        <v>91</v>
      </c>
      <c r="KP222" s="40" t="s">
        <v>91</v>
      </c>
      <c r="KQ222" s="40" t="s">
        <v>91</v>
      </c>
      <c r="KR222" s="40" t="s">
        <v>91</v>
      </c>
      <c r="KS222" s="40" t="s">
        <v>91</v>
      </c>
      <c r="KT222" s="40" t="s">
        <v>91</v>
      </c>
      <c r="KU222" s="40" t="s">
        <v>91</v>
      </c>
      <c r="KV222" s="40" t="s">
        <v>91</v>
      </c>
      <c r="KW222" s="40" t="s">
        <v>91</v>
      </c>
      <c r="KX222" s="40" t="s">
        <v>91</v>
      </c>
      <c r="KY222" s="40" t="s">
        <v>91</v>
      </c>
      <c r="KZ222" s="40" t="s">
        <v>91</v>
      </c>
      <c r="LA222" s="40" t="s">
        <v>91</v>
      </c>
      <c r="LB222" s="40" t="s">
        <v>91</v>
      </c>
      <c r="LC222" s="40" t="s">
        <v>91</v>
      </c>
      <c r="LD222" s="40" t="s">
        <v>91</v>
      </c>
      <c r="LE222" s="40" t="s">
        <v>91</v>
      </c>
      <c r="LF222" s="40" t="s">
        <v>91</v>
      </c>
      <c r="LG222" s="40" t="s">
        <v>91</v>
      </c>
      <c r="LH222" s="40" t="s">
        <v>91</v>
      </c>
      <c r="LI222" s="40" t="s">
        <v>91</v>
      </c>
      <c r="LJ222" s="40" t="s">
        <v>91</v>
      </c>
      <c r="LK222" s="40" t="s">
        <v>91</v>
      </c>
      <c r="LL222" s="40" t="s">
        <v>91</v>
      </c>
      <c r="LM222" s="40" t="s">
        <v>91</v>
      </c>
      <c r="LN222" s="40" t="s">
        <v>91</v>
      </c>
      <c r="LO222" s="40" t="s">
        <v>91</v>
      </c>
      <c r="LP222" s="40" t="s">
        <v>91</v>
      </c>
      <c r="LQ222" s="40" t="s">
        <v>91</v>
      </c>
      <c r="LR222" s="40" t="s">
        <v>91</v>
      </c>
      <c r="LS222" s="40" t="s">
        <v>91</v>
      </c>
      <c r="LT222" s="40" t="s">
        <v>91</v>
      </c>
      <c r="LU222" s="40" t="s">
        <v>91</v>
      </c>
      <c r="LV222" s="40" t="s">
        <v>91</v>
      </c>
      <c r="LW222" s="40" t="s">
        <v>91</v>
      </c>
      <c r="LX222" s="40" t="s">
        <v>91</v>
      </c>
      <c r="LY222" s="40" t="s">
        <v>91</v>
      </c>
      <c r="LZ222" s="40" t="s">
        <v>91</v>
      </c>
      <c r="MA222" s="40" t="s">
        <v>91</v>
      </c>
      <c r="MB222" s="40" t="s">
        <v>91</v>
      </c>
      <c r="MC222" s="40" t="s">
        <v>91</v>
      </c>
      <c r="MD222" s="40" t="s">
        <v>91</v>
      </c>
      <c r="ME222" s="40" t="s">
        <v>91</v>
      </c>
      <c r="MF222" s="40" t="s">
        <v>91</v>
      </c>
      <c r="MG222" s="40" t="s">
        <v>91</v>
      </c>
      <c r="MH222" s="40" t="s">
        <v>91</v>
      </c>
      <c r="MI222" s="40" t="s">
        <v>91</v>
      </c>
      <c r="MJ222" s="40" t="s">
        <v>91</v>
      </c>
      <c r="MK222" s="40" t="s">
        <v>91</v>
      </c>
      <c r="ML222" s="40" t="s">
        <v>91</v>
      </c>
      <c r="MM222" s="40" t="s">
        <v>91</v>
      </c>
      <c r="MN222" s="40" t="s">
        <v>91</v>
      </c>
      <c r="MO222" s="40" t="s">
        <v>91</v>
      </c>
      <c r="MP222" s="40" t="s">
        <v>91</v>
      </c>
      <c r="MQ222" s="40" t="s">
        <v>91</v>
      </c>
      <c r="MR222" s="40" t="s">
        <v>91</v>
      </c>
      <c r="MS222" s="40" t="s">
        <v>91</v>
      </c>
      <c r="MT222" s="40" t="s">
        <v>91</v>
      </c>
      <c r="MU222" s="40" t="s">
        <v>91</v>
      </c>
      <c r="MV222" s="40" t="s">
        <v>91</v>
      </c>
      <c r="MW222" s="40" t="s">
        <v>91</v>
      </c>
      <c r="MX222" s="40" t="s">
        <v>91</v>
      </c>
      <c r="MY222" s="40" t="s">
        <v>91</v>
      </c>
      <c r="MZ222" s="40" t="s">
        <v>91</v>
      </c>
      <c r="NA222" s="40" t="s">
        <v>91</v>
      </c>
      <c r="NB222" s="40" t="s">
        <v>91</v>
      </c>
      <c r="NC222" s="40" t="s">
        <v>91</v>
      </c>
      <c r="ND222" s="40" t="s">
        <v>91</v>
      </c>
      <c r="NE222" s="40" t="s">
        <v>91</v>
      </c>
      <c r="NF222" s="40" t="s">
        <v>91</v>
      </c>
      <c r="NG222" s="40" t="s">
        <v>91</v>
      </c>
      <c r="NH222" s="40" t="s">
        <v>91</v>
      </c>
      <c r="NI222" s="40" t="s">
        <v>91</v>
      </c>
      <c r="NJ222" s="40" t="s">
        <v>91</v>
      </c>
      <c r="NK222" s="40" t="s">
        <v>91</v>
      </c>
      <c r="NL222" s="40" t="s">
        <v>91</v>
      </c>
      <c r="NM222" s="40" t="s">
        <v>91</v>
      </c>
      <c r="NN222" s="40" t="s">
        <v>91</v>
      </c>
      <c r="NO222" s="40" t="s">
        <v>91</v>
      </c>
      <c r="NP222" s="40" t="s">
        <v>91</v>
      </c>
      <c r="NQ222" s="40" t="s">
        <v>91</v>
      </c>
      <c r="NR222" s="40" t="s">
        <v>91</v>
      </c>
      <c r="NS222" s="40" t="s">
        <v>91</v>
      </c>
      <c r="NT222" s="40" t="s">
        <v>91</v>
      </c>
      <c r="NU222" s="40" t="s">
        <v>91</v>
      </c>
      <c r="NV222" s="40" t="s">
        <v>91</v>
      </c>
      <c r="NW222" s="40" t="s">
        <v>91</v>
      </c>
      <c r="NX222" s="40" t="s">
        <v>91</v>
      </c>
      <c r="NY222" s="40" t="s">
        <v>91</v>
      </c>
      <c r="NZ222" s="40" t="s">
        <v>91</v>
      </c>
      <c r="OA222" s="40" t="s">
        <v>91</v>
      </c>
      <c r="OB222" s="40" t="s">
        <v>91</v>
      </c>
      <c r="OC222" s="40" t="s">
        <v>91</v>
      </c>
      <c r="OD222" s="40" t="s">
        <v>91</v>
      </c>
      <c r="OE222" s="40" t="s">
        <v>91</v>
      </c>
      <c r="OF222" s="40" t="s">
        <v>91</v>
      </c>
      <c r="OG222" s="40" t="s">
        <v>91</v>
      </c>
      <c r="OH222" s="40" t="s">
        <v>91</v>
      </c>
      <c r="OI222" s="40" t="s">
        <v>91</v>
      </c>
      <c r="OJ222" s="40" t="s">
        <v>91</v>
      </c>
      <c r="OK222" s="40" t="s">
        <v>91</v>
      </c>
      <c r="OL222" s="40" t="s">
        <v>91</v>
      </c>
      <c r="OM222" s="40" t="s">
        <v>91</v>
      </c>
      <c r="ON222" s="40" t="s">
        <v>91</v>
      </c>
      <c r="OO222" s="40" t="s">
        <v>91</v>
      </c>
      <c r="OP222" s="40" t="s">
        <v>91</v>
      </c>
      <c r="OQ222" s="40" t="s">
        <v>91</v>
      </c>
      <c r="OR222" s="40" t="s">
        <v>91</v>
      </c>
      <c r="OS222" s="40" t="s">
        <v>91</v>
      </c>
      <c r="OT222" s="40" t="s">
        <v>91</v>
      </c>
      <c r="OU222" s="40" t="s">
        <v>91</v>
      </c>
      <c r="OV222" s="40" t="s">
        <v>91</v>
      </c>
      <c r="OW222" s="40" t="s">
        <v>91</v>
      </c>
      <c r="OX222" s="40" t="s">
        <v>91</v>
      </c>
      <c r="OY222" s="40" t="s">
        <v>91</v>
      </c>
      <c r="OZ222" s="40" t="s">
        <v>91</v>
      </c>
      <c r="PA222" s="40" t="s">
        <v>91</v>
      </c>
      <c r="PB222" s="40" t="s">
        <v>91</v>
      </c>
      <c r="PC222" s="40" t="s">
        <v>91</v>
      </c>
      <c r="PD222" s="40" t="s">
        <v>91</v>
      </c>
      <c r="PE222" s="40" t="s">
        <v>91</v>
      </c>
      <c r="PF222" s="40" t="s">
        <v>91</v>
      </c>
      <c r="PG222" s="40" t="s">
        <v>91</v>
      </c>
      <c r="PH222" s="40" t="s">
        <v>91</v>
      </c>
      <c r="PI222" s="40" t="s">
        <v>91</v>
      </c>
      <c r="PJ222" s="40" t="s">
        <v>91</v>
      </c>
      <c r="PK222" s="40" t="s">
        <v>91</v>
      </c>
      <c r="PL222" s="40" t="s">
        <v>91</v>
      </c>
      <c r="PM222" s="40" t="s">
        <v>91</v>
      </c>
      <c r="PN222" s="40" t="s">
        <v>91</v>
      </c>
      <c r="PO222" s="40" t="s">
        <v>91</v>
      </c>
      <c r="PP222" s="40" t="s">
        <v>91</v>
      </c>
      <c r="PQ222" s="40" t="s">
        <v>91</v>
      </c>
      <c r="PR222" s="40" t="s">
        <v>91</v>
      </c>
      <c r="PS222" s="40" t="s">
        <v>91</v>
      </c>
      <c r="PT222" s="40" t="s">
        <v>91</v>
      </c>
      <c r="PU222" s="40" t="s">
        <v>91</v>
      </c>
      <c r="PV222" s="40" t="s">
        <v>91</v>
      </c>
      <c r="PW222" s="40" t="s">
        <v>91</v>
      </c>
      <c r="PX222" s="40" t="s">
        <v>91</v>
      </c>
      <c r="PY222" s="40" t="s">
        <v>91</v>
      </c>
      <c r="PZ222" s="40" t="s">
        <v>91</v>
      </c>
      <c r="QA222" s="40" t="s">
        <v>91</v>
      </c>
      <c r="QB222" s="40" t="s">
        <v>91</v>
      </c>
      <c r="QC222" s="40" t="s">
        <v>91</v>
      </c>
      <c r="QD222" s="40" t="s">
        <v>91</v>
      </c>
      <c r="QE222" s="40" t="s">
        <v>91</v>
      </c>
      <c r="QF222" s="40" t="s">
        <v>91</v>
      </c>
      <c r="QG222" s="40" t="s">
        <v>91</v>
      </c>
      <c r="QH222" s="40" t="s">
        <v>91</v>
      </c>
      <c r="QI222" s="40" t="s">
        <v>91</v>
      </c>
      <c r="QJ222" s="40" t="s">
        <v>91</v>
      </c>
      <c r="QK222" s="40" t="s">
        <v>91</v>
      </c>
      <c r="QL222" s="40" t="s">
        <v>91</v>
      </c>
      <c r="QM222" s="40" t="s">
        <v>91</v>
      </c>
      <c r="QN222" s="40" t="s">
        <v>91</v>
      </c>
      <c r="QO222" s="40" t="s">
        <v>91</v>
      </c>
      <c r="QP222" s="40" t="s">
        <v>91</v>
      </c>
      <c r="QQ222" s="40" t="s">
        <v>91</v>
      </c>
      <c r="QR222" s="40" t="s">
        <v>91</v>
      </c>
      <c r="QS222" s="40" t="s">
        <v>91</v>
      </c>
      <c r="QT222" s="40" t="s">
        <v>91</v>
      </c>
      <c r="QU222" s="40" t="s">
        <v>91</v>
      </c>
      <c r="QV222" s="40" t="s">
        <v>91</v>
      </c>
      <c r="QW222" s="40" t="s">
        <v>91</v>
      </c>
      <c r="QX222" s="40" t="s">
        <v>91</v>
      </c>
      <c r="QY222" s="40" t="s">
        <v>91</v>
      </c>
      <c r="QZ222" s="40" t="s">
        <v>91</v>
      </c>
      <c r="RA222" s="40" t="s">
        <v>91</v>
      </c>
      <c r="RB222" s="40" t="s">
        <v>91</v>
      </c>
      <c r="RC222" s="40" t="s">
        <v>91</v>
      </c>
      <c r="RD222" s="40" t="s">
        <v>91</v>
      </c>
      <c r="RE222" s="40" t="s">
        <v>91</v>
      </c>
      <c r="RF222" s="40" t="s">
        <v>91</v>
      </c>
      <c r="RG222" s="40" t="s">
        <v>91</v>
      </c>
      <c r="RH222" s="40" t="s">
        <v>91</v>
      </c>
      <c r="RI222" s="40" t="s">
        <v>91</v>
      </c>
      <c r="RJ222" s="40" t="s">
        <v>91</v>
      </c>
      <c r="RK222" s="40" t="s">
        <v>91</v>
      </c>
      <c r="RL222" s="40" t="s">
        <v>91</v>
      </c>
      <c r="RM222" s="40" t="s">
        <v>91</v>
      </c>
      <c r="RN222" s="40" t="s">
        <v>91</v>
      </c>
      <c r="RO222" s="40" t="s">
        <v>91</v>
      </c>
      <c r="RP222" s="40" t="s">
        <v>91</v>
      </c>
      <c r="RQ222" s="40" t="s">
        <v>91</v>
      </c>
      <c r="RR222" s="40" t="s">
        <v>91</v>
      </c>
      <c r="RS222" s="40" t="s">
        <v>91</v>
      </c>
      <c r="RT222" s="40" t="s">
        <v>91</v>
      </c>
      <c r="RU222" s="40" t="s">
        <v>91</v>
      </c>
      <c r="RV222" s="40" t="s">
        <v>91</v>
      </c>
      <c r="RW222" s="40" t="s">
        <v>91</v>
      </c>
      <c r="RX222" s="40" t="s">
        <v>91</v>
      </c>
      <c r="RY222" s="40" t="s">
        <v>91</v>
      </c>
      <c r="RZ222" s="40" t="s">
        <v>91</v>
      </c>
      <c r="SA222" s="40" t="s">
        <v>91</v>
      </c>
      <c r="SB222" s="40" t="s">
        <v>91</v>
      </c>
      <c r="SC222" s="40" t="s">
        <v>91</v>
      </c>
      <c r="SD222" s="40" t="s">
        <v>91</v>
      </c>
      <c r="SE222" s="40" t="s">
        <v>91</v>
      </c>
      <c r="SF222" s="40" t="s">
        <v>91</v>
      </c>
      <c r="SG222" s="40" t="s">
        <v>91</v>
      </c>
      <c r="SH222" s="40" t="s">
        <v>91</v>
      </c>
      <c r="SI222" s="40" t="s">
        <v>91</v>
      </c>
      <c r="SJ222" s="40" t="s">
        <v>91</v>
      </c>
      <c r="SK222" s="40" t="s">
        <v>91</v>
      </c>
      <c r="SL222" s="40" t="s">
        <v>91</v>
      </c>
      <c r="SM222" s="40" t="s">
        <v>91</v>
      </c>
      <c r="SN222" s="40" t="s">
        <v>91</v>
      </c>
      <c r="SO222" s="40" t="s">
        <v>91</v>
      </c>
      <c r="SP222" s="40" t="s">
        <v>91</v>
      </c>
      <c r="SQ222" s="40" t="s">
        <v>91</v>
      </c>
      <c r="SR222" s="40" t="s">
        <v>91</v>
      </c>
      <c r="SS222" s="40" t="s">
        <v>91</v>
      </c>
      <c r="ST222" s="40" t="s">
        <v>91</v>
      </c>
      <c r="SU222" s="40" t="s">
        <v>91</v>
      </c>
      <c r="SV222" s="40" t="s">
        <v>91</v>
      </c>
      <c r="SW222" s="40" t="s">
        <v>91</v>
      </c>
      <c r="SX222" s="40" t="s">
        <v>91</v>
      </c>
      <c r="SY222" s="40" t="s">
        <v>91</v>
      </c>
      <c r="SZ222" s="40" t="s">
        <v>91</v>
      </c>
      <c r="TA222" s="40" t="s">
        <v>91</v>
      </c>
      <c r="TB222" s="40" t="s">
        <v>91</v>
      </c>
      <c r="TC222" s="40" t="s">
        <v>91</v>
      </c>
      <c r="TD222" s="40" t="s">
        <v>91</v>
      </c>
      <c r="TE222" s="40" t="s">
        <v>91</v>
      </c>
      <c r="TF222" s="40" t="s">
        <v>91</v>
      </c>
      <c r="TG222" s="40" t="s">
        <v>91</v>
      </c>
      <c r="TH222" s="40" t="s">
        <v>91</v>
      </c>
      <c r="TI222" s="40" t="s">
        <v>91</v>
      </c>
      <c r="TJ222" s="40" t="s">
        <v>91</v>
      </c>
      <c r="TK222" s="40" t="s">
        <v>91</v>
      </c>
      <c r="TL222" s="40" t="s">
        <v>91</v>
      </c>
      <c r="TM222" s="40" t="s">
        <v>91</v>
      </c>
      <c r="TN222" s="40" t="s">
        <v>91</v>
      </c>
      <c r="TO222" s="40" t="s">
        <v>91</v>
      </c>
      <c r="TP222" s="40" t="s">
        <v>91</v>
      </c>
      <c r="TQ222" s="40" t="s">
        <v>91</v>
      </c>
      <c r="TR222" s="40" t="s">
        <v>91</v>
      </c>
      <c r="TS222" s="40" t="s">
        <v>91</v>
      </c>
      <c r="TT222" s="40" t="s">
        <v>91</v>
      </c>
      <c r="TU222" s="40" t="s">
        <v>91</v>
      </c>
      <c r="TV222" s="40" t="s">
        <v>91</v>
      </c>
      <c r="TW222" s="40" t="s">
        <v>91</v>
      </c>
      <c r="TX222" s="40" t="s">
        <v>91</v>
      </c>
      <c r="TY222" s="40" t="s">
        <v>91</v>
      </c>
      <c r="TZ222" s="40" t="s">
        <v>91</v>
      </c>
      <c r="UA222" s="40" t="s">
        <v>91</v>
      </c>
      <c r="UB222" s="40" t="s">
        <v>91</v>
      </c>
      <c r="UC222" s="40" t="s">
        <v>91</v>
      </c>
      <c r="UD222" s="40" t="s">
        <v>91</v>
      </c>
      <c r="UE222" s="40" t="s">
        <v>91</v>
      </c>
      <c r="UF222" s="40" t="s">
        <v>91</v>
      </c>
      <c r="UG222" s="40" t="s">
        <v>91</v>
      </c>
      <c r="UH222" s="40" t="s">
        <v>91</v>
      </c>
      <c r="UI222" s="40" t="s">
        <v>91</v>
      </c>
      <c r="UJ222" s="40" t="s">
        <v>91</v>
      </c>
      <c r="UK222" s="40" t="s">
        <v>91</v>
      </c>
      <c r="UL222" s="40" t="s">
        <v>91</v>
      </c>
      <c r="UM222" s="40" t="s">
        <v>91</v>
      </c>
      <c r="UN222" s="40" t="s">
        <v>91</v>
      </c>
      <c r="UO222" s="40" t="s">
        <v>91</v>
      </c>
      <c r="UP222" s="40" t="s">
        <v>91</v>
      </c>
      <c r="UQ222" s="40" t="s">
        <v>91</v>
      </c>
      <c r="UR222" s="40" t="s">
        <v>91</v>
      </c>
      <c r="US222" s="40" t="s">
        <v>91</v>
      </c>
      <c r="UT222" s="40" t="s">
        <v>91</v>
      </c>
      <c r="UU222" s="40" t="s">
        <v>91</v>
      </c>
      <c r="UV222" s="40" t="s">
        <v>91</v>
      </c>
      <c r="UW222" s="40" t="s">
        <v>91</v>
      </c>
      <c r="UX222" s="40" t="s">
        <v>91</v>
      </c>
      <c r="UY222" s="40" t="s">
        <v>91</v>
      </c>
      <c r="UZ222" s="40" t="s">
        <v>91</v>
      </c>
      <c r="VA222" s="40" t="s">
        <v>91</v>
      </c>
      <c r="VB222" s="40" t="s">
        <v>91</v>
      </c>
      <c r="VC222" s="40" t="s">
        <v>91</v>
      </c>
      <c r="VD222" s="40" t="s">
        <v>91</v>
      </c>
      <c r="VE222" s="40" t="s">
        <v>91</v>
      </c>
      <c r="VF222" s="40" t="s">
        <v>91</v>
      </c>
      <c r="VG222" s="40" t="s">
        <v>91</v>
      </c>
      <c r="VH222" s="40" t="s">
        <v>91</v>
      </c>
      <c r="VI222" s="40" t="s">
        <v>91</v>
      </c>
      <c r="VJ222" s="40" t="s">
        <v>91</v>
      </c>
      <c r="VK222" s="40" t="s">
        <v>91</v>
      </c>
      <c r="VL222" s="40" t="s">
        <v>91</v>
      </c>
      <c r="VM222" s="40" t="s">
        <v>91</v>
      </c>
      <c r="VN222" s="40" t="s">
        <v>91</v>
      </c>
      <c r="VO222" s="40" t="s">
        <v>91</v>
      </c>
      <c r="VP222" s="40" t="s">
        <v>91</v>
      </c>
      <c r="VQ222" s="40" t="s">
        <v>91</v>
      </c>
      <c r="VR222" s="40" t="s">
        <v>91</v>
      </c>
      <c r="VS222" s="40" t="s">
        <v>91</v>
      </c>
      <c r="VT222" s="40" t="s">
        <v>91</v>
      </c>
      <c r="VU222" s="40" t="s">
        <v>91</v>
      </c>
      <c r="VV222" s="40" t="s">
        <v>91</v>
      </c>
      <c r="VW222" s="40" t="s">
        <v>91</v>
      </c>
      <c r="VX222" s="40" t="s">
        <v>91</v>
      </c>
      <c r="VY222" s="40" t="s">
        <v>91</v>
      </c>
      <c r="VZ222" s="40" t="s">
        <v>91</v>
      </c>
      <c r="WA222" s="40" t="s">
        <v>91</v>
      </c>
      <c r="WB222" s="40" t="s">
        <v>91</v>
      </c>
      <c r="WC222" s="40" t="s">
        <v>91</v>
      </c>
      <c r="WD222" s="40" t="s">
        <v>91</v>
      </c>
      <c r="WE222" s="40" t="s">
        <v>91</v>
      </c>
      <c r="WF222" s="40" t="s">
        <v>91</v>
      </c>
      <c r="WG222" s="40" t="s">
        <v>91</v>
      </c>
      <c r="WH222" s="40" t="s">
        <v>91</v>
      </c>
      <c r="WI222" s="40" t="s">
        <v>91</v>
      </c>
      <c r="WJ222" s="40" t="s">
        <v>91</v>
      </c>
      <c r="WK222" s="40" t="s">
        <v>91</v>
      </c>
      <c r="WL222" s="40" t="s">
        <v>91</v>
      </c>
      <c r="WM222" s="40" t="s">
        <v>91</v>
      </c>
      <c r="WN222" s="40" t="s">
        <v>91</v>
      </c>
      <c r="WO222" s="40" t="s">
        <v>91</v>
      </c>
      <c r="WP222" s="40" t="s">
        <v>91</v>
      </c>
      <c r="WQ222" s="40" t="s">
        <v>91</v>
      </c>
      <c r="WR222" s="40" t="s">
        <v>91</v>
      </c>
      <c r="WS222" s="40" t="s">
        <v>91</v>
      </c>
      <c r="WT222" s="40" t="s">
        <v>91</v>
      </c>
      <c r="WU222" s="40" t="s">
        <v>91</v>
      </c>
      <c r="WV222" s="40" t="s">
        <v>91</v>
      </c>
      <c r="WW222" s="40" t="s">
        <v>91</v>
      </c>
      <c r="WX222" s="40" t="s">
        <v>91</v>
      </c>
      <c r="WY222" s="40" t="s">
        <v>91</v>
      </c>
      <c r="WZ222" s="40" t="s">
        <v>91</v>
      </c>
      <c r="XA222" s="40" t="s">
        <v>91</v>
      </c>
      <c r="XB222" s="40" t="s">
        <v>91</v>
      </c>
      <c r="XC222" s="40" t="s">
        <v>91</v>
      </c>
      <c r="XD222" s="40" t="s">
        <v>91</v>
      </c>
      <c r="XE222" s="40" t="s">
        <v>91</v>
      </c>
      <c r="XF222" s="40" t="s">
        <v>91</v>
      </c>
      <c r="XG222" s="40" t="s">
        <v>91</v>
      </c>
      <c r="XH222" s="40" t="s">
        <v>91</v>
      </c>
      <c r="XI222" s="40" t="s">
        <v>91</v>
      </c>
      <c r="XJ222" s="40" t="s">
        <v>91</v>
      </c>
      <c r="XK222" s="40" t="s">
        <v>91</v>
      </c>
      <c r="XL222" s="40" t="s">
        <v>91</v>
      </c>
      <c r="XM222" s="40" t="s">
        <v>91</v>
      </c>
      <c r="XN222" s="40" t="s">
        <v>91</v>
      </c>
      <c r="XO222" s="40" t="s">
        <v>91</v>
      </c>
      <c r="XP222" s="40" t="s">
        <v>91</v>
      </c>
      <c r="XQ222" s="40" t="s">
        <v>91</v>
      </c>
      <c r="XR222" s="40" t="s">
        <v>91</v>
      </c>
      <c r="XS222" s="40" t="s">
        <v>91</v>
      </c>
      <c r="XT222" s="40" t="s">
        <v>91</v>
      </c>
      <c r="XU222" s="40" t="s">
        <v>91</v>
      </c>
      <c r="XV222" s="40" t="s">
        <v>91</v>
      </c>
      <c r="XW222" s="40" t="s">
        <v>91</v>
      </c>
      <c r="XX222" s="40" t="s">
        <v>91</v>
      </c>
      <c r="XY222" s="40" t="s">
        <v>91</v>
      </c>
      <c r="XZ222" s="40" t="s">
        <v>91</v>
      </c>
      <c r="YA222" s="40" t="s">
        <v>91</v>
      </c>
      <c r="YB222" s="40" t="s">
        <v>91</v>
      </c>
      <c r="YC222" s="40" t="s">
        <v>91</v>
      </c>
      <c r="YD222" s="40" t="s">
        <v>91</v>
      </c>
      <c r="YE222" s="40" t="s">
        <v>91</v>
      </c>
      <c r="YF222" s="40" t="s">
        <v>91</v>
      </c>
      <c r="YG222" s="40" t="s">
        <v>91</v>
      </c>
      <c r="YH222" s="40" t="s">
        <v>91</v>
      </c>
      <c r="YI222" s="40" t="s">
        <v>91</v>
      </c>
      <c r="YJ222" s="40" t="s">
        <v>91</v>
      </c>
      <c r="YK222" s="40" t="s">
        <v>91</v>
      </c>
      <c r="YL222" s="40" t="s">
        <v>91</v>
      </c>
      <c r="YM222" s="40" t="s">
        <v>91</v>
      </c>
      <c r="YN222" s="40" t="s">
        <v>91</v>
      </c>
      <c r="YO222" s="40" t="s">
        <v>91</v>
      </c>
      <c r="YP222" s="40" t="s">
        <v>91</v>
      </c>
      <c r="YQ222" s="40" t="s">
        <v>91</v>
      </c>
      <c r="YR222" s="40" t="s">
        <v>91</v>
      </c>
      <c r="YS222" s="40" t="s">
        <v>91</v>
      </c>
      <c r="YT222" s="40" t="s">
        <v>91</v>
      </c>
      <c r="YU222" s="40" t="s">
        <v>91</v>
      </c>
      <c r="YV222" s="40" t="s">
        <v>91</v>
      </c>
      <c r="YW222" s="40" t="s">
        <v>91</v>
      </c>
      <c r="YX222" s="40" t="s">
        <v>91</v>
      </c>
      <c r="YY222" s="40" t="s">
        <v>91</v>
      </c>
      <c r="YZ222" s="40" t="s">
        <v>91</v>
      </c>
      <c r="ZA222" s="40" t="s">
        <v>91</v>
      </c>
      <c r="ZB222" s="40" t="s">
        <v>91</v>
      </c>
      <c r="ZC222" s="40" t="s">
        <v>91</v>
      </c>
      <c r="ZD222" s="40" t="s">
        <v>91</v>
      </c>
      <c r="ZE222" s="40" t="s">
        <v>91</v>
      </c>
      <c r="ZF222" s="40" t="s">
        <v>91</v>
      </c>
      <c r="ZG222" s="40" t="s">
        <v>91</v>
      </c>
      <c r="ZH222" s="40" t="s">
        <v>91</v>
      </c>
      <c r="ZI222" s="40" t="s">
        <v>91</v>
      </c>
      <c r="ZJ222" s="40" t="s">
        <v>91</v>
      </c>
      <c r="ZK222" s="40" t="s">
        <v>91</v>
      </c>
      <c r="ZL222" s="40" t="s">
        <v>91</v>
      </c>
      <c r="ZM222" s="40" t="s">
        <v>91</v>
      </c>
      <c r="ZN222" s="40" t="s">
        <v>91</v>
      </c>
      <c r="ZO222" s="40" t="s">
        <v>91</v>
      </c>
      <c r="ZP222" s="40" t="s">
        <v>91</v>
      </c>
      <c r="ZQ222" s="40" t="s">
        <v>91</v>
      </c>
      <c r="ZR222" s="40" t="s">
        <v>91</v>
      </c>
      <c r="ZS222" s="40" t="s">
        <v>91</v>
      </c>
      <c r="ZT222" s="40" t="s">
        <v>91</v>
      </c>
      <c r="ZU222" s="40" t="s">
        <v>91</v>
      </c>
      <c r="ZV222" s="40" t="s">
        <v>91</v>
      </c>
      <c r="ZW222" s="40" t="s">
        <v>91</v>
      </c>
      <c r="ZX222" s="40" t="s">
        <v>91</v>
      </c>
      <c r="ZY222" s="40" t="s">
        <v>91</v>
      </c>
      <c r="ZZ222" s="40" t="s">
        <v>91</v>
      </c>
      <c r="AAA222" s="40" t="s">
        <v>91</v>
      </c>
      <c r="AAB222" s="40" t="s">
        <v>91</v>
      </c>
      <c r="AAC222" s="40" t="s">
        <v>91</v>
      </c>
      <c r="AAD222" s="40" t="s">
        <v>91</v>
      </c>
      <c r="AAE222" s="40" t="s">
        <v>91</v>
      </c>
      <c r="AAF222" s="40" t="s">
        <v>91</v>
      </c>
      <c r="AAG222" s="40" t="s">
        <v>91</v>
      </c>
      <c r="AAH222" s="40" t="s">
        <v>91</v>
      </c>
      <c r="AAI222" s="40" t="s">
        <v>91</v>
      </c>
      <c r="AAJ222" s="40" t="s">
        <v>91</v>
      </c>
      <c r="AAK222" s="40" t="s">
        <v>91</v>
      </c>
      <c r="AAL222" s="40" t="s">
        <v>91</v>
      </c>
      <c r="AAM222" s="40" t="s">
        <v>91</v>
      </c>
      <c r="AAN222" s="40" t="s">
        <v>91</v>
      </c>
      <c r="AAO222" s="40" t="s">
        <v>91</v>
      </c>
      <c r="AAP222" s="40" t="s">
        <v>91</v>
      </c>
      <c r="AAQ222" s="40" t="s">
        <v>91</v>
      </c>
      <c r="AAR222" s="40" t="s">
        <v>91</v>
      </c>
      <c r="AAS222" s="40" t="s">
        <v>91</v>
      </c>
      <c r="AAT222" s="40" t="s">
        <v>91</v>
      </c>
      <c r="AAU222" s="40" t="s">
        <v>91</v>
      </c>
      <c r="AAV222" s="40" t="s">
        <v>91</v>
      </c>
      <c r="AAW222" s="40" t="s">
        <v>91</v>
      </c>
      <c r="AAX222" s="40" t="s">
        <v>91</v>
      </c>
      <c r="AAY222" s="40" t="s">
        <v>91</v>
      </c>
      <c r="AAZ222" s="40" t="s">
        <v>91</v>
      </c>
      <c r="ABA222" s="40" t="s">
        <v>91</v>
      </c>
      <c r="ABB222" s="40" t="s">
        <v>91</v>
      </c>
      <c r="ABC222" s="40" t="s">
        <v>91</v>
      </c>
      <c r="ABD222" s="40" t="s">
        <v>91</v>
      </c>
      <c r="ABE222" s="40" t="s">
        <v>91</v>
      </c>
      <c r="ABF222" s="40" t="s">
        <v>91</v>
      </c>
      <c r="ABG222" s="40" t="s">
        <v>91</v>
      </c>
      <c r="ABH222" s="40" t="s">
        <v>91</v>
      </c>
      <c r="ABI222" s="40" t="s">
        <v>91</v>
      </c>
      <c r="ABJ222" s="40" t="s">
        <v>91</v>
      </c>
      <c r="ABK222" s="40" t="s">
        <v>91</v>
      </c>
      <c r="ABL222" s="40" t="s">
        <v>91</v>
      </c>
      <c r="ABM222" s="40" t="s">
        <v>91</v>
      </c>
      <c r="ABN222" s="40" t="s">
        <v>91</v>
      </c>
      <c r="ABO222" s="40" t="s">
        <v>91</v>
      </c>
      <c r="ABP222" s="40" t="s">
        <v>91</v>
      </c>
      <c r="ABQ222" s="40" t="s">
        <v>91</v>
      </c>
      <c r="ABR222" s="40" t="s">
        <v>91</v>
      </c>
      <c r="ABS222" s="40" t="s">
        <v>91</v>
      </c>
      <c r="ABT222" s="40" t="s">
        <v>91</v>
      </c>
      <c r="ABU222" s="40" t="s">
        <v>91</v>
      </c>
      <c r="ABV222" s="40" t="s">
        <v>91</v>
      </c>
      <c r="ABW222" s="40" t="s">
        <v>91</v>
      </c>
      <c r="ABX222" s="40" t="s">
        <v>91</v>
      </c>
      <c r="ABY222" s="40" t="s">
        <v>91</v>
      </c>
      <c r="ABZ222" s="40" t="s">
        <v>91</v>
      </c>
      <c r="ACA222" s="40" t="s">
        <v>91</v>
      </c>
      <c r="ACB222" s="40" t="s">
        <v>91</v>
      </c>
      <c r="ACC222" s="40" t="s">
        <v>91</v>
      </c>
      <c r="ACD222" s="40" t="s">
        <v>91</v>
      </c>
      <c r="ACE222" s="40" t="s">
        <v>91</v>
      </c>
      <c r="ACF222" s="40" t="s">
        <v>91</v>
      </c>
      <c r="ACG222" s="40" t="s">
        <v>91</v>
      </c>
      <c r="ACH222" s="40" t="s">
        <v>91</v>
      </c>
      <c r="ACI222" s="40" t="s">
        <v>91</v>
      </c>
      <c r="ACJ222" s="40" t="s">
        <v>91</v>
      </c>
      <c r="ACK222" s="40" t="s">
        <v>91</v>
      </c>
      <c r="ACL222" s="40" t="s">
        <v>91</v>
      </c>
      <c r="ACM222" s="40" t="s">
        <v>91</v>
      </c>
      <c r="ACN222" s="40" t="s">
        <v>91</v>
      </c>
      <c r="ACO222" s="40" t="s">
        <v>91</v>
      </c>
      <c r="ACP222" s="40" t="s">
        <v>91</v>
      </c>
      <c r="ACQ222" s="40" t="s">
        <v>91</v>
      </c>
      <c r="ACR222" s="40" t="s">
        <v>91</v>
      </c>
      <c r="ACS222" s="40" t="s">
        <v>91</v>
      </c>
      <c r="ACT222" s="40" t="s">
        <v>91</v>
      </c>
      <c r="ACU222" s="40" t="s">
        <v>91</v>
      </c>
      <c r="ACV222" s="40" t="s">
        <v>91</v>
      </c>
      <c r="ACW222" s="40" t="s">
        <v>91</v>
      </c>
      <c r="ACX222" s="40" t="s">
        <v>91</v>
      </c>
      <c r="ACY222" s="40" t="s">
        <v>91</v>
      </c>
      <c r="ACZ222" s="40" t="s">
        <v>91</v>
      </c>
      <c r="ADA222" s="40" t="s">
        <v>91</v>
      </c>
      <c r="ADB222" s="40" t="s">
        <v>91</v>
      </c>
      <c r="ADC222" s="40" t="s">
        <v>91</v>
      </c>
      <c r="ADD222" s="40" t="s">
        <v>91</v>
      </c>
      <c r="ADE222" s="40" t="s">
        <v>91</v>
      </c>
      <c r="ADF222" s="40" t="s">
        <v>91</v>
      </c>
      <c r="ADG222" s="40" t="s">
        <v>91</v>
      </c>
      <c r="ADH222" s="40" t="s">
        <v>91</v>
      </c>
      <c r="ADI222" s="40" t="s">
        <v>91</v>
      </c>
      <c r="ADJ222" s="40" t="s">
        <v>91</v>
      </c>
      <c r="ADK222" s="40" t="s">
        <v>91</v>
      </c>
      <c r="ADL222" s="40" t="s">
        <v>91</v>
      </c>
      <c r="ADM222" s="40" t="s">
        <v>91</v>
      </c>
      <c r="ADN222" s="40" t="s">
        <v>91</v>
      </c>
      <c r="ADO222" s="40" t="s">
        <v>91</v>
      </c>
      <c r="ADP222" s="40" t="s">
        <v>91</v>
      </c>
      <c r="ADQ222" s="40" t="s">
        <v>91</v>
      </c>
      <c r="ADR222" s="40" t="s">
        <v>91</v>
      </c>
      <c r="ADS222" s="40" t="s">
        <v>91</v>
      </c>
      <c r="ADT222" s="40" t="s">
        <v>91</v>
      </c>
      <c r="ADU222" s="40" t="s">
        <v>91</v>
      </c>
      <c r="ADV222" s="40" t="s">
        <v>91</v>
      </c>
      <c r="ADW222" s="40" t="s">
        <v>91</v>
      </c>
      <c r="ADX222" s="40" t="s">
        <v>91</v>
      </c>
      <c r="ADY222" s="40" t="s">
        <v>91</v>
      </c>
      <c r="ADZ222" s="40" t="s">
        <v>91</v>
      </c>
      <c r="AEA222" s="40" t="s">
        <v>91</v>
      </c>
      <c r="AEB222" s="40" t="s">
        <v>91</v>
      </c>
      <c r="AEC222" s="40" t="s">
        <v>91</v>
      </c>
      <c r="AED222" s="40" t="s">
        <v>91</v>
      </c>
      <c r="AEE222" s="40" t="s">
        <v>91</v>
      </c>
      <c r="AEF222" s="40" t="s">
        <v>91</v>
      </c>
      <c r="AEG222" s="40" t="s">
        <v>91</v>
      </c>
      <c r="AEH222" s="40" t="s">
        <v>91</v>
      </c>
      <c r="AEI222" s="40" t="s">
        <v>91</v>
      </c>
      <c r="AEJ222" s="40" t="s">
        <v>91</v>
      </c>
      <c r="AEK222" s="40" t="s">
        <v>91</v>
      </c>
      <c r="AEL222" s="40" t="s">
        <v>91</v>
      </c>
      <c r="AEM222" s="40" t="s">
        <v>91</v>
      </c>
      <c r="AEN222" s="40" t="s">
        <v>91</v>
      </c>
      <c r="AEO222" s="40" t="s">
        <v>91</v>
      </c>
      <c r="AEP222" s="40" t="s">
        <v>91</v>
      </c>
      <c r="AEQ222" s="40" t="s">
        <v>91</v>
      </c>
      <c r="AER222" s="40" t="s">
        <v>91</v>
      </c>
      <c r="AES222" s="40" t="s">
        <v>91</v>
      </c>
      <c r="AET222" s="40" t="s">
        <v>91</v>
      </c>
      <c r="AEU222" s="40" t="s">
        <v>91</v>
      </c>
      <c r="AEV222" s="40" t="s">
        <v>91</v>
      </c>
      <c r="AEW222" s="40" t="s">
        <v>91</v>
      </c>
      <c r="AEX222" s="40" t="s">
        <v>91</v>
      </c>
      <c r="AEY222" s="40" t="s">
        <v>91</v>
      </c>
      <c r="AEZ222" s="40" t="s">
        <v>91</v>
      </c>
      <c r="AFA222" s="40" t="s">
        <v>91</v>
      </c>
      <c r="AFB222" s="40" t="s">
        <v>91</v>
      </c>
      <c r="AFC222" s="40" t="s">
        <v>91</v>
      </c>
      <c r="AFD222" s="40" t="s">
        <v>91</v>
      </c>
      <c r="AFE222" s="40" t="s">
        <v>91</v>
      </c>
      <c r="AFF222" s="40" t="s">
        <v>91</v>
      </c>
      <c r="AFG222" s="40" t="s">
        <v>91</v>
      </c>
      <c r="AFH222" s="40" t="s">
        <v>91</v>
      </c>
      <c r="AFI222" s="40" t="s">
        <v>91</v>
      </c>
      <c r="AFJ222" s="40" t="s">
        <v>91</v>
      </c>
      <c r="AFK222" s="40" t="s">
        <v>91</v>
      </c>
      <c r="AFL222" s="40" t="s">
        <v>91</v>
      </c>
      <c r="AFM222" s="40" t="s">
        <v>91</v>
      </c>
      <c r="AFN222" s="40" t="s">
        <v>91</v>
      </c>
      <c r="AFO222" s="40" t="s">
        <v>91</v>
      </c>
      <c r="AFP222" s="40" t="s">
        <v>91</v>
      </c>
      <c r="AFQ222" s="40" t="s">
        <v>91</v>
      </c>
      <c r="AFR222" s="40" t="s">
        <v>91</v>
      </c>
      <c r="AFS222" s="40" t="s">
        <v>91</v>
      </c>
      <c r="AFT222" s="40" t="s">
        <v>91</v>
      </c>
      <c r="AFU222" s="40" t="s">
        <v>91</v>
      </c>
      <c r="AFV222" s="40" t="s">
        <v>91</v>
      </c>
      <c r="AFW222" s="40" t="s">
        <v>91</v>
      </c>
      <c r="AFX222" s="40" t="s">
        <v>91</v>
      </c>
      <c r="AFY222" s="40" t="s">
        <v>91</v>
      </c>
      <c r="AFZ222" s="40" t="s">
        <v>91</v>
      </c>
      <c r="AGA222" s="40" t="s">
        <v>91</v>
      </c>
      <c r="AGB222" s="40" t="s">
        <v>91</v>
      </c>
      <c r="AGC222" s="40" t="s">
        <v>91</v>
      </c>
      <c r="AGD222" s="40" t="s">
        <v>91</v>
      </c>
      <c r="AGE222" s="40" t="s">
        <v>91</v>
      </c>
      <c r="AGF222" s="40" t="s">
        <v>91</v>
      </c>
      <c r="AGG222" s="40" t="s">
        <v>91</v>
      </c>
      <c r="AGH222" s="40" t="s">
        <v>91</v>
      </c>
      <c r="AGI222" s="40" t="s">
        <v>91</v>
      </c>
      <c r="AGJ222" s="40" t="s">
        <v>91</v>
      </c>
      <c r="AGK222" s="40" t="s">
        <v>91</v>
      </c>
      <c r="AGL222" s="40" t="s">
        <v>91</v>
      </c>
      <c r="AGM222" s="40" t="s">
        <v>91</v>
      </c>
      <c r="AGN222" s="40" t="s">
        <v>91</v>
      </c>
      <c r="AGO222" s="40" t="s">
        <v>91</v>
      </c>
      <c r="AGP222" s="40" t="s">
        <v>91</v>
      </c>
      <c r="AGQ222" s="40" t="s">
        <v>91</v>
      </c>
      <c r="AGR222" s="40" t="s">
        <v>91</v>
      </c>
      <c r="AGS222" s="40" t="s">
        <v>91</v>
      </c>
      <c r="AGT222" s="40" t="s">
        <v>91</v>
      </c>
      <c r="AGU222" s="40" t="s">
        <v>91</v>
      </c>
      <c r="AGV222" s="40" t="s">
        <v>91</v>
      </c>
      <c r="AGW222" s="40" t="s">
        <v>91</v>
      </c>
      <c r="AGX222" s="40" t="s">
        <v>91</v>
      </c>
      <c r="AGY222" s="40" t="s">
        <v>91</v>
      </c>
      <c r="AGZ222" s="40" t="s">
        <v>91</v>
      </c>
      <c r="AHA222" s="40" t="s">
        <v>91</v>
      </c>
      <c r="AHB222" s="40" t="s">
        <v>91</v>
      </c>
      <c r="AHC222" s="40" t="s">
        <v>91</v>
      </c>
      <c r="AHD222" s="40" t="s">
        <v>91</v>
      </c>
      <c r="AHE222" s="40" t="s">
        <v>91</v>
      </c>
      <c r="AHF222" s="40" t="s">
        <v>91</v>
      </c>
      <c r="AHG222" s="40" t="s">
        <v>91</v>
      </c>
      <c r="AHH222" s="40" t="s">
        <v>91</v>
      </c>
      <c r="AHI222" s="40" t="s">
        <v>91</v>
      </c>
      <c r="AHJ222" s="40" t="s">
        <v>91</v>
      </c>
      <c r="AHK222" s="40" t="s">
        <v>91</v>
      </c>
      <c r="AHL222" s="40" t="s">
        <v>91</v>
      </c>
      <c r="AHM222" s="40" t="s">
        <v>91</v>
      </c>
      <c r="AHN222" s="40" t="s">
        <v>91</v>
      </c>
      <c r="AHO222" s="40" t="s">
        <v>91</v>
      </c>
      <c r="AHP222" s="40" t="s">
        <v>91</v>
      </c>
      <c r="AHQ222" s="40" t="s">
        <v>91</v>
      </c>
      <c r="AHR222" s="40" t="s">
        <v>91</v>
      </c>
      <c r="AHS222" s="40" t="s">
        <v>91</v>
      </c>
      <c r="AHT222" s="40" t="s">
        <v>91</v>
      </c>
      <c r="AHU222" s="40" t="s">
        <v>91</v>
      </c>
      <c r="AHV222" s="40" t="s">
        <v>91</v>
      </c>
      <c r="AHW222" s="40" t="s">
        <v>91</v>
      </c>
      <c r="AHX222" s="40" t="s">
        <v>91</v>
      </c>
      <c r="AHY222" s="40" t="s">
        <v>91</v>
      </c>
      <c r="AHZ222" s="40" t="s">
        <v>91</v>
      </c>
      <c r="AIA222" s="40" t="s">
        <v>91</v>
      </c>
      <c r="AIB222" s="40" t="s">
        <v>91</v>
      </c>
      <c r="AIC222" s="40" t="s">
        <v>91</v>
      </c>
      <c r="AID222" s="40" t="s">
        <v>91</v>
      </c>
      <c r="AIE222" s="40" t="s">
        <v>91</v>
      </c>
      <c r="AIF222" s="40" t="s">
        <v>91</v>
      </c>
      <c r="AIG222" s="40" t="s">
        <v>91</v>
      </c>
      <c r="AIH222" s="40" t="s">
        <v>91</v>
      </c>
      <c r="AII222" s="40" t="s">
        <v>91</v>
      </c>
      <c r="AIJ222" s="40" t="s">
        <v>91</v>
      </c>
      <c r="AIK222" s="40" t="s">
        <v>91</v>
      </c>
      <c r="AIL222" s="40" t="s">
        <v>91</v>
      </c>
      <c r="AIM222" s="40" t="s">
        <v>91</v>
      </c>
      <c r="AIN222" s="40" t="s">
        <v>91</v>
      </c>
      <c r="AIO222" s="40" t="s">
        <v>91</v>
      </c>
      <c r="AIP222" s="40" t="s">
        <v>91</v>
      </c>
      <c r="AIQ222" s="40" t="s">
        <v>91</v>
      </c>
      <c r="AIR222" s="40" t="s">
        <v>91</v>
      </c>
      <c r="AIS222" s="40" t="s">
        <v>91</v>
      </c>
      <c r="AIT222" s="40" t="s">
        <v>91</v>
      </c>
      <c r="AIU222" s="40" t="s">
        <v>91</v>
      </c>
      <c r="AIV222" s="40" t="s">
        <v>91</v>
      </c>
      <c r="AIW222" s="40" t="s">
        <v>91</v>
      </c>
      <c r="AIX222" s="40" t="s">
        <v>91</v>
      </c>
      <c r="AIY222" s="40" t="s">
        <v>91</v>
      </c>
      <c r="AIZ222" s="40" t="s">
        <v>91</v>
      </c>
      <c r="AJA222" s="40" t="s">
        <v>91</v>
      </c>
      <c r="AJB222" s="40" t="s">
        <v>91</v>
      </c>
      <c r="AJC222" s="40" t="s">
        <v>91</v>
      </c>
      <c r="AJD222" s="40" t="s">
        <v>91</v>
      </c>
      <c r="AJE222" s="40" t="s">
        <v>91</v>
      </c>
      <c r="AJF222" s="40" t="s">
        <v>91</v>
      </c>
      <c r="AJG222" s="40" t="s">
        <v>91</v>
      </c>
      <c r="AJH222" s="40" t="s">
        <v>91</v>
      </c>
      <c r="AJI222" s="40" t="s">
        <v>91</v>
      </c>
      <c r="AJJ222" s="40" t="s">
        <v>91</v>
      </c>
      <c r="AJK222" s="40" t="s">
        <v>91</v>
      </c>
      <c r="AJL222" s="40" t="s">
        <v>91</v>
      </c>
      <c r="AJM222" s="40" t="s">
        <v>91</v>
      </c>
      <c r="AJN222" s="40" t="s">
        <v>91</v>
      </c>
      <c r="AJO222" s="40" t="s">
        <v>91</v>
      </c>
      <c r="AJP222" s="40" t="s">
        <v>91</v>
      </c>
      <c r="AJQ222" s="40" t="s">
        <v>91</v>
      </c>
      <c r="AJR222" s="40" t="s">
        <v>91</v>
      </c>
      <c r="AJS222" s="40" t="s">
        <v>91</v>
      </c>
      <c r="AJT222" s="40" t="s">
        <v>91</v>
      </c>
      <c r="AJU222" s="40" t="s">
        <v>91</v>
      </c>
      <c r="AJV222" s="40" t="s">
        <v>91</v>
      </c>
      <c r="AJW222" s="40" t="s">
        <v>91</v>
      </c>
      <c r="AJX222" s="40" t="s">
        <v>91</v>
      </c>
      <c r="AJY222" s="40" t="s">
        <v>91</v>
      </c>
      <c r="AJZ222" s="40" t="s">
        <v>91</v>
      </c>
      <c r="AKA222" s="40" t="s">
        <v>91</v>
      </c>
      <c r="AKB222" s="40" t="s">
        <v>91</v>
      </c>
      <c r="AKC222" s="40" t="s">
        <v>91</v>
      </c>
      <c r="AKD222" s="40" t="s">
        <v>91</v>
      </c>
      <c r="AKE222" s="40" t="s">
        <v>91</v>
      </c>
      <c r="AKF222" s="40" t="s">
        <v>91</v>
      </c>
      <c r="AKG222" s="40" t="s">
        <v>91</v>
      </c>
      <c r="AKH222" s="40" t="s">
        <v>91</v>
      </c>
      <c r="AKI222" s="40" t="s">
        <v>91</v>
      </c>
      <c r="AKJ222" s="40" t="s">
        <v>91</v>
      </c>
      <c r="AKK222" s="40" t="s">
        <v>91</v>
      </c>
      <c r="AKL222" s="40" t="s">
        <v>91</v>
      </c>
      <c r="AKM222" s="40" t="s">
        <v>91</v>
      </c>
      <c r="AKN222" s="40" t="s">
        <v>91</v>
      </c>
      <c r="AKO222" s="40" t="s">
        <v>91</v>
      </c>
      <c r="AKP222" s="40" t="s">
        <v>91</v>
      </c>
      <c r="AKQ222" s="40" t="s">
        <v>91</v>
      </c>
      <c r="AKR222" s="40" t="s">
        <v>91</v>
      </c>
      <c r="AKS222" s="40" t="s">
        <v>91</v>
      </c>
      <c r="AKT222" s="40" t="s">
        <v>91</v>
      </c>
      <c r="AKU222" s="40" t="s">
        <v>91</v>
      </c>
      <c r="AKV222" s="40" t="s">
        <v>91</v>
      </c>
      <c r="AKW222" s="40" t="s">
        <v>91</v>
      </c>
      <c r="AKX222" s="40" t="s">
        <v>91</v>
      </c>
      <c r="AKY222" s="40" t="s">
        <v>91</v>
      </c>
      <c r="AKZ222" s="40" t="s">
        <v>91</v>
      </c>
      <c r="ALA222" s="40" t="s">
        <v>91</v>
      </c>
      <c r="ALB222" s="40" t="s">
        <v>91</v>
      </c>
      <c r="ALC222" s="40" t="s">
        <v>91</v>
      </c>
      <c r="ALD222" s="40" t="s">
        <v>91</v>
      </c>
      <c r="ALE222" s="40" t="s">
        <v>91</v>
      </c>
      <c r="ALF222" s="40" t="s">
        <v>91</v>
      </c>
      <c r="ALG222" s="40" t="s">
        <v>91</v>
      </c>
      <c r="ALH222" s="40" t="s">
        <v>91</v>
      </c>
      <c r="ALI222" s="40" t="s">
        <v>91</v>
      </c>
      <c r="ALJ222" s="40" t="s">
        <v>91</v>
      </c>
      <c r="ALK222" s="40" t="s">
        <v>91</v>
      </c>
      <c r="ALL222" s="40" t="s">
        <v>91</v>
      </c>
      <c r="ALM222" s="40" t="s">
        <v>91</v>
      </c>
      <c r="ALN222" s="40" t="s">
        <v>91</v>
      </c>
      <c r="ALO222" s="40" t="s">
        <v>91</v>
      </c>
      <c r="ALP222" s="40" t="s">
        <v>91</v>
      </c>
      <c r="ALQ222" s="40" t="s">
        <v>91</v>
      </c>
      <c r="ALR222" s="40" t="s">
        <v>91</v>
      </c>
      <c r="ALS222" s="40" t="s">
        <v>91</v>
      </c>
      <c r="ALT222" s="40" t="s">
        <v>91</v>
      </c>
      <c r="ALU222" s="40" t="s">
        <v>91</v>
      </c>
      <c r="ALV222" s="40" t="s">
        <v>91</v>
      </c>
      <c r="ALW222" s="40" t="s">
        <v>91</v>
      </c>
      <c r="ALX222" s="40" t="s">
        <v>91</v>
      </c>
      <c r="ALY222" s="40" t="s">
        <v>91</v>
      </c>
      <c r="ALZ222" s="40" t="s">
        <v>91</v>
      </c>
      <c r="AMA222" s="40" t="s">
        <v>91</v>
      </c>
      <c r="AMB222" s="40" t="s">
        <v>91</v>
      </c>
      <c r="AMC222" s="40" t="s">
        <v>91</v>
      </c>
      <c r="AMD222" s="40" t="s">
        <v>91</v>
      </c>
      <c r="AME222" s="40" t="s">
        <v>91</v>
      </c>
      <c r="AMF222" s="40" t="s">
        <v>91</v>
      </c>
      <c r="AMG222" s="40" t="s">
        <v>91</v>
      </c>
      <c r="AMH222" s="40" t="s">
        <v>91</v>
      </c>
      <c r="AMI222" s="40" t="s">
        <v>91</v>
      </c>
      <c r="AMJ222" s="40" t="s">
        <v>91</v>
      </c>
      <c r="AMK222" s="40" t="s">
        <v>91</v>
      </c>
      <c r="AML222" s="40" t="s">
        <v>91</v>
      </c>
      <c r="AMM222" s="40" t="s">
        <v>91</v>
      </c>
      <c r="AMN222" s="40" t="s">
        <v>91</v>
      </c>
      <c r="AMO222" s="40" t="s">
        <v>91</v>
      </c>
      <c r="AMP222" s="40" t="s">
        <v>91</v>
      </c>
      <c r="AMQ222" s="40" t="s">
        <v>91</v>
      </c>
      <c r="AMR222" s="40" t="s">
        <v>91</v>
      </c>
      <c r="AMS222" s="40" t="s">
        <v>91</v>
      </c>
      <c r="AMT222" s="40" t="s">
        <v>91</v>
      </c>
      <c r="AMU222" s="40" t="s">
        <v>91</v>
      </c>
      <c r="AMV222" s="40" t="s">
        <v>91</v>
      </c>
      <c r="AMW222" s="40" t="s">
        <v>91</v>
      </c>
      <c r="AMX222" s="40" t="s">
        <v>91</v>
      </c>
      <c r="AMY222" s="40" t="s">
        <v>91</v>
      </c>
      <c r="AMZ222" s="40" t="s">
        <v>91</v>
      </c>
      <c r="ANA222" s="40" t="s">
        <v>91</v>
      </c>
      <c r="ANB222" s="40" t="s">
        <v>91</v>
      </c>
      <c r="ANC222" s="40" t="s">
        <v>91</v>
      </c>
      <c r="AND222" s="40" t="s">
        <v>91</v>
      </c>
      <c r="ANE222" s="40" t="s">
        <v>91</v>
      </c>
      <c r="ANF222" s="40" t="s">
        <v>91</v>
      </c>
      <c r="ANG222" s="40" t="s">
        <v>91</v>
      </c>
      <c r="ANH222" s="40" t="s">
        <v>91</v>
      </c>
      <c r="ANI222" s="40" t="s">
        <v>91</v>
      </c>
      <c r="ANJ222" s="40" t="s">
        <v>91</v>
      </c>
      <c r="ANK222" s="40" t="s">
        <v>91</v>
      </c>
      <c r="ANL222" s="40" t="s">
        <v>91</v>
      </c>
      <c r="ANM222" s="40" t="s">
        <v>91</v>
      </c>
      <c r="ANN222" s="40" t="s">
        <v>91</v>
      </c>
      <c r="ANO222" s="40" t="s">
        <v>91</v>
      </c>
      <c r="ANP222" s="40" t="s">
        <v>91</v>
      </c>
      <c r="ANQ222" s="40" t="s">
        <v>91</v>
      </c>
      <c r="ANR222" s="40" t="s">
        <v>91</v>
      </c>
      <c r="ANS222" s="40" t="s">
        <v>91</v>
      </c>
      <c r="ANT222" s="40" t="s">
        <v>91</v>
      </c>
      <c r="ANU222" s="40" t="s">
        <v>91</v>
      </c>
      <c r="ANV222" s="40" t="s">
        <v>91</v>
      </c>
      <c r="ANW222" s="40" t="s">
        <v>91</v>
      </c>
      <c r="ANX222" s="40" t="s">
        <v>91</v>
      </c>
      <c r="ANY222" s="40" t="s">
        <v>91</v>
      </c>
      <c r="ANZ222" s="40" t="s">
        <v>91</v>
      </c>
      <c r="AOA222" s="40" t="s">
        <v>91</v>
      </c>
      <c r="AOB222" s="40" t="s">
        <v>91</v>
      </c>
      <c r="AOC222" s="40" t="s">
        <v>91</v>
      </c>
      <c r="AOD222" s="40" t="s">
        <v>91</v>
      </c>
      <c r="AOE222" s="40" t="s">
        <v>91</v>
      </c>
      <c r="AOF222" s="40" t="s">
        <v>91</v>
      </c>
      <c r="AOG222" s="40" t="s">
        <v>91</v>
      </c>
      <c r="AOH222" s="40" t="s">
        <v>91</v>
      </c>
      <c r="AOI222" s="40" t="s">
        <v>91</v>
      </c>
      <c r="AOJ222" s="40" t="s">
        <v>91</v>
      </c>
      <c r="AOK222" s="40" t="s">
        <v>91</v>
      </c>
      <c r="AOL222" s="40" t="s">
        <v>91</v>
      </c>
      <c r="AOM222" s="40" t="s">
        <v>91</v>
      </c>
      <c r="AON222" s="40" t="s">
        <v>91</v>
      </c>
      <c r="AOO222" s="40" t="s">
        <v>91</v>
      </c>
      <c r="AOP222" s="40" t="s">
        <v>91</v>
      </c>
      <c r="AOQ222" s="40" t="s">
        <v>91</v>
      </c>
      <c r="AOR222" s="40" t="s">
        <v>91</v>
      </c>
      <c r="AOS222" s="40" t="s">
        <v>91</v>
      </c>
      <c r="AOT222" s="40" t="s">
        <v>91</v>
      </c>
      <c r="AOU222" s="40" t="s">
        <v>91</v>
      </c>
      <c r="AOV222" s="40" t="s">
        <v>91</v>
      </c>
      <c r="AOW222" s="40" t="s">
        <v>91</v>
      </c>
      <c r="AOX222" s="40" t="s">
        <v>91</v>
      </c>
      <c r="AOY222" s="40" t="s">
        <v>91</v>
      </c>
      <c r="AOZ222" s="40" t="s">
        <v>91</v>
      </c>
      <c r="APA222" s="40" t="s">
        <v>91</v>
      </c>
      <c r="APB222" s="40" t="s">
        <v>91</v>
      </c>
      <c r="APC222" s="40" t="s">
        <v>91</v>
      </c>
      <c r="APD222" s="40" t="s">
        <v>91</v>
      </c>
      <c r="APE222" s="40" t="s">
        <v>91</v>
      </c>
      <c r="APF222" s="40" t="s">
        <v>91</v>
      </c>
      <c r="APG222" s="40" t="s">
        <v>91</v>
      </c>
      <c r="APH222" s="40" t="s">
        <v>91</v>
      </c>
      <c r="API222" s="40" t="s">
        <v>91</v>
      </c>
      <c r="APJ222" s="40" t="s">
        <v>91</v>
      </c>
      <c r="APK222" s="40" t="s">
        <v>91</v>
      </c>
      <c r="APL222" s="40" t="s">
        <v>91</v>
      </c>
      <c r="APM222" s="40" t="s">
        <v>91</v>
      </c>
      <c r="APN222" s="40" t="s">
        <v>91</v>
      </c>
      <c r="APO222" s="40" t="s">
        <v>91</v>
      </c>
      <c r="APP222" s="40" t="s">
        <v>91</v>
      </c>
      <c r="APQ222" s="40" t="s">
        <v>91</v>
      </c>
      <c r="APR222" s="40" t="s">
        <v>91</v>
      </c>
      <c r="APS222" s="40" t="s">
        <v>91</v>
      </c>
      <c r="APT222" s="40" t="s">
        <v>91</v>
      </c>
      <c r="APU222" s="40" t="s">
        <v>91</v>
      </c>
      <c r="APV222" s="40" t="s">
        <v>91</v>
      </c>
      <c r="APW222" s="40" t="s">
        <v>91</v>
      </c>
      <c r="APX222" s="40" t="s">
        <v>91</v>
      </c>
      <c r="APY222" s="40" t="s">
        <v>91</v>
      </c>
      <c r="APZ222" s="40" t="s">
        <v>91</v>
      </c>
      <c r="AQA222" s="40" t="s">
        <v>91</v>
      </c>
      <c r="AQB222" s="40" t="s">
        <v>91</v>
      </c>
      <c r="AQC222" s="40" t="s">
        <v>91</v>
      </c>
      <c r="AQD222" s="40" t="s">
        <v>91</v>
      </c>
      <c r="AQE222" s="40" t="s">
        <v>91</v>
      </c>
      <c r="AQF222" s="40" t="s">
        <v>91</v>
      </c>
      <c r="AQG222" s="40" t="s">
        <v>91</v>
      </c>
      <c r="AQH222" s="40" t="s">
        <v>91</v>
      </c>
      <c r="AQI222" s="40" t="s">
        <v>91</v>
      </c>
      <c r="AQJ222" s="40" t="s">
        <v>91</v>
      </c>
      <c r="AQK222" s="40" t="s">
        <v>91</v>
      </c>
      <c r="AQL222" s="40" t="s">
        <v>91</v>
      </c>
      <c r="AQM222" s="40" t="s">
        <v>91</v>
      </c>
      <c r="AQN222" s="40" t="s">
        <v>91</v>
      </c>
      <c r="AQO222" s="40" t="s">
        <v>91</v>
      </c>
      <c r="AQP222" s="40" t="s">
        <v>91</v>
      </c>
      <c r="AQQ222" s="40" t="s">
        <v>91</v>
      </c>
      <c r="AQR222" s="40" t="s">
        <v>91</v>
      </c>
      <c r="AQS222" s="40" t="s">
        <v>91</v>
      </c>
      <c r="AQT222" s="40" t="s">
        <v>91</v>
      </c>
      <c r="AQU222" s="40" t="s">
        <v>91</v>
      </c>
      <c r="AQV222" s="40" t="s">
        <v>91</v>
      </c>
      <c r="AQW222" s="40" t="s">
        <v>91</v>
      </c>
      <c r="AQX222" s="40" t="s">
        <v>91</v>
      </c>
      <c r="AQY222" s="40" t="s">
        <v>91</v>
      </c>
      <c r="AQZ222" s="40" t="s">
        <v>91</v>
      </c>
      <c r="ARA222" s="40" t="s">
        <v>91</v>
      </c>
      <c r="ARB222" s="40" t="s">
        <v>91</v>
      </c>
      <c r="ARC222" s="40" t="s">
        <v>91</v>
      </c>
      <c r="ARD222" s="40" t="s">
        <v>91</v>
      </c>
      <c r="ARE222" s="40" t="s">
        <v>91</v>
      </c>
      <c r="ARF222" s="40" t="s">
        <v>91</v>
      </c>
      <c r="ARG222" s="40" t="s">
        <v>91</v>
      </c>
      <c r="ARH222" s="40" t="s">
        <v>91</v>
      </c>
      <c r="ARI222" s="40" t="s">
        <v>91</v>
      </c>
      <c r="ARJ222" s="40" t="s">
        <v>91</v>
      </c>
      <c r="ARK222" s="40" t="s">
        <v>91</v>
      </c>
      <c r="ARL222" s="40" t="s">
        <v>91</v>
      </c>
      <c r="ARM222" s="40" t="s">
        <v>91</v>
      </c>
      <c r="ARN222" s="40" t="s">
        <v>91</v>
      </c>
      <c r="ARO222" s="40" t="s">
        <v>91</v>
      </c>
      <c r="ARP222" s="40" t="s">
        <v>91</v>
      </c>
      <c r="ARQ222" s="40" t="s">
        <v>91</v>
      </c>
      <c r="ARR222" s="40" t="s">
        <v>91</v>
      </c>
      <c r="ARS222" s="40" t="s">
        <v>91</v>
      </c>
      <c r="ART222" s="40" t="s">
        <v>91</v>
      </c>
      <c r="ARU222" s="40" t="s">
        <v>91</v>
      </c>
      <c r="ARV222" s="40" t="s">
        <v>91</v>
      </c>
      <c r="ARW222" s="40" t="s">
        <v>91</v>
      </c>
      <c r="ARX222" s="40" t="s">
        <v>91</v>
      </c>
      <c r="ARY222" s="40" t="s">
        <v>91</v>
      </c>
      <c r="ARZ222" s="40" t="s">
        <v>91</v>
      </c>
      <c r="ASA222" s="40" t="s">
        <v>91</v>
      </c>
      <c r="ASB222" s="40" t="s">
        <v>91</v>
      </c>
      <c r="ASC222" s="40" t="s">
        <v>91</v>
      </c>
      <c r="ASD222" s="40" t="s">
        <v>91</v>
      </c>
      <c r="ASE222" s="40" t="s">
        <v>91</v>
      </c>
      <c r="ASF222" s="40" t="s">
        <v>91</v>
      </c>
      <c r="ASG222" s="40" t="s">
        <v>91</v>
      </c>
      <c r="ASH222" s="40" t="s">
        <v>91</v>
      </c>
      <c r="ASI222" s="40" t="s">
        <v>91</v>
      </c>
      <c r="ASJ222" s="40" t="s">
        <v>91</v>
      </c>
      <c r="ASK222" s="40" t="s">
        <v>91</v>
      </c>
      <c r="ASL222" s="40" t="s">
        <v>91</v>
      </c>
      <c r="ASM222" s="40" t="s">
        <v>91</v>
      </c>
      <c r="ASN222" s="40" t="s">
        <v>91</v>
      </c>
      <c r="ASO222" s="40" t="s">
        <v>91</v>
      </c>
      <c r="ASP222" s="40" t="s">
        <v>91</v>
      </c>
      <c r="ASQ222" s="40" t="s">
        <v>91</v>
      </c>
      <c r="ASR222" s="40" t="s">
        <v>91</v>
      </c>
      <c r="ASS222" s="40" t="s">
        <v>91</v>
      </c>
      <c r="AST222" s="40" t="s">
        <v>91</v>
      </c>
      <c r="ASU222" s="40" t="s">
        <v>91</v>
      </c>
      <c r="ASV222" s="40" t="s">
        <v>91</v>
      </c>
      <c r="ASW222" s="40" t="s">
        <v>91</v>
      </c>
      <c r="ASX222" s="40" t="s">
        <v>91</v>
      </c>
      <c r="ASY222" s="40" t="s">
        <v>91</v>
      </c>
      <c r="ASZ222" s="40" t="s">
        <v>91</v>
      </c>
      <c r="ATA222" s="40" t="s">
        <v>91</v>
      </c>
      <c r="ATB222" s="40" t="s">
        <v>91</v>
      </c>
      <c r="ATC222" s="40" t="s">
        <v>91</v>
      </c>
      <c r="ATD222" s="40" t="s">
        <v>91</v>
      </c>
      <c r="ATE222" s="40" t="s">
        <v>91</v>
      </c>
      <c r="ATF222" s="40" t="s">
        <v>91</v>
      </c>
      <c r="ATG222" s="40" t="s">
        <v>91</v>
      </c>
      <c r="ATH222" s="40" t="s">
        <v>91</v>
      </c>
      <c r="ATI222" s="40" t="s">
        <v>91</v>
      </c>
      <c r="ATJ222" s="40" t="s">
        <v>91</v>
      </c>
      <c r="ATK222" s="40" t="s">
        <v>91</v>
      </c>
      <c r="ATL222" s="40" t="s">
        <v>91</v>
      </c>
      <c r="ATM222" s="40" t="s">
        <v>91</v>
      </c>
      <c r="ATN222" s="40" t="s">
        <v>91</v>
      </c>
      <c r="ATO222" s="40" t="s">
        <v>91</v>
      </c>
      <c r="ATP222" s="40" t="s">
        <v>91</v>
      </c>
      <c r="ATQ222" s="40" t="s">
        <v>91</v>
      </c>
      <c r="ATR222" s="40" t="s">
        <v>91</v>
      </c>
      <c r="ATS222" s="40" t="s">
        <v>91</v>
      </c>
      <c r="ATT222" s="40" t="s">
        <v>91</v>
      </c>
      <c r="ATU222" s="40" t="s">
        <v>91</v>
      </c>
      <c r="ATV222" s="40" t="s">
        <v>91</v>
      </c>
      <c r="ATW222" s="40" t="s">
        <v>91</v>
      </c>
      <c r="ATX222" s="40" t="s">
        <v>91</v>
      </c>
      <c r="ATY222" s="40" t="s">
        <v>91</v>
      </c>
      <c r="ATZ222" s="40" t="s">
        <v>91</v>
      </c>
      <c r="AUA222" s="40" t="s">
        <v>91</v>
      </c>
      <c r="AUB222" s="40" t="s">
        <v>91</v>
      </c>
      <c r="AUC222" s="40" t="s">
        <v>91</v>
      </c>
      <c r="AUD222" s="40" t="s">
        <v>91</v>
      </c>
      <c r="AUE222" s="40" t="s">
        <v>91</v>
      </c>
      <c r="AUF222" s="40" t="s">
        <v>91</v>
      </c>
      <c r="AUG222" s="40" t="s">
        <v>91</v>
      </c>
      <c r="AUH222" s="40" t="s">
        <v>91</v>
      </c>
      <c r="AUI222" s="40" t="s">
        <v>91</v>
      </c>
      <c r="AUJ222" s="40" t="s">
        <v>91</v>
      </c>
      <c r="AUK222" s="40" t="s">
        <v>91</v>
      </c>
      <c r="AUL222" s="40" t="s">
        <v>91</v>
      </c>
      <c r="AUM222" s="40" t="s">
        <v>91</v>
      </c>
      <c r="AUN222" s="40" t="s">
        <v>91</v>
      </c>
      <c r="AUO222" s="40" t="s">
        <v>91</v>
      </c>
      <c r="AUP222" s="40" t="s">
        <v>91</v>
      </c>
      <c r="AUQ222" s="40" t="s">
        <v>91</v>
      </c>
      <c r="AUR222" s="40" t="s">
        <v>91</v>
      </c>
      <c r="AUS222" s="40" t="s">
        <v>91</v>
      </c>
      <c r="AUT222" s="40" t="s">
        <v>91</v>
      </c>
      <c r="AUU222" s="40" t="s">
        <v>91</v>
      </c>
      <c r="AUV222" s="40" t="s">
        <v>91</v>
      </c>
      <c r="AUW222" s="40" t="s">
        <v>91</v>
      </c>
      <c r="AUX222" s="40" t="s">
        <v>91</v>
      </c>
      <c r="AUY222" s="40" t="s">
        <v>91</v>
      </c>
      <c r="AUZ222" s="40" t="s">
        <v>91</v>
      </c>
      <c r="AVA222" s="40" t="s">
        <v>91</v>
      </c>
      <c r="AVB222" s="40" t="s">
        <v>91</v>
      </c>
      <c r="AVC222" s="40" t="s">
        <v>91</v>
      </c>
      <c r="AVD222" s="40" t="s">
        <v>91</v>
      </c>
      <c r="AVE222" s="40" t="s">
        <v>91</v>
      </c>
      <c r="AVF222" s="40" t="s">
        <v>91</v>
      </c>
      <c r="AVG222" s="40" t="s">
        <v>91</v>
      </c>
      <c r="AVH222" s="40" t="s">
        <v>91</v>
      </c>
      <c r="AVI222" s="40" t="s">
        <v>91</v>
      </c>
      <c r="AVJ222" s="40" t="s">
        <v>91</v>
      </c>
      <c r="AVK222" s="40" t="s">
        <v>91</v>
      </c>
      <c r="AVL222" s="40" t="s">
        <v>91</v>
      </c>
      <c r="AVM222" s="40" t="s">
        <v>91</v>
      </c>
      <c r="AVN222" s="40" t="s">
        <v>91</v>
      </c>
      <c r="AVO222" s="40" t="s">
        <v>91</v>
      </c>
      <c r="AVP222" s="40" t="s">
        <v>91</v>
      </c>
      <c r="AVQ222" s="40" t="s">
        <v>91</v>
      </c>
      <c r="AVR222" s="40" t="s">
        <v>91</v>
      </c>
      <c r="AVS222" s="40" t="s">
        <v>91</v>
      </c>
      <c r="AVT222" s="40" t="s">
        <v>91</v>
      </c>
      <c r="AVU222" s="40" t="s">
        <v>91</v>
      </c>
      <c r="AVV222" s="40" t="s">
        <v>91</v>
      </c>
      <c r="AVW222" s="40" t="s">
        <v>91</v>
      </c>
      <c r="AVX222" s="40" t="s">
        <v>91</v>
      </c>
      <c r="AVY222" s="40" t="s">
        <v>91</v>
      </c>
      <c r="AVZ222" s="40" t="s">
        <v>91</v>
      </c>
      <c r="AWA222" s="40" t="s">
        <v>91</v>
      </c>
      <c r="AWB222" s="40" t="s">
        <v>91</v>
      </c>
      <c r="AWC222" s="40" t="s">
        <v>91</v>
      </c>
      <c r="AWD222" s="40" t="s">
        <v>91</v>
      </c>
      <c r="AWE222" s="40" t="s">
        <v>91</v>
      </c>
      <c r="AWF222" s="40" t="s">
        <v>91</v>
      </c>
      <c r="AWG222" s="40" t="s">
        <v>91</v>
      </c>
      <c r="AWH222" s="40" t="s">
        <v>91</v>
      </c>
      <c r="AWI222" s="40" t="s">
        <v>91</v>
      </c>
      <c r="AWJ222" s="40" t="s">
        <v>91</v>
      </c>
      <c r="AWK222" s="40" t="s">
        <v>91</v>
      </c>
      <c r="AWL222" s="40" t="s">
        <v>91</v>
      </c>
      <c r="AWM222" s="40" t="s">
        <v>91</v>
      </c>
      <c r="AWN222" s="40" t="s">
        <v>91</v>
      </c>
      <c r="AWO222" s="40" t="s">
        <v>91</v>
      </c>
      <c r="AWP222" s="40" t="s">
        <v>91</v>
      </c>
      <c r="AWQ222" s="40" t="s">
        <v>91</v>
      </c>
      <c r="AWR222" s="40" t="s">
        <v>91</v>
      </c>
      <c r="AWS222" s="40" t="s">
        <v>91</v>
      </c>
      <c r="AWT222" s="40" t="s">
        <v>91</v>
      </c>
      <c r="AWU222" s="40" t="s">
        <v>91</v>
      </c>
      <c r="AWV222" s="40" t="s">
        <v>91</v>
      </c>
      <c r="AWW222" s="40" t="s">
        <v>91</v>
      </c>
      <c r="AWX222" s="40" t="s">
        <v>91</v>
      </c>
      <c r="AWY222" s="40" t="s">
        <v>91</v>
      </c>
      <c r="AWZ222" s="40" t="s">
        <v>91</v>
      </c>
      <c r="AXA222" s="40" t="s">
        <v>91</v>
      </c>
      <c r="AXB222" s="40" t="s">
        <v>91</v>
      </c>
      <c r="AXC222" s="40" t="s">
        <v>91</v>
      </c>
      <c r="AXD222" s="40" t="s">
        <v>91</v>
      </c>
      <c r="AXE222" s="40" t="s">
        <v>91</v>
      </c>
      <c r="AXF222" s="40" t="s">
        <v>91</v>
      </c>
      <c r="AXG222" s="40" t="s">
        <v>91</v>
      </c>
      <c r="AXH222" s="40" t="s">
        <v>91</v>
      </c>
      <c r="AXI222" s="40" t="s">
        <v>91</v>
      </c>
      <c r="AXJ222" s="40" t="s">
        <v>91</v>
      </c>
      <c r="AXK222" s="40" t="s">
        <v>91</v>
      </c>
      <c r="AXL222" s="40" t="s">
        <v>91</v>
      </c>
      <c r="AXM222" s="40" t="s">
        <v>91</v>
      </c>
      <c r="AXN222" s="40" t="s">
        <v>91</v>
      </c>
      <c r="AXO222" s="40" t="s">
        <v>91</v>
      </c>
      <c r="AXP222" s="40" t="s">
        <v>91</v>
      </c>
      <c r="AXQ222" s="40" t="s">
        <v>91</v>
      </c>
      <c r="AXR222" s="40" t="s">
        <v>91</v>
      </c>
      <c r="AXS222" s="40" t="s">
        <v>91</v>
      </c>
      <c r="AXT222" s="40" t="s">
        <v>91</v>
      </c>
      <c r="AXU222" s="40" t="s">
        <v>91</v>
      </c>
      <c r="AXV222" s="40" t="s">
        <v>91</v>
      </c>
      <c r="AXW222" s="40" t="s">
        <v>91</v>
      </c>
      <c r="AXX222" s="40" t="s">
        <v>91</v>
      </c>
      <c r="AXY222" s="40" t="s">
        <v>91</v>
      </c>
      <c r="AXZ222" s="40" t="s">
        <v>91</v>
      </c>
      <c r="AYA222" s="40" t="s">
        <v>91</v>
      </c>
      <c r="AYB222" s="40" t="s">
        <v>91</v>
      </c>
      <c r="AYC222" s="40" t="s">
        <v>91</v>
      </c>
      <c r="AYD222" s="40" t="s">
        <v>91</v>
      </c>
      <c r="AYE222" s="40" t="s">
        <v>91</v>
      </c>
      <c r="AYF222" s="40" t="s">
        <v>91</v>
      </c>
      <c r="AYG222" s="40" t="s">
        <v>91</v>
      </c>
      <c r="AYH222" s="40" t="s">
        <v>91</v>
      </c>
      <c r="AYI222" s="40" t="s">
        <v>91</v>
      </c>
      <c r="AYJ222" s="40" t="s">
        <v>91</v>
      </c>
      <c r="AYK222" s="40" t="s">
        <v>91</v>
      </c>
      <c r="AYL222" s="40" t="s">
        <v>91</v>
      </c>
      <c r="AYM222" s="40" t="s">
        <v>91</v>
      </c>
      <c r="AYN222" s="40" t="s">
        <v>91</v>
      </c>
      <c r="AYO222" s="40" t="s">
        <v>91</v>
      </c>
      <c r="AYP222" s="40" t="s">
        <v>91</v>
      </c>
      <c r="AYQ222" s="40" t="s">
        <v>91</v>
      </c>
      <c r="AYR222" s="40" t="s">
        <v>91</v>
      </c>
      <c r="AYS222" s="40" t="s">
        <v>91</v>
      </c>
      <c r="AYT222" s="40" t="s">
        <v>91</v>
      </c>
      <c r="AYU222" s="40" t="s">
        <v>91</v>
      </c>
      <c r="AYV222" s="40" t="s">
        <v>91</v>
      </c>
      <c r="AYW222" s="40" t="s">
        <v>91</v>
      </c>
      <c r="AYX222" s="40" t="s">
        <v>91</v>
      </c>
      <c r="AYY222" s="40" t="s">
        <v>91</v>
      </c>
      <c r="AYZ222" s="40" t="s">
        <v>91</v>
      </c>
      <c r="AZA222" s="40" t="s">
        <v>91</v>
      </c>
      <c r="AZB222" s="40" t="s">
        <v>91</v>
      </c>
      <c r="AZC222" s="40" t="s">
        <v>91</v>
      </c>
      <c r="AZD222" s="40" t="s">
        <v>91</v>
      </c>
      <c r="AZE222" s="40" t="s">
        <v>91</v>
      </c>
      <c r="AZF222" s="40" t="s">
        <v>91</v>
      </c>
      <c r="AZG222" s="40" t="s">
        <v>91</v>
      </c>
      <c r="AZH222" s="40" t="s">
        <v>91</v>
      </c>
      <c r="AZI222" s="40" t="s">
        <v>91</v>
      </c>
      <c r="AZJ222" s="40" t="s">
        <v>91</v>
      </c>
      <c r="AZK222" s="40" t="s">
        <v>91</v>
      </c>
      <c r="AZL222" s="40" t="s">
        <v>91</v>
      </c>
      <c r="AZM222" s="40" t="s">
        <v>91</v>
      </c>
      <c r="AZN222" s="40" t="s">
        <v>91</v>
      </c>
      <c r="AZO222" s="40" t="s">
        <v>91</v>
      </c>
      <c r="AZP222" s="40" t="s">
        <v>91</v>
      </c>
      <c r="AZQ222" s="40" t="s">
        <v>91</v>
      </c>
      <c r="AZR222" s="40" t="s">
        <v>91</v>
      </c>
      <c r="AZS222" s="40" t="s">
        <v>91</v>
      </c>
      <c r="AZT222" s="40" t="s">
        <v>91</v>
      </c>
      <c r="AZU222" s="40" t="s">
        <v>91</v>
      </c>
      <c r="AZV222" s="40" t="s">
        <v>91</v>
      </c>
      <c r="AZW222" s="40" t="s">
        <v>91</v>
      </c>
      <c r="AZX222" s="40" t="s">
        <v>91</v>
      </c>
      <c r="AZY222" s="40" t="s">
        <v>91</v>
      </c>
      <c r="AZZ222" s="40" t="s">
        <v>91</v>
      </c>
      <c r="BAA222" s="40" t="s">
        <v>91</v>
      </c>
      <c r="BAB222" s="40" t="s">
        <v>91</v>
      </c>
      <c r="BAC222" s="40" t="s">
        <v>91</v>
      </c>
      <c r="BAD222" s="40" t="s">
        <v>91</v>
      </c>
      <c r="BAE222" s="40" t="s">
        <v>91</v>
      </c>
      <c r="BAF222" s="40" t="s">
        <v>91</v>
      </c>
      <c r="BAG222" s="40" t="s">
        <v>91</v>
      </c>
      <c r="BAH222" s="40" t="s">
        <v>91</v>
      </c>
      <c r="BAI222" s="40" t="s">
        <v>91</v>
      </c>
      <c r="BAJ222" s="40" t="s">
        <v>91</v>
      </c>
      <c r="BAK222" s="40" t="s">
        <v>91</v>
      </c>
      <c r="BAL222" s="40" t="s">
        <v>91</v>
      </c>
      <c r="BAM222" s="40" t="s">
        <v>91</v>
      </c>
      <c r="BAN222" s="40" t="s">
        <v>91</v>
      </c>
      <c r="BAO222" s="40" t="s">
        <v>91</v>
      </c>
      <c r="BAP222" s="40" t="s">
        <v>91</v>
      </c>
      <c r="BAQ222" s="40" t="s">
        <v>91</v>
      </c>
      <c r="BAR222" s="40" t="s">
        <v>91</v>
      </c>
      <c r="BAS222" s="40" t="s">
        <v>91</v>
      </c>
      <c r="BAT222" s="40" t="s">
        <v>91</v>
      </c>
      <c r="BAU222" s="40" t="s">
        <v>91</v>
      </c>
      <c r="BAV222" s="40" t="s">
        <v>91</v>
      </c>
      <c r="BAW222" s="40" t="s">
        <v>91</v>
      </c>
      <c r="BAX222" s="40" t="s">
        <v>91</v>
      </c>
      <c r="BAY222" s="40" t="s">
        <v>91</v>
      </c>
      <c r="BAZ222" s="40" t="s">
        <v>91</v>
      </c>
      <c r="BBA222" s="40" t="s">
        <v>91</v>
      </c>
      <c r="BBB222" s="40" t="s">
        <v>91</v>
      </c>
      <c r="BBC222" s="40" t="s">
        <v>91</v>
      </c>
      <c r="BBD222" s="40" t="s">
        <v>91</v>
      </c>
      <c r="BBE222" s="40" t="s">
        <v>91</v>
      </c>
      <c r="BBF222" s="40" t="s">
        <v>91</v>
      </c>
      <c r="BBG222" s="40" t="s">
        <v>91</v>
      </c>
      <c r="BBH222" s="40" t="s">
        <v>91</v>
      </c>
      <c r="BBI222" s="40" t="s">
        <v>91</v>
      </c>
      <c r="BBJ222" s="40" t="s">
        <v>91</v>
      </c>
      <c r="BBK222" s="40" t="s">
        <v>91</v>
      </c>
      <c r="BBL222" s="40" t="s">
        <v>91</v>
      </c>
      <c r="BBM222" s="40" t="s">
        <v>91</v>
      </c>
      <c r="BBN222" s="40" t="s">
        <v>91</v>
      </c>
      <c r="BBO222" s="40" t="s">
        <v>91</v>
      </c>
      <c r="BBP222" s="40" t="s">
        <v>91</v>
      </c>
      <c r="BBQ222" s="40" t="s">
        <v>91</v>
      </c>
      <c r="BBR222" s="40" t="s">
        <v>91</v>
      </c>
      <c r="BBS222" s="40" t="s">
        <v>91</v>
      </c>
      <c r="BBT222" s="40" t="s">
        <v>91</v>
      </c>
      <c r="BBU222" s="40" t="s">
        <v>91</v>
      </c>
      <c r="BBV222" s="40" t="s">
        <v>91</v>
      </c>
      <c r="BBW222" s="40" t="s">
        <v>91</v>
      </c>
      <c r="BBX222" s="40" t="s">
        <v>91</v>
      </c>
      <c r="BBY222" s="40" t="s">
        <v>91</v>
      </c>
      <c r="BBZ222" s="40" t="s">
        <v>91</v>
      </c>
      <c r="BCA222" s="40" t="s">
        <v>91</v>
      </c>
      <c r="BCB222" s="40" t="s">
        <v>91</v>
      </c>
      <c r="BCC222" s="40" t="s">
        <v>91</v>
      </c>
      <c r="BCD222" s="40" t="s">
        <v>91</v>
      </c>
      <c r="BCE222" s="40" t="s">
        <v>91</v>
      </c>
      <c r="BCF222" s="40" t="s">
        <v>91</v>
      </c>
      <c r="BCG222" s="40" t="s">
        <v>91</v>
      </c>
      <c r="BCH222" s="40" t="s">
        <v>91</v>
      </c>
      <c r="BCI222" s="40" t="s">
        <v>91</v>
      </c>
      <c r="BCJ222" s="40" t="s">
        <v>91</v>
      </c>
      <c r="BCK222" s="40" t="s">
        <v>91</v>
      </c>
      <c r="BCL222" s="40" t="s">
        <v>91</v>
      </c>
      <c r="BCM222" s="40" t="s">
        <v>91</v>
      </c>
      <c r="BCN222" s="40" t="s">
        <v>91</v>
      </c>
      <c r="BCO222" s="40" t="s">
        <v>91</v>
      </c>
      <c r="BCP222" s="40" t="s">
        <v>91</v>
      </c>
      <c r="BCQ222" s="40" t="s">
        <v>91</v>
      </c>
      <c r="BCR222" s="40" t="s">
        <v>91</v>
      </c>
      <c r="BCS222" s="40" t="s">
        <v>91</v>
      </c>
      <c r="BCT222" s="40" t="s">
        <v>91</v>
      </c>
      <c r="BCU222" s="40" t="s">
        <v>91</v>
      </c>
      <c r="BCV222" s="40" t="s">
        <v>91</v>
      </c>
      <c r="BCW222" s="40" t="s">
        <v>91</v>
      </c>
      <c r="BCX222" s="40" t="s">
        <v>91</v>
      </c>
      <c r="BCY222" s="40" t="s">
        <v>91</v>
      </c>
      <c r="BCZ222" s="40" t="s">
        <v>91</v>
      </c>
      <c r="BDA222" s="40" t="s">
        <v>91</v>
      </c>
      <c r="BDB222" s="40" t="s">
        <v>91</v>
      </c>
      <c r="BDC222" s="40" t="s">
        <v>91</v>
      </c>
      <c r="BDD222" s="40" t="s">
        <v>91</v>
      </c>
      <c r="BDE222" s="40" t="s">
        <v>91</v>
      </c>
      <c r="BDF222" s="40" t="s">
        <v>91</v>
      </c>
      <c r="BDG222" s="40" t="s">
        <v>91</v>
      </c>
      <c r="BDH222" s="40" t="s">
        <v>91</v>
      </c>
      <c r="BDI222" s="40" t="s">
        <v>91</v>
      </c>
      <c r="BDJ222" s="40" t="s">
        <v>91</v>
      </c>
      <c r="BDK222" s="40" t="s">
        <v>91</v>
      </c>
      <c r="BDL222" s="40" t="s">
        <v>91</v>
      </c>
      <c r="BDM222" s="40" t="s">
        <v>91</v>
      </c>
      <c r="BDN222" s="40" t="s">
        <v>91</v>
      </c>
      <c r="BDO222" s="40" t="s">
        <v>91</v>
      </c>
      <c r="BDP222" s="40" t="s">
        <v>91</v>
      </c>
      <c r="BDQ222" s="40" t="s">
        <v>91</v>
      </c>
      <c r="BDR222" s="40" t="s">
        <v>91</v>
      </c>
      <c r="BDS222" s="40" t="s">
        <v>91</v>
      </c>
      <c r="BDT222" s="40" t="s">
        <v>91</v>
      </c>
      <c r="BDU222" s="40" t="s">
        <v>91</v>
      </c>
      <c r="BDV222" s="40" t="s">
        <v>91</v>
      </c>
      <c r="BDW222" s="40" t="s">
        <v>91</v>
      </c>
      <c r="BDX222" s="40" t="s">
        <v>91</v>
      </c>
      <c r="BDY222" s="40" t="s">
        <v>91</v>
      </c>
      <c r="BDZ222" s="40" t="s">
        <v>91</v>
      </c>
      <c r="BEA222" s="40" t="s">
        <v>91</v>
      </c>
      <c r="BEB222" s="40" t="s">
        <v>91</v>
      </c>
      <c r="BEC222" s="40" t="s">
        <v>91</v>
      </c>
      <c r="BED222" s="40" t="s">
        <v>91</v>
      </c>
      <c r="BEE222" s="40" t="s">
        <v>91</v>
      </c>
      <c r="BEF222" s="40" t="s">
        <v>91</v>
      </c>
      <c r="BEG222" s="40" t="s">
        <v>91</v>
      </c>
      <c r="BEH222" s="40" t="s">
        <v>91</v>
      </c>
      <c r="BEI222" s="40" t="s">
        <v>91</v>
      </c>
      <c r="BEJ222" s="40" t="s">
        <v>91</v>
      </c>
      <c r="BEK222" s="40" t="s">
        <v>91</v>
      </c>
      <c r="BEL222" s="40" t="s">
        <v>91</v>
      </c>
      <c r="BEM222" s="40" t="s">
        <v>91</v>
      </c>
      <c r="BEN222" s="40" t="s">
        <v>91</v>
      </c>
      <c r="BEO222" s="40" t="s">
        <v>91</v>
      </c>
      <c r="BEP222" s="40" t="s">
        <v>91</v>
      </c>
      <c r="BEQ222" s="40" t="s">
        <v>91</v>
      </c>
      <c r="BER222" s="40" t="s">
        <v>91</v>
      </c>
      <c r="BES222" s="40" t="s">
        <v>91</v>
      </c>
      <c r="BET222" s="40" t="s">
        <v>91</v>
      </c>
      <c r="BEU222" s="40" t="s">
        <v>91</v>
      </c>
      <c r="BEV222" s="40" t="s">
        <v>91</v>
      </c>
      <c r="BEW222" s="40" t="s">
        <v>91</v>
      </c>
      <c r="BEX222" s="40" t="s">
        <v>91</v>
      </c>
      <c r="BEY222" s="40" t="s">
        <v>91</v>
      </c>
      <c r="BEZ222" s="40" t="s">
        <v>91</v>
      </c>
      <c r="BFA222" s="40" t="s">
        <v>91</v>
      </c>
      <c r="BFB222" s="40" t="s">
        <v>91</v>
      </c>
      <c r="BFC222" s="40" t="s">
        <v>91</v>
      </c>
      <c r="BFD222" s="40" t="s">
        <v>91</v>
      </c>
      <c r="BFE222" s="40" t="s">
        <v>91</v>
      </c>
      <c r="BFF222" s="40" t="s">
        <v>91</v>
      </c>
      <c r="BFG222" s="40" t="s">
        <v>91</v>
      </c>
      <c r="BFH222" s="40" t="s">
        <v>91</v>
      </c>
      <c r="BFI222" s="40" t="s">
        <v>91</v>
      </c>
      <c r="BFJ222" s="40" t="s">
        <v>91</v>
      </c>
      <c r="BFK222" s="40" t="s">
        <v>91</v>
      </c>
      <c r="BFL222" s="40" t="s">
        <v>91</v>
      </c>
      <c r="BFM222" s="40" t="s">
        <v>91</v>
      </c>
      <c r="BFN222" s="40" t="s">
        <v>91</v>
      </c>
      <c r="BFO222" s="40" t="s">
        <v>91</v>
      </c>
      <c r="BFP222" s="40" t="s">
        <v>91</v>
      </c>
      <c r="BFQ222" s="40" t="s">
        <v>91</v>
      </c>
      <c r="BFR222" s="40" t="s">
        <v>91</v>
      </c>
      <c r="BFS222" s="40" t="s">
        <v>91</v>
      </c>
      <c r="BFT222" s="40" t="s">
        <v>91</v>
      </c>
      <c r="BFU222" s="40" t="s">
        <v>91</v>
      </c>
      <c r="BFV222" s="40" t="s">
        <v>91</v>
      </c>
      <c r="BFW222" s="40" t="s">
        <v>91</v>
      </c>
      <c r="BFX222" s="40" t="s">
        <v>91</v>
      </c>
      <c r="BFY222" s="40" t="s">
        <v>91</v>
      </c>
      <c r="BFZ222" s="40" t="s">
        <v>91</v>
      </c>
      <c r="BGA222" s="40" t="s">
        <v>91</v>
      </c>
      <c r="BGB222" s="40" t="s">
        <v>91</v>
      </c>
      <c r="BGC222" s="40" t="s">
        <v>91</v>
      </c>
      <c r="BGD222" s="40" t="s">
        <v>91</v>
      </c>
      <c r="BGE222" s="40" t="s">
        <v>91</v>
      </c>
      <c r="BGF222" s="40" t="s">
        <v>91</v>
      </c>
      <c r="BGG222" s="40" t="s">
        <v>91</v>
      </c>
      <c r="BGH222" s="40" t="s">
        <v>91</v>
      </c>
      <c r="BGI222" s="40" t="s">
        <v>91</v>
      </c>
      <c r="BGJ222" s="40" t="s">
        <v>91</v>
      </c>
      <c r="BGK222" s="40" t="s">
        <v>91</v>
      </c>
      <c r="BGL222" s="40" t="s">
        <v>91</v>
      </c>
      <c r="BGM222" s="40" t="s">
        <v>91</v>
      </c>
      <c r="BGN222" s="40" t="s">
        <v>91</v>
      </c>
      <c r="BGO222" s="40" t="s">
        <v>91</v>
      </c>
      <c r="BGP222" s="40" t="s">
        <v>91</v>
      </c>
      <c r="BGQ222" s="40" t="s">
        <v>91</v>
      </c>
      <c r="BGR222" s="40" t="s">
        <v>91</v>
      </c>
      <c r="BGS222" s="40" t="s">
        <v>91</v>
      </c>
      <c r="BGT222" s="40" t="s">
        <v>91</v>
      </c>
      <c r="BGU222" s="40" t="s">
        <v>91</v>
      </c>
      <c r="BGV222" s="40" t="s">
        <v>91</v>
      </c>
      <c r="BGW222" s="40" t="s">
        <v>91</v>
      </c>
      <c r="BGX222" s="40" t="s">
        <v>91</v>
      </c>
      <c r="BGY222" s="40" t="s">
        <v>91</v>
      </c>
      <c r="BGZ222" s="40" t="s">
        <v>91</v>
      </c>
      <c r="BHA222" s="40" t="s">
        <v>91</v>
      </c>
      <c r="BHB222" s="40" t="s">
        <v>91</v>
      </c>
      <c r="BHC222" s="40" t="s">
        <v>91</v>
      </c>
      <c r="BHD222" s="40" t="s">
        <v>91</v>
      </c>
      <c r="BHE222" s="40" t="s">
        <v>91</v>
      </c>
      <c r="BHF222" s="40" t="s">
        <v>91</v>
      </c>
      <c r="BHG222" s="40" t="s">
        <v>91</v>
      </c>
      <c r="BHH222" s="40" t="s">
        <v>91</v>
      </c>
      <c r="BHI222" s="40" t="s">
        <v>91</v>
      </c>
      <c r="BHJ222" s="40" t="s">
        <v>91</v>
      </c>
      <c r="BHK222" s="40" t="s">
        <v>91</v>
      </c>
      <c r="BHL222" s="40" t="s">
        <v>91</v>
      </c>
      <c r="BHM222" s="40" t="s">
        <v>91</v>
      </c>
      <c r="BHN222" s="40" t="s">
        <v>91</v>
      </c>
      <c r="BHO222" s="40" t="s">
        <v>91</v>
      </c>
      <c r="BHP222" s="40" t="s">
        <v>91</v>
      </c>
      <c r="BHQ222" s="40" t="s">
        <v>91</v>
      </c>
      <c r="BHR222" s="40" t="s">
        <v>91</v>
      </c>
      <c r="BHS222" s="40" t="s">
        <v>91</v>
      </c>
      <c r="BHT222" s="40" t="s">
        <v>91</v>
      </c>
      <c r="BHU222" s="40" t="s">
        <v>91</v>
      </c>
      <c r="BHV222" s="40" t="s">
        <v>91</v>
      </c>
      <c r="BHW222" s="40" t="s">
        <v>91</v>
      </c>
      <c r="BHX222" s="40" t="s">
        <v>91</v>
      </c>
      <c r="BHY222" s="40" t="s">
        <v>91</v>
      </c>
      <c r="BHZ222" s="40" t="s">
        <v>91</v>
      </c>
      <c r="BIA222" s="40" t="s">
        <v>91</v>
      </c>
      <c r="BIB222" s="40" t="s">
        <v>91</v>
      </c>
      <c r="BIC222" s="40" t="s">
        <v>91</v>
      </c>
      <c r="BID222" s="40" t="s">
        <v>91</v>
      </c>
      <c r="BIE222" s="40" t="s">
        <v>91</v>
      </c>
      <c r="BIF222" s="40" t="s">
        <v>91</v>
      </c>
      <c r="BIG222" s="40" t="s">
        <v>91</v>
      </c>
      <c r="BIH222" s="40" t="s">
        <v>91</v>
      </c>
      <c r="BII222" s="40" t="s">
        <v>91</v>
      </c>
      <c r="BIJ222" s="40" t="s">
        <v>91</v>
      </c>
      <c r="BIK222" s="40" t="s">
        <v>91</v>
      </c>
      <c r="BIL222" s="40" t="s">
        <v>91</v>
      </c>
      <c r="BIM222" s="40" t="s">
        <v>91</v>
      </c>
      <c r="BIN222" s="40" t="s">
        <v>91</v>
      </c>
      <c r="BIO222" s="40" t="s">
        <v>91</v>
      </c>
      <c r="BIP222" s="40" t="s">
        <v>91</v>
      </c>
      <c r="BIQ222" s="40" t="s">
        <v>91</v>
      </c>
      <c r="BIR222" s="40" t="s">
        <v>91</v>
      </c>
      <c r="BIS222" s="40" t="s">
        <v>91</v>
      </c>
      <c r="BIT222" s="40" t="s">
        <v>91</v>
      </c>
      <c r="BIU222" s="40" t="s">
        <v>91</v>
      </c>
      <c r="BIV222" s="40" t="s">
        <v>91</v>
      </c>
      <c r="BIW222" s="40" t="s">
        <v>91</v>
      </c>
      <c r="BIX222" s="40" t="s">
        <v>91</v>
      </c>
      <c r="BIY222" s="40" t="s">
        <v>91</v>
      </c>
      <c r="BIZ222" s="40" t="s">
        <v>91</v>
      </c>
      <c r="BJA222" s="40" t="s">
        <v>91</v>
      </c>
      <c r="BJB222" s="40" t="s">
        <v>91</v>
      </c>
      <c r="BJC222" s="40" t="s">
        <v>91</v>
      </c>
      <c r="BJD222" s="40" t="s">
        <v>91</v>
      </c>
      <c r="BJE222" s="40" t="s">
        <v>91</v>
      </c>
      <c r="BJF222" s="40" t="s">
        <v>91</v>
      </c>
      <c r="BJG222" s="40" t="s">
        <v>91</v>
      </c>
      <c r="BJH222" s="40" t="s">
        <v>91</v>
      </c>
      <c r="BJI222" s="40" t="s">
        <v>91</v>
      </c>
      <c r="BJJ222" s="40" t="s">
        <v>91</v>
      </c>
      <c r="BJK222" s="40" t="s">
        <v>91</v>
      </c>
      <c r="BJL222" s="40" t="s">
        <v>91</v>
      </c>
      <c r="BJM222" s="40" t="s">
        <v>91</v>
      </c>
      <c r="BJN222" s="40" t="s">
        <v>91</v>
      </c>
      <c r="BJO222" s="40" t="s">
        <v>91</v>
      </c>
      <c r="BJP222" s="40" t="s">
        <v>91</v>
      </c>
      <c r="BJQ222" s="40" t="s">
        <v>91</v>
      </c>
      <c r="BJR222" s="40" t="s">
        <v>91</v>
      </c>
      <c r="BJS222" s="40" t="s">
        <v>91</v>
      </c>
      <c r="BJT222" s="40" t="s">
        <v>91</v>
      </c>
      <c r="BJU222" s="40" t="s">
        <v>91</v>
      </c>
      <c r="BJV222" s="40" t="s">
        <v>91</v>
      </c>
      <c r="BJW222" s="40" t="s">
        <v>91</v>
      </c>
      <c r="BJX222" s="40" t="s">
        <v>91</v>
      </c>
      <c r="BJY222" s="40" t="s">
        <v>91</v>
      </c>
      <c r="BJZ222" s="40" t="s">
        <v>91</v>
      </c>
      <c r="BKA222" s="40" t="s">
        <v>91</v>
      </c>
      <c r="BKB222" s="40" t="s">
        <v>91</v>
      </c>
      <c r="BKC222" s="40" t="s">
        <v>91</v>
      </c>
      <c r="BKD222" s="40" t="s">
        <v>91</v>
      </c>
      <c r="BKE222" s="40" t="s">
        <v>91</v>
      </c>
      <c r="BKF222" s="40" t="s">
        <v>91</v>
      </c>
      <c r="BKG222" s="40" t="s">
        <v>91</v>
      </c>
      <c r="BKH222" s="40" t="s">
        <v>91</v>
      </c>
      <c r="BKI222" s="40" t="s">
        <v>91</v>
      </c>
      <c r="BKJ222" s="40" t="s">
        <v>91</v>
      </c>
      <c r="BKK222" s="40" t="s">
        <v>91</v>
      </c>
      <c r="BKL222" s="40" t="s">
        <v>91</v>
      </c>
      <c r="BKM222" s="40" t="s">
        <v>91</v>
      </c>
      <c r="BKN222" s="40" t="s">
        <v>91</v>
      </c>
      <c r="BKO222" s="40" t="s">
        <v>91</v>
      </c>
      <c r="BKP222" s="40" t="s">
        <v>91</v>
      </c>
      <c r="BKQ222" s="40" t="s">
        <v>91</v>
      </c>
      <c r="BKR222" s="40" t="s">
        <v>91</v>
      </c>
      <c r="BKS222" s="40" t="s">
        <v>91</v>
      </c>
      <c r="BKT222" s="40" t="s">
        <v>91</v>
      </c>
      <c r="BKU222" s="40" t="s">
        <v>91</v>
      </c>
      <c r="BKV222" s="40" t="s">
        <v>91</v>
      </c>
      <c r="BKW222" s="40" t="s">
        <v>91</v>
      </c>
      <c r="BKX222" s="40" t="s">
        <v>91</v>
      </c>
      <c r="BKY222" s="40" t="s">
        <v>91</v>
      </c>
      <c r="BKZ222" s="40" t="s">
        <v>91</v>
      </c>
      <c r="BLA222" s="40" t="s">
        <v>91</v>
      </c>
      <c r="BLB222" s="40" t="s">
        <v>91</v>
      </c>
      <c r="BLC222" s="40" t="s">
        <v>91</v>
      </c>
      <c r="BLD222" s="40" t="s">
        <v>91</v>
      </c>
      <c r="BLE222" s="40" t="s">
        <v>91</v>
      </c>
      <c r="BLF222" s="40" t="s">
        <v>91</v>
      </c>
      <c r="BLG222" s="40" t="s">
        <v>91</v>
      </c>
      <c r="BLH222" s="40" t="s">
        <v>91</v>
      </c>
      <c r="BLI222" s="40" t="s">
        <v>91</v>
      </c>
      <c r="BLJ222" s="40" t="s">
        <v>91</v>
      </c>
      <c r="BLK222" s="40" t="s">
        <v>91</v>
      </c>
      <c r="BLL222" s="40" t="s">
        <v>91</v>
      </c>
      <c r="BLM222" s="40" t="s">
        <v>91</v>
      </c>
      <c r="BLN222" s="40" t="s">
        <v>91</v>
      </c>
      <c r="BLO222" s="40" t="s">
        <v>91</v>
      </c>
      <c r="BLP222" s="40" t="s">
        <v>91</v>
      </c>
      <c r="BLQ222" s="40" t="s">
        <v>91</v>
      </c>
      <c r="BLR222" s="40" t="s">
        <v>91</v>
      </c>
      <c r="BLS222" s="40" t="s">
        <v>91</v>
      </c>
      <c r="BLT222" s="40" t="s">
        <v>91</v>
      </c>
      <c r="BLU222" s="40" t="s">
        <v>91</v>
      </c>
      <c r="BLV222" s="40" t="s">
        <v>91</v>
      </c>
      <c r="BLW222" s="40" t="s">
        <v>91</v>
      </c>
      <c r="BLX222" s="40" t="s">
        <v>91</v>
      </c>
      <c r="BLY222" s="40" t="s">
        <v>91</v>
      </c>
      <c r="BLZ222" s="40" t="s">
        <v>91</v>
      </c>
      <c r="BMA222" s="40" t="s">
        <v>91</v>
      </c>
      <c r="BMB222" s="40" t="s">
        <v>91</v>
      </c>
      <c r="BMC222" s="40" t="s">
        <v>91</v>
      </c>
      <c r="BMD222" s="40" t="s">
        <v>91</v>
      </c>
      <c r="BME222" s="40" t="s">
        <v>91</v>
      </c>
      <c r="BMF222" s="40" t="s">
        <v>91</v>
      </c>
      <c r="BMG222" s="40" t="s">
        <v>91</v>
      </c>
      <c r="BMH222" s="40" t="s">
        <v>91</v>
      </c>
      <c r="BMI222" s="40" t="s">
        <v>91</v>
      </c>
      <c r="BMJ222" s="40" t="s">
        <v>91</v>
      </c>
      <c r="BMK222" s="40" t="s">
        <v>91</v>
      </c>
      <c r="BML222" s="40" t="s">
        <v>91</v>
      </c>
      <c r="BMM222" s="40" t="s">
        <v>91</v>
      </c>
      <c r="BMN222" s="40" t="s">
        <v>91</v>
      </c>
      <c r="BMO222" s="40" t="s">
        <v>91</v>
      </c>
      <c r="BMP222" s="40" t="s">
        <v>91</v>
      </c>
      <c r="BMQ222" s="40" t="s">
        <v>91</v>
      </c>
      <c r="BMR222" s="40" t="s">
        <v>91</v>
      </c>
      <c r="BMS222" s="40" t="s">
        <v>91</v>
      </c>
      <c r="BMT222" s="40" t="s">
        <v>91</v>
      </c>
      <c r="BMU222" s="40" t="s">
        <v>91</v>
      </c>
      <c r="BMV222" s="40" t="s">
        <v>91</v>
      </c>
      <c r="BMW222" s="40" t="s">
        <v>91</v>
      </c>
      <c r="BMX222" s="40" t="s">
        <v>91</v>
      </c>
      <c r="BMY222" s="40" t="s">
        <v>91</v>
      </c>
      <c r="BMZ222" s="40" t="s">
        <v>91</v>
      </c>
      <c r="BNA222" s="40" t="s">
        <v>91</v>
      </c>
      <c r="BNB222" s="40" t="s">
        <v>91</v>
      </c>
      <c r="BNC222" s="40" t="s">
        <v>91</v>
      </c>
      <c r="BND222" s="40" t="s">
        <v>91</v>
      </c>
      <c r="BNE222" s="40" t="s">
        <v>91</v>
      </c>
      <c r="BNF222" s="40" t="s">
        <v>91</v>
      </c>
      <c r="BNG222" s="40" t="s">
        <v>91</v>
      </c>
      <c r="BNH222" s="40" t="s">
        <v>91</v>
      </c>
      <c r="BNI222" s="40" t="s">
        <v>91</v>
      </c>
      <c r="BNJ222" s="40" t="s">
        <v>91</v>
      </c>
      <c r="BNK222" s="40" t="s">
        <v>91</v>
      </c>
      <c r="BNL222" s="40" t="s">
        <v>91</v>
      </c>
      <c r="BNM222" s="40" t="s">
        <v>91</v>
      </c>
      <c r="BNN222" s="40" t="s">
        <v>91</v>
      </c>
      <c r="BNO222" s="40" t="s">
        <v>91</v>
      </c>
      <c r="BNP222" s="40" t="s">
        <v>91</v>
      </c>
      <c r="BNQ222" s="40" t="s">
        <v>91</v>
      </c>
      <c r="BNR222" s="40" t="s">
        <v>91</v>
      </c>
      <c r="BNS222" s="40" t="s">
        <v>91</v>
      </c>
      <c r="BNT222" s="40" t="s">
        <v>91</v>
      </c>
      <c r="BNU222" s="40" t="s">
        <v>91</v>
      </c>
      <c r="BNV222" s="40" t="s">
        <v>91</v>
      </c>
      <c r="BNW222" s="40" t="s">
        <v>91</v>
      </c>
      <c r="BNX222" s="40" t="s">
        <v>91</v>
      </c>
      <c r="BNY222" s="40" t="s">
        <v>91</v>
      </c>
      <c r="BNZ222" s="40" t="s">
        <v>91</v>
      </c>
      <c r="BOA222" s="40" t="s">
        <v>91</v>
      </c>
      <c r="BOB222" s="40" t="s">
        <v>91</v>
      </c>
      <c r="BOC222" s="40" t="s">
        <v>91</v>
      </c>
      <c r="BOD222" s="40" t="s">
        <v>91</v>
      </c>
      <c r="BOE222" s="40" t="s">
        <v>91</v>
      </c>
      <c r="BOF222" s="40" t="s">
        <v>91</v>
      </c>
      <c r="BOG222" s="40" t="s">
        <v>91</v>
      </c>
      <c r="BOH222" s="40" t="s">
        <v>91</v>
      </c>
      <c r="BOI222" s="40" t="s">
        <v>91</v>
      </c>
      <c r="BOJ222" s="40" t="s">
        <v>91</v>
      </c>
      <c r="BOK222" s="40" t="s">
        <v>91</v>
      </c>
      <c r="BOL222" s="40" t="s">
        <v>91</v>
      </c>
      <c r="BOM222" s="40" t="s">
        <v>91</v>
      </c>
      <c r="BON222" s="40" t="s">
        <v>91</v>
      </c>
      <c r="BOO222" s="40" t="s">
        <v>91</v>
      </c>
      <c r="BOP222" s="40" t="s">
        <v>91</v>
      </c>
      <c r="BOQ222" s="40" t="s">
        <v>91</v>
      </c>
      <c r="BOR222" s="40" t="s">
        <v>91</v>
      </c>
      <c r="BOS222" s="40" t="s">
        <v>91</v>
      </c>
      <c r="BOT222" s="40" t="s">
        <v>91</v>
      </c>
      <c r="BOU222" s="40" t="s">
        <v>91</v>
      </c>
      <c r="BOV222" s="40" t="s">
        <v>91</v>
      </c>
      <c r="BOW222" s="40" t="s">
        <v>91</v>
      </c>
      <c r="BOX222" s="40" t="s">
        <v>91</v>
      </c>
      <c r="BOY222" s="40" t="s">
        <v>91</v>
      </c>
      <c r="BOZ222" s="40" t="s">
        <v>91</v>
      </c>
      <c r="BPA222" s="40" t="s">
        <v>91</v>
      </c>
      <c r="BPB222" s="40" t="s">
        <v>91</v>
      </c>
      <c r="BPC222" s="40" t="s">
        <v>91</v>
      </c>
      <c r="BPD222" s="40" t="s">
        <v>91</v>
      </c>
      <c r="BPE222" s="40" t="s">
        <v>91</v>
      </c>
      <c r="BPF222" s="40" t="s">
        <v>91</v>
      </c>
      <c r="BPG222" s="40" t="s">
        <v>91</v>
      </c>
      <c r="BPH222" s="40" t="s">
        <v>91</v>
      </c>
      <c r="BPI222" s="40" t="s">
        <v>91</v>
      </c>
      <c r="BPJ222" s="40" t="s">
        <v>91</v>
      </c>
      <c r="BPK222" s="40" t="s">
        <v>91</v>
      </c>
      <c r="BPL222" s="40" t="s">
        <v>91</v>
      </c>
      <c r="BPM222" s="40" t="s">
        <v>91</v>
      </c>
      <c r="BPN222" s="40" t="s">
        <v>91</v>
      </c>
      <c r="BPO222" s="40" t="s">
        <v>91</v>
      </c>
      <c r="BPP222" s="40" t="s">
        <v>91</v>
      </c>
      <c r="BPQ222" s="40" t="s">
        <v>91</v>
      </c>
      <c r="BPR222" s="40" t="s">
        <v>91</v>
      </c>
      <c r="BPS222" s="40" t="s">
        <v>91</v>
      </c>
      <c r="BPT222" s="40" t="s">
        <v>91</v>
      </c>
      <c r="BPU222" s="40" t="s">
        <v>91</v>
      </c>
      <c r="BPV222" s="40" t="s">
        <v>91</v>
      </c>
      <c r="BPW222" s="40" t="s">
        <v>91</v>
      </c>
      <c r="BPX222" s="40" t="s">
        <v>91</v>
      </c>
      <c r="BPY222" s="40" t="s">
        <v>91</v>
      </c>
      <c r="BPZ222" s="40" t="s">
        <v>91</v>
      </c>
      <c r="BQA222" s="40" t="s">
        <v>91</v>
      </c>
      <c r="BQB222" s="40" t="s">
        <v>91</v>
      </c>
      <c r="BQC222" s="40" t="s">
        <v>91</v>
      </c>
      <c r="BQD222" s="40" t="s">
        <v>91</v>
      </c>
      <c r="BQE222" s="40" t="s">
        <v>91</v>
      </c>
      <c r="BQF222" s="40" t="s">
        <v>91</v>
      </c>
      <c r="BQG222" s="40" t="s">
        <v>91</v>
      </c>
      <c r="BQH222" s="40" t="s">
        <v>91</v>
      </c>
      <c r="BQI222" s="40" t="s">
        <v>91</v>
      </c>
      <c r="BQJ222" s="40" t="s">
        <v>91</v>
      </c>
      <c r="BQK222" s="40" t="s">
        <v>91</v>
      </c>
      <c r="BQL222" s="40" t="s">
        <v>91</v>
      </c>
      <c r="BQM222" s="40" t="s">
        <v>91</v>
      </c>
      <c r="BQN222" s="40" t="s">
        <v>91</v>
      </c>
      <c r="BQO222" s="40" t="s">
        <v>91</v>
      </c>
      <c r="BQP222" s="40" t="s">
        <v>91</v>
      </c>
      <c r="BQQ222" s="40" t="s">
        <v>91</v>
      </c>
      <c r="BQR222" s="40" t="s">
        <v>91</v>
      </c>
      <c r="BQS222" s="40" t="s">
        <v>91</v>
      </c>
      <c r="BQT222" s="40" t="s">
        <v>91</v>
      </c>
      <c r="BQU222" s="40" t="s">
        <v>91</v>
      </c>
      <c r="BQV222" s="40" t="s">
        <v>91</v>
      </c>
      <c r="BQW222" s="40" t="s">
        <v>91</v>
      </c>
      <c r="BQX222" s="40" t="s">
        <v>91</v>
      </c>
      <c r="BQY222" s="40" t="s">
        <v>91</v>
      </c>
      <c r="BQZ222" s="40" t="s">
        <v>91</v>
      </c>
      <c r="BRA222" s="40" t="s">
        <v>91</v>
      </c>
      <c r="BRB222" s="40" t="s">
        <v>91</v>
      </c>
      <c r="BRC222" s="40" t="s">
        <v>91</v>
      </c>
      <c r="BRD222" s="40" t="s">
        <v>91</v>
      </c>
      <c r="BRE222" s="40" t="s">
        <v>91</v>
      </c>
      <c r="BRF222" s="40" t="s">
        <v>91</v>
      </c>
      <c r="BRG222" s="40" t="s">
        <v>91</v>
      </c>
      <c r="BRH222" s="40" t="s">
        <v>91</v>
      </c>
      <c r="BRI222" s="40" t="s">
        <v>91</v>
      </c>
      <c r="BRJ222" s="40" t="s">
        <v>91</v>
      </c>
      <c r="BRK222" s="40" t="s">
        <v>91</v>
      </c>
      <c r="BRL222" s="40" t="s">
        <v>91</v>
      </c>
      <c r="BRM222" s="40" t="s">
        <v>91</v>
      </c>
      <c r="BRN222" s="40" t="s">
        <v>91</v>
      </c>
      <c r="BRO222" s="40" t="s">
        <v>91</v>
      </c>
      <c r="BRP222" s="40" t="s">
        <v>91</v>
      </c>
      <c r="BRQ222" s="40" t="s">
        <v>91</v>
      </c>
      <c r="BRR222" s="40" t="s">
        <v>91</v>
      </c>
      <c r="BRS222" s="40" t="s">
        <v>91</v>
      </c>
      <c r="BRT222" s="40" t="s">
        <v>91</v>
      </c>
      <c r="BRU222" s="40" t="s">
        <v>91</v>
      </c>
      <c r="BRV222" s="40" t="s">
        <v>91</v>
      </c>
      <c r="BRW222" s="40" t="s">
        <v>91</v>
      </c>
      <c r="BRX222" s="40" t="s">
        <v>91</v>
      </c>
      <c r="BRY222" s="40" t="s">
        <v>91</v>
      </c>
      <c r="BRZ222" s="40" t="s">
        <v>91</v>
      </c>
      <c r="BSA222" s="40" t="s">
        <v>91</v>
      </c>
      <c r="BSB222" s="40" t="s">
        <v>91</v>
      </c>
      <c r="BSC222" s="40" t="s">
        <v>91</v>
      </c>
      <c r="BSD222" s="40" t="s">
        <v>91</v>
      </c>
      <c r="BSE222" s="40" t="s">
        <v>91</v>
      </c>
      <c r="BSF222" s="40" t="s">
        <v>91</v>
      </c>
      <c r="BSG222" s="40" t="s">
        <v>91</v>
      </c>
      <c r="BSH222" s="40" t="s">
        <v>91</v>
      </c>
      <c r="BSI222" s="40" t="s">
        <v>91</v>
      </c>
      <c r="BSJ222" s="40" t="s">
        <v>91</v>
      </c>
      <c r="BSK222" s="40" t="s">
        <v>91</v>
      </c>
      <c r="BSL222" s="40" t="s">
        <v>91</v>
      </c>
      <c r="BSM222" s="40" t="s">
        <v>91</v>
      </c>
      <c r="BSN222" s="40" t="s">
        <v>91</v>
      </c>
      <c r="BSO222" s="40" t="s">
        <v>91</v>
      </c>
      <c r="BSP222" s="40" t="s">
        <v>91</v>
      </c>
      <c r="BSQ222" s="40" t="s">
        <v>91</v>
      </c>
      <c r="BSR222" s="40" t="s">
        <v>91</v>
      </c>
      <c r="BSS222" s="40" t="s">
        <v>91</v>
      </c>
      <c r="BST222" s="40" t="s">
        <v>91</v>
      </c>
      <c r="BSU222" s="40" t="s">
        <v>91</v>
      </c>
      <c r="BSV222" s="40" t="s">
        <v>91</v>
      </c>
      <c r="BSW222" s="40" t="s">
        <v>91</v>
      </c>
      <c r="BSX222" s="40" t="s">
        <v>91</v>
      </c>
      <c r="BSY222" s="40" t="s">
        <v>91</v>
      </c>
      <c r="BSZ222" s="40" t="s">
        <v>91</v>
      </c>
      <c r="BTA222" s="40" t="s">
        <v>91</v>
      </c>
      <c r="BTB222" s="40" t="s">
        <v>91</v>
      </c>
      <c r="BTC222" s="40" t="s">
        <v>91</v>
      </c>
      <c r="BTD222" s="40" t="s">
        <v>91</v>
      </c>
      <c r="BTE222" s="40" t="s">
        <v>91</v>
      </c>
      <c r="BTF222" s="40" t="s">
        <v>91</v>
      </c>
      <c r="BTG222" s="40" t="s">
        <v>91</v>
      </c>
      <c r="BTH222" s="40" t="s">
        <v>91</v>
      </c>
      <c r="BTI222" s="40" t="s">
        <v>91</v>
      </c>
      <c r="BTJ222" s="40" t="s">
        <v>91</v>
      </c>
      <c r="BTK222" s="40" t="s">
        <v>91</v>
      </c>
      <c r="BTL222" s="40" t="s">
        <v>91</v>
      </c>
      <c r="BTM222" s="40" t="s">
        <v>91</v>
      </c>
      <c r="BTN222" s="40" t="s">
        <v>91</v>
      </c>
      <c r="BTO222" s="40" t="s">
        <v>91</v>
      </c>
      <c r="BTP222" s="40" t="s">
        <v>91</v>
      </c>
      <c r="BTQ222" s="40" t="s">
        <v>91</v>
      </c>
      <c r="BTR222" s="40" t="s">
        <v>91</v>
      </c>
      <c r="BTS222" s="40" t="s">
        <v>91</v>
      </c>
      <c r="BTT222" s="40" t="s">
        <v>91</v>
      </c>
      <c r="BTU222" s="40" t="s">
        <v>91</v>
      </c>
      <c r="BTV222" s="40" t="s">
        <v>91</v>
      </c>
      <c r="BTW222" s="40" t="s">
        <v>91</v>
      </c>
      <c r="BTX222" s="40" t="s">
        <v>91</v>
      </c>
      <c r="BTY222" s="40" t="s">
        <v>91</v>
      </c>
      <c r="BTZ222" s="40" t="s">
        <v>91</v>
      </c>
      <c r="BUA222" s="40" t="s">
        <v>91</v>
      </c>
      <c r="BUB222" s="40" t="s">
        <v>91</v>
      </c>
      <c r="BUC222" s="40" t="s">
        <v>91</v>
      </c>
      <c r="BUD222" s="40" t="s">
        <v>91</v>
      </c>
      <c r="BUE222" s="40" t="s">
        <v>91</v>
      </c>
      <c r="BUF222" s="40" t="s">
        <v>91</v>
      </c>
      <c r="BUG222" s="40" t="s">
        <v>91</v>
      </c>
      <c r="BUH222" s="40" t="s">
        <v>91</v>
      </c>
      <c r="BUI222" s="40" t="s">
        <v>91</v>
      </c>
      <c r="BUJ222" s="40" t="s">
        <v>91</v>
      </c>
      <c r="BUK222" s="40" t="s">
        <v>91</v>
      </c>
      <c r="BUL222" s="40" t="s">
        <v>91</v>
      </c>
      <c r="BUM222" s="40" t="s">
        <v>91</v>
      </c>
      <c r="BUN222" s="40" t="s">
        <v>91</v>
      </c>
      <c r="BUO222" s="40" t="s">
        <v>91</v>
      </c>
      <c r="BUP222" s="40" t="s">
        <v>91</v>
      </c>
      <c r="BUQ222" s="40" t="s">
        <v>91</v>
      </c>
      <c r="BUR222" s="40" t="s">
        <v>91</v>
      </c>
      <c r="BUS222" s="40" t="s">
        <v>91</v>
      </c>
      <c r="BUT222" s="40" t="s">
        <v>91</v>
      </c>
      <c r="BUU222" s="40" t="s">
        <v>91</v>
      </c>
      <c r="BUV222" s="40" t="s">
        <v>91</v>
      </c>
      <c r="BUW222" s="40" t="s">
        <v>91</v>
      </c>
      <c r="BUX222" s="40" t="s">
        <v>91</v>
      </c>
      <c r="BUY222" s="40" t="s">
        <v>91</v>
      </c>
      <c r="BUZ222" s="40" t="s">
        <v>91</v>
      </c>
      <c r="BVA222" s="40" t="s">
        <v>91</v>
      </c>
      <c r="BVB222" s="40" t="s">
        <v>91</v>
      </c>
      <c r="BVC222" s="40" t="s">
        <v>91</v>
      </c>
      <c r="BVD222" s="40" t="s">
        <v>91</v>
      </c>
      <c r="BVE222" s="40" t="s">
        <v>91</v>
      </c>
      <c r="BVF222" s="40" t="s">
        <v>91</v>
      </c>
      <c r="BVG222" s="40" t="s">
        <v>91</v>
      </c>
      <c r="BVH222" s="40" t="s">
        <v>91</v>
      </c>
      <c r="BVI222" s="40" t="s">
        <v>91</v>
      </c>
      <c r="BVJ222" s="40" t="s">
        <v>91</v>
      </c>
      <c r="BVK222" s="40" t="s">
        <v>91</v>
      </c>
      <c r="BVL222" s="40" t="s">
        <v>91</v>
      </c>
      <c r="BVM222" s="40" t="s">
        <v>91</v>
      </c>
      <c r="BVN222" s="40" t="s">
        <v>91</v>
      </c>
      <c r="BVO222" s="40" t="s">
        <v>91</v>
      </c>
      <c r="BVP222" s="40" t="s">
        <v>91</v>
      </c>
      <c r="BVQ222" s="40" t="s">
        <v>91</v>
      </c>
      <c r="BVR222" s="40" t="s">
        <v>91</v>
      </c>
      <c r="BVS222" s="40" t="s">
        <v>91</v>
      </c>
      <c r="BVT222" s="40" t="s">
        <v>91</v>
      </c>
      <c r="BVU222" s="40" t="s">
        <v>91</v>
      </c>
      <c r="BVV222" s="40" t="s">
        <v>91</v>
      </c>
      <c r="BVW222" s="40" t="s">
        <v>91</v>
      </c>
      <c r="BVX222" s="40" t="s">
        <v>91</v>
      </c>
      <c r="BVY222" s="40" t="s">
        <v>91</v>
      </c>
      <c r="BVZ222" s="40" t="s">
        <v>91</v>
      </c>
      <c r="BWA222" s="40" t="s">
        <v>91</v>
      </c>
      <c r="BWB222" s="40" t="s">
        <v>91</v>
      </c>
      <c r="BWC222" s="40" t="s">
        <v>91</v>
      </c>
      <c r="BWD222" s="40" t="s">
        <v>91</v>
      </c>
      <c r="BWE222" s="40" t="s">
        <v>91</v>
      </c>
      <c r="BWF222" s="40" t="s">
        <v>91</v>
      </c>
      <c r="BWG222" s="40" t="s">
        <v>91</v>
      </c>
      <c r="BWH222" s="40" t="s">
        <v>91</v>
      </c>
      <c r="BWI222" s="40" t="s">
        <v>91</v>
      </c>
      <c r="BWJ222" s="40" t="s">
        <v>91</v>
      </c>
      <c r="BWK222" s="40" t="s">
        <v>91</v>
      </c>
      <c r="BWL222" s="40" t="s">
        <v>91</v>
      </c>
      <c r="BWM222" s="40" t="s">
        <v>91</v>
      </c>
      <c r="BWN222" s="40" t="s">
        <v>91</v>
      </c>
      <c r="BWO222" s="40" t="s">
        <v>91</v>
      </c>
      <c r="BWP222" s="40" t="s">
        <v>91</v>
      </c>
      <c r="BWQ222" s="40" t="s">
        <v>91</v>
      </c>
      <c r="BWR222" s="40" t="s">
        <v>91</v>
      </c>
      <c r="BWS222" s="40" t="s">
        <v>91</v>
      </c>
      <c r="BWT222" s="40" t="s">
        <v>91</v>
      </c>
      <c r="BWU222" s="40" t="s">
        <v>91</v>
      </c>
      <c r="BWV222" s="40" t="s">
        <v>91</v>
      </c>
      <c r="BWW222" s="40" t="s">
        <v>91</v>
      </c>
      <c r="BWX222" s="40" t="s">
        <v>91</v>
      </c>
      <c r="BWY222" s="40" t="s">
        <v>91</v>
      </c>
      <c r="BWZ222" s="40" t="s">
        <v>91</v>
      </c>
      <c r="BXA222" s="40" t="s">
        <v>91</v>
      </c>
      <c r="BXB222" s="40" t="s">
        <v>91</v>
      </c>
      <c r="BXC222" s="40" t="s">
        <v>91</v>
      </c>
      <c r="BXD222" s="40" t="s">
        <v>91</v>
      </c>
      <c r="BXE222" s="40" t="s">
        <v>91</v>
      </c>
      <c r="BXF222" s="40" t="s">
        <v>91</v>
      </c>
      <c r="BXG222" s="40" t="s">
        <v>91</v>
      </c>
      <c r="BXH222" s="40" t="s">
        <v>91</v>
      </c>
      <c r="BXI222" s="40" t="s">
        <v>91</v>
      </c>
      <c r="BXJ222" s="40" t="s">
        <v>91</v>
      </c>
      <c r="BXK222" s="40" t="s">
        <v>91</v>
      </c>
      <c r="BXL222" s="40" t="s">
        <v>91</v>
      </c>
      <c r="BXM222" s="40" t="s">
        <v>91</v>
      </c>
      <c r="BXN222" s="40" t="s">
        <v>91</v>
      </c>
      <c r="BXO222" s="40" t="s">
        <v>91</v>
      </c>
      <c r="BXP222" s="40" t="s">
        <v>91</v>
      </c>
      <c r="BXQ222" s="40" t="s">
        <v>91</v>
      </c>
      <c r="BXR222" s="40" t="s">
        <v>91</v>
      </c>
      <c r="BXS222" s="40" t="s">
        <v>91</v>
      </c>
      <c r="BXT222" s="40" t="s">
        <v>91</v>
      </c>
      <c r="BXU222" s="40" t="s">
        <v>91</v>
      </c>
      <c r="BXV222" s="40" t="s">
        <v>91</v>
      </c>
      <c r="BXW222" s="40" t="s">
        <v>91</v>
      </c>
      <c r="BXX222" s="40" t="s">
        <v>91</v>
      </c>
      <c r="BXY222" s="40" t="s">
        <v>91</v>
      </c>
      <c r="BXZ222" s="40" t="s">
        <v>91</v>
      </c>
      <c r="BYA222" s="40" t="s">
        <v>91</v>
      </c>
      <c r="BYB222" s="40" t="s">
        <v>91</v>
      </c>
      <c r="BYC222" s="40" t="s">
        <v>91</v>
      </c>
      <c r="BYD222" s="40" t="s">
        <v>91</v>
      </c>
      <c r="BYE222" s="40" t="s">
        <v>91</v>
      </c>
      <c r="BYF222" s="40" t="s">
        <v>91</v>
      </c>
      <c r="BYG222" s="40" t="s">
        <v>91</v>
      </c>
      <c r="BYH222" s="40" t="s">
        <v>91</v>
      </c>
      <c r="BYI222" s="40" t="s">
        <v>91</v>
      </c>
      <c r="BYJ222" s="40" t="s">
        <v>91</v>
      </c>
      <c r="BYK222" s="40" t="s">
        <v>91</v>
      </c>
      <c r="BYL222" s="40" t="s">
        <v>91</v>
      </c>
      <c r="BYM222" s="40" t="s">
        <v>91</v>
      </c>
      <c r="BYN222" s="40" t="s">
        <v>91</v>
      </c>
      <c r="BYO222" s="40" t="s">
        <v>91</v>
      </c>
      <c r="BYP222" s="40" t="s">
        <v>91</v>
      </c>
      <c r="BYQ222" s="40" t="s">
        <v>91</v>
      </c>
      <c r="BYR222" s="40" t="s">
        <v>91</v>
      </c>
      <c r="BYS222" s="40" t="s">
        <v>91</v>
      </c>
      <c r="BYT222" s="40" t="s">
        <v>91</v>
      </c>
      <c r="BYU222" s="40" t="s">
        <v>91</v>
      </c>
      <c r="BYV222" s="40" t="s">
        <v>91</v>
      </c>
      <c r="BYW222" s="40" t="s">
        <v>91</v>
      </c>
      <c r="BYX222" s="40" t="s">
        <v>91</v>
      </c>
      <c r="BYY222" s="40" t="s">
        <v>91</v>
      </c>
      <c r="BYZ222" s="40" t="s">
        <v>91</v>
      </c>
      <c r="BZA222" s="40" t="s">
        <v>91</v>
      </c>
      <c r="BZB222" s="40" t="s">
        <v>91</v>
      </c>
      <c r="BZC222" s="40" t="s">
        <v>91</v>
      </c>
      <c r="BZD222" s="40" t="s">
        <v>91</v>
      </c>
      <c r="BZE222" s="40" t="s">
        <v>91</v>
      </c>
      <c r="BZF222" s="40" t="s">
        <v>91</v>
      </c>
      <c r="BZG222" s="40" t="s">
        <v>91</v>
      </c>
      <c r="BZH222" s="40" t="s">
        <v>91</v>
      </c>
      <c r="BZI222" s="40" t="s">
        <v>91</v>
      </c>
      <c r="BZJ222" s="40" t="s">
        <v>91</v>
      </c>
      <c r="BZK222" s="40" t="s">
        <v>91</v>
      </c>
      <c r="BZL222" s="40" t="s">
        <v>91</v>
      </c>
      <c r="BZM222" s="40" t="s">
        <v>91</v>
      </c>
      <c r="BZN222" s="40" t="s">
        <v>91</v>
      </c>
      <c r="BZO222" s="40" t="s">
        <v>91</v>
      </c>
      <c r="BZP222" s="40" t="s">
        <v>91</v>
      </c>
      <c r="BZQ222" s="40" t="s">
        <v>91</v>
      </c>
      <c r="BZR222" s="40" t="s">
        <v>91</v>
      </c>
      <c r="BZS222" s="40" t="s">
        <v>91</v>
      </c>
      <c r="BZT222" s="40" t="s">
        <v>91</v>
      </c>
      <c r="BZU222" s="40" t="s">
        <v>91</v>
      </c>
      <c r="BZV222" s="40" t="s">
        <v>91</v>
      </c>
      <c r="BZW222" s="40" t="s">
        <v>91</v>
      </c>
      <c r="BZX222" s="40" t="s">
        <v>91</v>
      </c>
      <c r="BZY222" s="40" t="s">
        <v>91</v>
      </c>
      <c r="BZZ222" s="40" t="s">
        <v>91</v>
      </c>
      <c r="CAA222" s="40" t="s">
        <v>91</v>
      </c>
      <c r="CAB222" s="40" t="s">
        <v>91</v>
      </c>
      <c r="CAC222" s="40" t="s">
        <v>91</v>
      </c>
      <c r="CAD222" s="40" t="s">
        <v>91</v>
      </c>
      <c r="CAE222" s="40" t="s">
        <v>91</v>
      </c>
      <c r="CAF222" s="40" t="s">
        <v>91</v>
      </c>
      <c r="CAG222" s="40" t="s">
        <v>91</v>
      </c>
      <c r="CAH222" s="40" t="s">
        <v>91</v>
      </c>
      <c r="CAI222" s="40" t="s">
        <v>91</v>
      </c>
      <c r="CAJ222" s="40" t="s">
        <v>91</v>
      </c>
      <c r="CAK222" s="40" t="s">
        <v>91</v>
      </c>
      <c r="CAL222" s="40" t="s">
        <v>91</v>
      </c>
      <c r="CAM222" s="40" t="s">
        <v>91</v>
      </c>
      <c r="CAN222" s="40" t="s">
        <v>91</v>
      </c>
      <c r="CAO222" s="40" t="s">
        <v>91</v>
      </c>
      <c r="CAP222" s="40" t="s">
        <v>91</v>
      </c>
      <c r="CAQ222" s="40" t="s">
        <v>91</v>
      </c>
      <c r="CAR222" s="40" t="s">
        <v>91</v>
      </c>
      <c r="CAS222" s="40" t="s">
        <v>91</v>
      </c>
      <c r="CAT222" s="40" t="s">
        <v>91</v>
      </c>
      <c r="CAU222" s="40" t="s">
        <v>91</v>
      </c>
      <c r="CAV222" s="40" t="s">
        <v>91</v>
      </c>
      <c r="CAW222" s="40" t="s">
        <v>91</v>
      </c>
      <c r="CAX222" s="40" t="s">
        <v>91</v>
      </c>
      <c r="CAY222" s="40" t="s">
        <v>91</v>
      </c>
      <c r="CAZ222" s="40" t="s">
        <v>91</v>
      </c>
      <c r="CBA222" s="40" t="s">
        <v>91</v>
      </c>
      <c r="CBB222" s="40" t="s">
        <v>91</v>
      </c>
      <c r="CBC222" s="40" t="s">
        <v>91</v>
      </c>
      <c r="CBD222" s="40" t="s">
        <v>91</v>
      </c>
      <c r="CBE222" s="40" t="s">
        <v>91</v>
      </c>
      <c r="CBF222" s="40" t="s">
        <v>91</v>
      </c>
      <c r="CBG222" s="40" t="s">
        <v>91</v>
      </c>
      <c r="CBH222" s="40" t="s">
        <v>91</v>
      </c>
      <c r="CBI222" s="40" t="s">
        <v>91</v>
      </c>
      <c r="CBJ222" s="40" t="s">
        <v>91</v>
      </c>
      <c r="CBK222" s="40" t="s">
        <v>91</v>
      </c>
      <c r="CBL222" s="40" t="s">
        <v>91</v>
      </c>
      <c r="CBM222" s="40" t="s">
        <v>91</v>
      </c>
      <c r="CBN222" s="40" t="s">
        <v>91</v>
      </c>
      <c r="CBO222" s="40" t="s">
        <v>91</v>
      </c>
      <c r="CBP222" s="40" t="s">
        <v>91</v>
      </c>
      <c r="CBQ222" s="40" t="s">
        <v>91</v>
      </c>
      <c r="CBR222" s="40" t="s">
        <v>91</v>
      </c>
      <c r="CBS222" s="40" t="s">
        <v>91</v>
      </c>
      <c r="CBT222" s="40" t="s">
        <v>91</v>
      </c>
      <c r="CBU222" s="40" t="s">
        <v>91</v>
      </c>
      <c r="CBV222" s="40" t="s">
        <v>91</v>
      </c>
      <c r="CBW222" s="40" t="s">
        <v>91</v>
      </c>
      <c r="CBX222" s="40" t="s">
        <v>91</v>
      </c>
      <c r="CBY222" s="40" t="s">
        <v>91</v>
      </c>
      <c r="CBZ222" s="40" t="s">
        <v>91</v>
      </c>
      <c r="CCA222" s="40" t="s">
        <v>91</v>
      </c>
      <c r="CCB222" s="40" t="s">
        <v>91</v>
      </c>
      <c r="CCC222" s="40" t="s">
        <v>91</v>
      </c>
      <c r="CCD222" s="40" t="s">
        <v>91</v>
      </c>
      <c r="CCE222" s="40" t="s">
        <v>91</v>
      </c>
      <c r="CCF222" s="40" t="s">
        <v>91</v>
      </c>
      <c r="CCG222" s="40" t="s">
        <v>91</v>
      </c>
      <c r="CCH222" s="40" t="s">
        <v>91</v>
      </c>
      <c r="CCI222" s="40" t="s">
        <v>91</v>
      </c>
      <c r="CCJ222" s="40" t="s">
        <v>91</v>
      </c>
      <c r="CCK222" s="40" t="s">
        <v>91</v>
      </c>
      <c r="CCL222" s="40" t="s">
        <v>91</v>
      </c>
      <c r="CCM222" s="40" t="s">
        <v>91</v>
      </c>
      <c r="CCN222" s="40" t="s">
        <v>91</v>
      </c>
      <c r="CCO222" s="40" t="s">
        <v>91</v>
      </c>
      <c r="CCP222" s="40" t="s">
        <v>91</v>
      </c>
      <c r="CCQ222" s="40" t="s">
        <v>91</v>
      </c>
      <c r="CCR222" s="40" t="s">
        <v>91</v>
      </c>
      <c r="CCS222" s="40" t="s">
        <v>91</v>
      </c>
      <c r="CCT222" s="40" t="s">
        <v>91</v>
      </c>
      <c r="CCU222" s="40" t="s">
        <v>91</v>
      </c>
      <c r="CCV222" s="40" t="s">
        <v>91</v>
      </c>
      <c r="CCW222" s="40" t="s">
        <v>91</v>
      </c>
      <c r="CCX222" s="40" t="s">
        <v>91</v>
      </c>
      <c r="CCY222" s="40" t="s">
        <v>91</v>
      </c>
      <c r="CCZ222" s="40" t="s">
        <v>91</v>
      </c>
      <c r="CDA222" s="40" t="s">
        <v>91</v>
      </c>
      <c r="CDB222" s="40" t="s">
        <v>91</v>
      </c>
      <c r="CDC222" s="40" t="s">
        <v>91</v>
      </c>
      <c r="CDD222" s="40" t="s">
        <v>91</v>
      </c>
      <c r="CDE222" s="40" t="s">
        <v>91</v>
      </c>
      <c r="CDF222" s="40" t="s">
        <v>91</v>
      </c>
      <c r="CDG222" s="40" t="s">
        <v>91</v>
      </c>
      <c r="CDH222" s="40" t="s">
        <v>91</v>
      </c>
      <c r="CDI222" s="40" t="s">
        <v>91</v>
      </c>
      <c r="CDJ222" s="40" t="s">
        <v>91</v>
      </c>
      <c r="CDK222" s="40" t="s">
        <v>91</v>
      </c>
      <c r="CDL222" s="40" t="s">
        <v>91</v>
      </c>
      <c r="CDM222" s="40" t="s">
        <v>91</v>
      </c>
      <c r="CDN222" s="40" t="s">
        <v>91</v>
      </c>
      <c r="CDO222" s="40" t="s">
        <v>91</v>
      </c>
      <c r="CDP222" s="40" t="s">
        <v>91</v>
      </c>
      <c r="CDQ222" s="40" t="s">
        <v>91</v>
      </c>
      <c r="CDR222" s="40" t="s">
        <v>91</v>
      </c>
      <c r="CDS222" s="40" t="s">
        <v>91</v>
      </c>
      <c r="CDT222" s="40" t="s">
        <v>91</v>
      </c>
      <c r="CDU222" s="40" t="s">
        <v>91</v>
      </c>
      <c r="CDV222" s="40" t="s">
        <v>91</v>
      </c>
      <c r="CDW222" s="40" t="s">
        <v>91</v>
      </c>
      <c r="CDX222" s="40" t="s">
        <v>91</v>
      </c>
      <c r="CDY222" s="40" t="s">
        <v>91</v>
      </c>
      <c r="CDZ222" s="40" t="s">
        <v>91</v>
      </c>
      <c r="CEA222" s="40" t="s">
        <v>91</v>
      </c>
      <c r="CEB222" s="40" t="s">
        <v>91</v>
      </c>
      <c r="CEC222" s="40" t="s">
        <v>91</v>
      </c>
      <c r="CED222" s="40" t="s">
        <v>91</v>
      </c>
      <c r="CEE222" s="40" t="s">
        <v>91</v>
      </c>
      <c r="CEF222" s="40" t="s">
        <v>91</v>
      </c>
      <c r="CEG222" s="40" t="s">
        <v>91</v>
      </c>
      <c r="CEH222" s="40" t="s">
        <v>91</v>
      </c>
      <c r="CEI222" s="40" t="s">
        <v>91</v>
      </c>
      <c r="CEJ222" s="40" t="s">
        <v>91</v>
      </c>
      <c r="CEK222" s="40" t="s">
        <v>91</v>
      </c>
      <c r="CEL222" s="40" t="s">
        <v>91</v>
      </c>
      <c r="CEM222" s="40" t="s">
        <v>91</v>
      </c>
      <c r="CEN222" s="40" t="s">
        <v>91</v>
      </c>
      <c r="CEO222" s="40" t="s">
        <v>91</v>
      </c>
      <c r="CEP222" s="40" t="s">
        <v>91</v>
      </c>
      <c r="CEQ222" s="40" t="s">
        <v>91</v>
      </c>
      <c r="CER222" s="40" t="s">
        <v>91</v>
      </c>
      <c r="CES222" s="40" t="s">
        <v>91</v>
      </c>
      <c r="CET222" s="40" t="s">
        <v>91</v>
      </c>
      <c r="CEU222" s="40" t="s">
        <v>91</v>
      </c>
      <c r="CEV222" s="40" t="s">
        <v>91</v>
      </c>
      <c r="CEW222" s="40" t="s">
        <v>91</v>
      </c>
      <c r="CEX222" s="40" t="s">
        <v>91</v>
      </c>
      <c r="CEY222" s="40" t="s">
        <v>91</v>
      </c>
      <c r="CEZ222" s="40" t="s">
        <v>91</v>
      </c>
      <c r="CFA222" s="40" t="s">
        <v>91</v>
      </c>
      <c r="CFB222" s="40" t="s">
        <v>91</v>
      </c>
      <c r="CFC222" s="40" t="s">
        <v>91</v>
      </c>
      <c r="CFD222" s="40" t="s">
        <v>91</v>
      </c>
      <c r="CFE222" s="40" t="s">
        <v>91</v>
      </c>
      <c r="CFF222" s="40" t="s">
        <v>91</v>
      </c>
      <c r="CFG222" s="40" t="s">
        <v>91</v>
      </c>
      <c r="CFH222" s="40" t="s">
        <v>91</v>
      </c>
      <c r="CFI222" s="40" t="s">
        <v>91</v>
      </c>
      <c r="CFJ222" s="40" t="s">
        <v>91</v>
      </c>
      <c r="CFK222" s="40" t="s">
        <v>91</v>
      </c>
      <c r="CFL222" s="40" t="s">
        <v>91</v>
      </c>
      <c r="CFM222" s="40" t="s">
        <v>91</v>
      </c>
      <c r="CFN222" s="40" t="s">
        <v>91</v>
      </c>
      <c r="CFO222" s="40" t="s">
        <v>91</v>
      </c>
      <c r="CFP222" s="40" t="s">
        <v>91</v>
      </c>
      <c r="CFQ222" s="40" t="s">
        <v>91</v>
      </c>
      <c r="CFR222" s="40" t="s">
        <v>91</v>
      </c>
      <c r="CFS222" s="40" t="s">
        <v>91</v>
      </c>
      <c r="CFT222" s="40" t="s">
        <v>91</v>
      </c>
      <c r="CFU222" s="40" t="s">
        <v>91</v>
      </c>
      <c r="CFV222" s="40" t="s">
        <v>91</v>
      </c>
      <c r="CFW222" s="40" t="s">
        <v>91</v>
      </c>
      <c r="CFX222" s="40" t="s">
        <v>91</v>
      </c>
      <c r="CFY222" s="40" t="s">
        <v>91</v>
      </c>
      <c r="CFZ222" s="40" t="s">
        <v>91</v>
      </c>
      <c r="CGA222" s="40" t="s">
        <v>91</v>
      </c>
      <c r="CGB222" s="40" t="s">
        <v>91</v>
      </c>
      <c r="CGC222" s="40" t="s">
        <v>91</v>
      </c>
      <c r="CGD222" s="40" t="s">
        <v>91</v>
      </c>
      <c r="CGE222" s="40" t="s">
        <v>91</v>
      </c>
      <c r="CGF222" s="40" t="s">
        <v>91</v>
      </c>
      <c r="CGG222" s="40" t="s">
        <v>91</v>
      </c>
      <c r="CGH222" s="40" t="s">
        <v>91</v>
      </c>
      <c r="CGI222" s="40" t="s">
        <v>91</v>
      </c>
      <c r="CGJ222" s="40" t="s">
        <v>91</v>
      </c>
      <c r="CGK222" s="40" t="s">
        <v>91</v>
      </c>
      <c r="CGL222" s="40" t="s">
        <v>91</v>
      </c>
      <c r="CGM222" s="40" t="s">
        <v>91</v>
      </c>
      <c r="CGN222" s="40" t="s">
        <v>91</v>
      </c>
      <c r="CGO222" s="40" t="s">
        <v>91</v>
      </c>
      <c r="CGP222" s="40" t="s">
        <v>91</v>
      </c>
      <c r="CGQ222" s="40" t="s">
        <v>91</v>
      </c>
      <c r="CGR222" s="40" t="s">
        <v>91</v>
      </c>
      <c r="CGS222" s="40" t="s">
        <v>91</v>
      </c>
      <c r="CGT222" s="40" t="s">
        <v>91</v>
      </c>
      <c r="CGU222" s="40" t="s">
        <v>91</v>
      </c>
      <c r="CGV222" s="40" t="s">
        <v>91</v>
      </c>
      <c r="CGW222" s="40" t="s">
        <v>91</v>
      </c>
      <c r="CGX222" s="40" t="s">
        <v>91</v>
      </c>
      <c r="CGY222" s="40" t="s">
        <v>91</v>
      </c>
      <c r="CGZ222" s="40" t="s">
        <v>91</v>
      </c>
      <c r="CHA222" s="40" t="s">
        <v>91</v>
      </c>
      <c r="CHB222" s="40" t="s">
        <v>91</v>
      </c>
      <c r="CHC222" s="40" t="s">
        <v>91</v>
      </c>
      <c r="CHD222" s="40" t="s">
        <v>91</v>
      </c>
      <c r="CHE222" s="40" t="s">
        <v>91</v>
      </c>
      <c r="CHF222" s="40" t="s">
        <v>91</v>
      </c>
      <c r="CHG222" s="40" t="s">
        <v>91</v>
      </c>
      <c r="CHH222" s="40" t="s">
        <v>91</v>
      </c>
      <c r="CHI222" s="40" t="s">
        <v>91</v>
      </c>
      <c r="CHJ222" s="40" t="s">
        <v>91</v>
      </c>
      <c r="CHK222" s="40" t="s">
        <v>91</v>
      </c>
      <c r="CHL222" s="40" t="s">
        <v>91</v>
      </c>
      <c r="CHM222" s="40" t="s">
        <v>91</v>
      </c>
      <c r="CHN222" s="40" t="s">
        <v>91</v>
      </c>
      <c r="CHO222" s="40" t="s">
        <v>91</v>
      </c>
      <c r="CHP222" s="40" t="s">
        <v>91</v>
      </c>
      <c r="CHQ222" s="40" t="s">
        <v>91</v>
      </c>
      <c r="CHR222" s="40" t="s">
        <v>91</v>
      </c>
      <c r="CHS222" s="40" t="s">
        <v>91</v>
      </c>
      <c r="CHT222" s="40" t="s">
        <v>91</v>
      </c>
      <c r="CHU222" s="40" t="s">
        <v>91</v>
      </c>
      <c r="CHV222" s="40" t="s">
        <v>91</v>
      </c>
      <c r="CHW222" s="40" t="s">
        <v>91</v>
      </c>
      <c r="CHX222" s="40" t="s">
        <v>91</v>
      </c>
      <c r="CHY222" s="40" t="s">
        <v>91</v>
      </c>
      <c r="CHZ222" s="40" t="s">
        <v>91</v>
      </c>
      <c r="CIA222" s="40" t="s">
        <v>91</v>
      </c>
      <c r="CIB222" s="40" t="s">
        <v>91</v>
      </c>
      <c r="CIC222" s="40" t="s">
        <v>91</v>
      </c>
      <c r="CID222" s="40" t="s">
        <v>91</v>
      </c>
      <c r="CIE222" s="40" t="s">
        <v>91</v>
      </c>
      <c r="CIF222" s="40" t="s">
        <v>91</v>
      </c>
      <c r="CIG222" s="40" t="s">
        <v>91</v>
      </c>
      <c r="CIH222" s="40" t="s">
        <v>91</v>
      </c>
      <c r="CII222" s="40" t="s">
        <v>91</v>
      </c>
      <c r="CIJ222" s="40" t="s">
        <v>91</v>
      </c>
      <c r="CIK222" s="40" t="s">
        <v>91</v>
      </c>
      <c r="CIL222" s="40" t="s">
        <v>91</v>
      </c>
      <c r="CIM222" s="40" t="s">
        <v>91</v>
      </c>
      <c r="CIN222" s="40" t="s">
        <v>91</v>
      </c>
      <c r="CIO222" s="40" t="s">
        <v>91</v>
      </c>
      <c r="CIP222" s="40" t="s">
        <v>91</v>
      </c>
      <c r="CIQ222" s="40" t="s">
        <v>91</v>
      </c>
      <c r="CIR222" s="40" t="s">
        <v>91</v>
      </c>
      <c r="CIS222" s="40" t="s">
        <v>91</v>
      </c>
      <c r="CIT222" s="40" t="s">
        <v>91</v>
      </c>
      <c r="CIU222" s="40" t="s">
        <v>91</v>
      </c>
      <c r="CIV222" s="40" t="s">
        <v>91</v>
      </c>
      <c r="CIW222" s="40" t="s">
        <v>91</v>
      </c>
      <c r="CIX222" s="40" t="s">
        <v>91</v>
      </c>
      <c r="CIY222" s="40" t="s">
        <v>91</v>
      </c>
      <c r="CIZ222" s="40" t="s">
        <v>91</v>
      </c>
      <c r="CJA222" s="40" t="s">
        <v>91</v>
      </c>
      <c r="CJB222" s="40" t="s">
        <v>91</v>
      </c>
      <c r="CJC222" s="40" t="s">
        <v>91</v>
      </c>
      <c r="CJD222" s="40" t="s">
        <v>91</v>
      </c>
      <c r="CJE222" s="40" t="s">
        <v>91</v>
      </c>
      <c r="CJF222" s="40" t="s">
        <v>91</v>
      </c>
      <c r="CJG222" s="40" t="s">
        <v>91</v>
      </c>
      <c r="CJH222" s="40" t="s">
        <v>91</v>
      </c>
      <c r="CJI222" s="40" t="s">
        <v>91</v>
      </c>
      <c r="CJJ222" s="40" t="s">
        <v>91</v>
      </c>
      <c r="CJK222" s="40" t="s">
        <v>91</v>
      </c>
      <c r="CJL222" s="40" t="s">
        <v>91</v>
      </c>
      <c r="CJM222" s="40" t="s">
        <v>91</v>
      </c>
      <c r="CJN222" s="40" t="s">
        <v>91</v>
      </c>
      <c r="CJO222" s="40" t="s">
        <v>91</v>
      </c>
      <c r="CJP222" s="40" t="s">
        <v>91</v>
      </c>
      <c r="CJQ222" s="40" t="s">
        <v>91</v>
      </c>
      <c r="CJR222" s="40" t="s">
        <v>91</v>
      </c>
      <c r="CJS222" s="40" t="s">
        <v>91</v>
      </c>
      <c r="CJT222" s="40" t="s">
        <v>91</v>
      </c>
      <c r="CJU222" s="40" t="s">
        <v>91</v>
      </c>
      <c r="CJV222" s="40" t="s">
        <v>91</v>
      </c>
      <c r="CJW222" s="40" t="s">
        <v>91</v>
      </c>
      <c r="CJX222" s="40" t="s">
        <v>91</v>
      </c>
      <c r="CJY222" s="40" t="s">
        <v>91</v>
      </c>
      <c r="CJZ222" s="40" t="s">
        <v>91</v>
      </c>
      <c r="CKA222" s="40" t="s">
        <v>91</v>
      </c>
      <c r="CKB222" s="40" t="s">
        <v>91</v>
      </c>
      <c r="CKC222" s="40" t="s">
        <v>91</v>
      </c>
      <c r="CKD222" s="40" t="s">
        <v>91</v>
      </c>
      <c r="CKE222" s="40" t="s">
        <v>91</v>
      </c>
      <c r="CKF222" s="40" t="s">
        <v>91</v>
      </c>
      <c r="CKG222" s="40" t="s">
        <v>91</v>
      </c>
      <c r="CKH222" s="40" t="s">
        <v>91</v>
      </c>
      <c r="CKI222" s="40" t="s">
        <v>91</v>
      </c>
      <c r="CKJ222" s="40" t="s">
        <v>91</v>
      </c>
      <c r="CKK222" s="40" t="s">
        <v>91</v>
      </c>
      <c r="CKL222" s="40" t="s">
        <v>91</v>
      </c>
      <c r="CKM222" s="40" t="s">
        <v>91</v>
      </c>
      <c r="CKN222" s="40" t="s">
        <v>91</v>
      </c>
      <c r="CKO222" s="40" t="s">
        <v>91</v>
      </c>
      <c r="CKP222" s="40" t="s">
        <v>91</v>
      </c>
      <c r="CKQ222" s="40" t="s">
        <v>91</v>
      </c>
      <c r="CKR222" s="40" t="s">
        <v>91</v>
      </c>
      <c r="CKS222" s="40" t="s">
        <v>91</v>
      </c>
      <c r="CKT222" s="40" t="s">
        <v>91</v>
      </c>
      <c r="CKU222" s="40" t="s">
        <v>91</v>
      </c>
      <c r="CKV222" s="40" t="s">
        <v>91</v>
      </c>
      <c r="CKW222" s="40" t="s">
        <v>91</v>
      </c>
      <c r="CKX222" s="40" t="s">
        <v>91</v>
      </c>
      <c r="CKY222" s="40" t="s">
        <v>91</v>
      </c>
      <c r="CKZ222" s="40" t="s">
        <v>91</v>
      </c>
      <c r="CLA222" s="40" t="s">
        <v>91</v>
      </c>
      <c r="CLB222" s="40" t="s">
        <v>91</v>
      </c>
      <c r="CLC222" s="40" t="s">
        <v>91</v>
      </c>
      <c r="CLD222" s="40" t="s">
        <v>91</v>
      </c>
      <c r="CLE222" s="40" t="s">
        <v>91</v>
      </c>
      <c r="CLF222" s="40" t="s">
        <v>91</v>
      </c>
      <c r="CLG222" s="40" t="s">
        <v>91</v>
      </c>
      <c r="CLH222" s="40" t="s">
        <v>91</v>
      </c>
      <c r="CLI222" s="40" t="s">
        <v>91</v>
      </c>
      <c r="CLJ222" s="40" t="s">
        <v>91</v>
      </c>
      <c r="CLK222" s="40" t="s">
        <v>91</v>
      </c>
      <c r="CLL222" s="40" t="s">
        <v>91</v>
      </c>
      <c r="CLM222" s="40" t="s">
        <v>91</v>
      </c>
      <c r="CLN222" s="40" t="s">
        <v>91</v>
      </c>
      <c r="CLO222" s="40" t="s">
        <v>91</v>
      </c>
      <c r="CLP222" s="40" t="s">
        <v>91</v>
      </c>
      <c r="CLQ222" s="40" t="s">
        <v>91</v>
      </c>
      <c r="CLR222" s="40" t="s">
        <v>91</v>
      </c>
      <c r="CLS222" s="40" t="s">
        <v>91</v>
      </c>
      <c r="CLT222" s="40" t="s">
        <v>91</v>
      </c>
      <c r="CLU222" s="40" t="s">
        <v>91</v>
      </c>
      <c r="CLV222" s="40" t="s">
        <v>91</v>
      </c>
      <c r="CLW222" s="40" t="s">
        <v>91</v>
      </c>
      <c r="CLX222" s="40" t="s">
        <v>91</v>
      </c>
      <c r="CLY222" s="40" t="s">
        <v>91</v>
      </c>
      <c r="CLZ222" s="40" t="s">
        <v>91</v>
      </c>
      <c r="CMA222" s="40" t="s">
        <v>91</v>
      </c>
      <c r="CMB222" s="40" t="s">
        <v>91</v>
      </c>
      <c r="CMC222" s="40" t="s">
        <v>91</v>
      </c>
      <c r="CMD222" s="40" t="s">
        <v>91</v>
      </c>
      <c r="CME222" s="40" t="s">
        <v>91</v>
      </c>
      <c r="CMF222" s="40" t="s">
        <v>91</v>
      </c>
      <c r="CMG222" s="40" t="s">
        <v>91</v>
      </c>
      <c r="CMH222" s="40" t="s">
        <v>91</v>
      </c>
      <c r="CMI222" s="40" t="s">
        <v>91</v>
      </c>
      <c r="CMJ222" s="40" t="s">
        <v>91</v>
      </c>
      <c r="CMK222" s="40" t="s">
        <v>91</v>
      </c>
      <c r="CML222" s="40" t="s">
        <v>91</v>
      </c>
      <c r="CMM222" s="40" t="s">
        <v>91</v>
      </c>
      <c r="CMN222" s="40" t="s">
        <v>91</v>
      </c>
      <c r="CMO222" s="40" t="s">
        <v>91</v>
      </c>
      <c r="CMP222" s="40" t="s">
        <v>91</v>
      </c>
      <c r="CMQ222" s="40" t="s">
        <v>91</v>
      </c>
      <c r="CMR222" s="40" t="s">
        <v>91</v>
      </c>
      <c r="CMS222" s="40" t="s">
        <v>91</v>
      </c>
      <c r="CMT222" s="40" t="s">
        <v>91</v>
      </c>
      <c r="CMU222" s="40" t="s">
        <v>91</v>
      </c>
      <c r="CMV222" s="40" t="s">
        <v>91</v>
      </c>
      <c r="CMW222" s="40" t="s">
        <v>91</v>
      </c>
      <c r="CMX222" s="40" t="s">
        <v>91</v>
      </c>
      <c r="CMY222" s="40" t="s">
        <v>91</v>
      </c>
      <c r="CMZ222" s="40" t="s">
        <v>91</v>
      </c>
      <c r="CNA222" s="40" t="s">
        <v>91</v>
      </c>
      <c r="CNB222" s="40" t="s">
        <v>91</v>
      </c>
      <c r="CNC222" s="40" t="s">
        <v>91</v>
      </c>
      <c r="CND222" s="40" t="s">
        <v>91</v>
      </c>
      <c r="CNE222" s="40" t="s">
        <v>91</v>
      </c>
      <c r="CNF222" s="40" t="s">
        <v>91</v>
      </c>
      <c r="CNG222" s="40" t="s">
        <v>91</v>
      </c>
      <c r="CNH222" s="40" t="s">
        <v>91</v>
      </c>
      <c r="CNI222" s="40" t="s">
        <v>91</v>
      </c>
      <c r="CNJ222" s="40" t="s">
        <v>91</v>
      </c>
      <c r="CNK222" s="40" t="s">
        <v>91</v>
      </c>
      <c r="CNL222" s="40" t="s">
        <v>91</v>
      </c>
      <c r="CNM222" s="40" t="s">
        <v>91</v>
      </c>
      <c r="CNN222" s="40" t="s">
        <v>91</v>
      </c>
      <c r="CNO222" s="40" t="s">
        <v>91</v>
      </c>
      <c r="CNP222" s="40" t="s">
        <v>91</v>
      </c>
      <c r="CNQ222" s="40" t="s">
        <v>91</v>
      </c>
      <c r="CNR222" s="40" t="s">
        <v>91</v>
      </c>
      <c r="CNS222" s="40" t="s">
        <v>91</v>
      </c>
      <c r="CNT222" s="40" t="s">
        <v>91</v>
      </c>
      <c r="CNU222" s="40" t="s">
        <v>91</v>
      </c>
      <c r="CNV222" s="40" t="s">
        <v>91</v>
      </c>
      <c r="CNW222" s="40" t="s">
        <v>91</v>
      </c>
      <c r="CNX222" s="40" t="s">
        <v>91</v>
      </c>
      <c r="CNY222" s="40" t="s">
        <v>91</v>
      </c>
      <c r="CNZ222" s="40" t="s">
        <v>91</v>
      </c>
      <c r="COA222" s="40" t="s">
        <v>91</v>
      </c>
      <c r="COB222" s="40" t="s">
        <v>91</v>
      </c>
      <c r="COC222" s="40" t="s">
        <v>91</v>
      </c>
      <c r="COD222" s="40" t="s">
        <v>91</v>
      </c>
      <c r="COE222" s="40" t="s">
        <v>91</v>
      </c>
      <c r="COF222" s="40" t="s">
        <v>91</v>
      </c>
      <c r="COG222" s="40" t="s">
        <v>91</v>
      </c>
      <c r="COH222" s="40" t="s">
        <v>91</v>
      </c>
      <c r="COI222" s="40" t="s">
        <v>91</v>
      </c>
      <c r="COJ222" s="40" t="s">
        <v>91</v>
      </c>
      <c r="COK222" s="40" t="s">
        <v>91</v>
      </c>
      <c r="COL222" s="40" t="s">
        <v>91</v>
      </c>
      <c r="COM222" s="40" t="s">
        <v>91</v>
      </c>
      <c r="CON222" s="40" t="s">
        <v>91</v>
      </c>
      <c r="COO222" s="40" t="s">
        <v>91</v>
      </c>
      <c r="COP222" s="40" t="s">
        <v>91</v>
      </c>
      <c r="COQ222" s="40" t="s">
        <v>91</v>
      </c>
      <c r="COR222" s="40" t="s">
        <v>91</v>
      </c>
      <c r="COS222" s="40" t="s">
        <v>91</v>
      </c>
      <c r="COT222" s="40" t="s">
        <v>91</v>
      </c>
      <c r="COU222" s="40" t="s">
        <v>91</v>
      </c>
      <c r="COV222" s="40" t="s">
        <v>91</v>
      </c>
      <c r="COW222" s="40" t="s">
        <v>91</v>
      </c>
      <c r="COX222" s="40" t="s">
        <v>91</v>
      </c>
      <c r="COY222" s="40" t="s">
        <v>91</v>
      </c>
      <c r="COZ222" s="40" t="s">
        <v>91</v>
      </c>
      <c r="CPA222" s="40" t="s">
        <v>91</v>
      </c>
      <c r="CPB222" s="40" t="s">
        <v>91</v>
      </c>
      <c r="CPC222" s="40" t="s">
        <v>91</v>
      </c>
      <c r="CPD222" s="40" t="s">
        <v>91</v>
      </c>
      <c r="CPE222" s="40" t="s">
        <v>91</v>
      </c>
      <c r="CPF222" s="40" t="s">
        <v>91</v>
      </c>
      <c r="CPG222" s="40" t="s">
        <v>91</v>
      </c>
      <c r="CPH222" s="40" t="s">
        <v>91</v>
      </c>
      <c r="CPI222" s="40" t="s">
        <v>91</v>
      </c>
      <c r="CPJ222" s="40" t="s">
        <v>91</v>
      </c>
      <c r="CPK222" s="40" t="s">
        <v>91</v>
      </c>
      <c r="CPL222" s="40" t="s">
        <v>91</v>
      </c>
      <c r="CPM222" s="40" t="s">
        <v>91</v>
      </c>
      <c r="CPN222" s="40" t="s">
        <v>91</v>
      </c>
      <c r="CPO222" s="40" t="s">
        <v>91</v>
      </c>
      <c r="CPP222" s="40" t="s">
        <v>91</v>
      </c>
      <c r="CPQ222" s="40" t="s">
        <v>91</v>
      </c>
      <c r="CPR222" s="40" t="s">
        <v>91</v>
      </c>
      <c r="CPS222" s="40" t="s">
        <v>91</v>
      </c>
      <c r="CPT222" s="40" t="s">
        <v>91</v>
      </c>
      <c r="CPU222" s="40" t="s">
        <v>91</v>
      </c>
      <c r="CPV222" s="40" t="s">
        <v>91</v>
      </c>
      <c r="CPW222" s="40" t="s">
        <v>91</v>
      </c>
      <c r="CPX222" s="40" t="s">
        <v>91</v>
      </c>
      <c r="CPY222" s="40" t="s">
        <v>91</v>
      </c>
      <c r="CPZ222" s="40" t="s">
        <v>91</v>
      </c>
      <c r="CQA222" s="40" t="s">
        <v>91</v>
      </c>
      <c r="CQB222" s="40" t="s">
        <v>91</v>
      </c>
      <c r="CQC222" s="40" t="s">
        <v>91</v>
      </c>
      <c r="CQD222" s="40" t="s">
        <v>91</v>
      </c>
      <c r="CQE222" s="40" t="s">
        <v>91</v>
      </c>
      <c r="CQF222" s="40" t="s">
        <v>91</v>
      </c>
      <c r="CQG222" s="40" t="s">
        <v>91</v>
      </c>
      <c r="CQH222" s="40" t="s">
        <v>91</v>
      </c>
      <c r="CQI222" s="40" t="s">
        <v>91</v>
      </c>
      <c r="CQJ222" s="40" t="s">
        <v>91</v>
      </c>
      <c r="CQK222" s="40" t="s">
        <v>91</v>
      </c>
      <c r="CQL222" s="40" t="s">
        <v>91</v>
      </c>
      <c r="CQM222" s="40" t="s">
        <v>91</v>
      </c>
      <c r="CQN222" s="40" t="s">
        <v>91</v>
      </c>
      <c r="CQO222" s="40" t="s">
        <v>91</v>
      </c>
      <c r="CQP222" s="40" t="s">
        <v>91</v>
      </c>
      <c r="CQQ222" s="40" t="s">
        <v>91</v>
      </c>
      <c r="CQR222" s="40" t="s">
        <v>91</v>
      </c>
      <c r="CQS222" s="40" t="s">
        <v>91</v>
      </c>
      <c r="CQT222" s="40" t="s">
        <v>91</v>
      </c>
      <c r="CQU222" s="40" t="s">
        <v>91</v>
      </c>
      <c r="CQV222" s="40" t="s">
        <v>91</v>
      </c>
      <c r="CQW222" s="40" t="s">
        <v>91</v>
      </c>
      <c r="CQX222" s="40" t="s">
        <v>91</v>
      </c>
      <c r="CQY222" s="40" t="s">
        <v>91</v>
      </c>
      <c r="CQZ222" s="40" t="s">
        <v>91</v>
      </c>
      <c r="CRA222" s="40" t="s">
        <v>91</v>
      </c>
      <c r="CRB222" s="40" t="s">
        <v>91</v>
      </c>
      <c r="CRC222" s="40" t="s">
        <v>91</v>
      </c>
      <c r="CRD222" s="40" t="s">
        <v>91</v>
      </c>
      <c r="CRE222" s="40" t="s">
        <v>91</v>
      </c>
      <c r="CRF222" s="40" t="s">
        <v>91</v>
      </c>
      <c r="CRG222" s="40" t="s">
        <v>91</v>
      </c>
      <c r="CRH222" s="40" t="s">
        <v>91</v>
      </c>
      <c r="CRI222" s="40" t="s">
        <v>91</v>
      </c>
      <c r="CRJ222" s="40" t="s">
        <v>91</v>
      </c>
      <c r="CRK222" s="40" t="s">
        <v>91</v>
      </c>
      <c r="CRL222" s="40" t="s">
        <v>91</v>
      </c>
      <c r="CRM222" s="40" t="s">
        <v>91</v>
      </c>
      <c r="CRN222" s="40" t="s">
        <v>91</v>
      </c>
      <c r="CRO222" s="40" t="s">
        <v>91</v>
      </c>
      <c r="CRP222" s="40" t="s">
        <v>91</v>
      </c>
      <c r="CRQ222" s="40" t="s">
        <v>91</v>
      </c>
      <c r="CRR222" s="40" t="s">
        <v>91</v>
      </c>
      <c r="CRS222" s="40" t="s">
        <v>91</v>
      </c>
      <c r="CRT222" s="40" t="s">
        <v>91</v>
      </c>
      <c r="CRU222" s="40" t="s">
        <v>91</v>
      </c>
      <c r="CRV222" s="40" t="s">
        <v>91</v>
      </c>
      <c r="CRW222" s="40" t="s">
        <v>91</v>
      </c>
      <c r="CRX222" s="40" t="s">
        <v>91</v>
      </c>
      <c r="CRY222" s="40" t="s">
        <v>91</v>
      </c>
      <c r="CRZ222" s="40" t="s">
        <v>91</v>
      </c>
      <c r="CSA222" s="40" t="s">
        <v>91</v>
      </c>
      <c r="CSB222" s="40" t="s">
        <v>91</v>
      </c>
      <c r="CSC222" s="40" t="s">
        <v>91</v>
      </c>
      <c r="CSD222" s="40" t="s">
        <v>91</v>
      </c>
      <c r="CSE222" s="40" t="s">
        <v>91</v>
      </c>
      <c r="CSF222" s="40" t="s">
        <v>91</v>
      </c>
      <c r="CSG222" s="40" t="s">
        <v>91</v>
      </c>
      <c r="CSH222" s="40" t="s">
        <v>91</v>
      </c>
      <c r="CSI222" s="40" t="s">
        <v>91</v>
      </c>
      <c r="CSJ222" s="40" t="s">
        <v>91</v>
      </c>
      <c r="CSK222" s="40" t="s">
        <v>91</v>
      </c>
      <c r="CSL222" s="40" t="s">
        <v>91</v>
      </c>
      <c r="CSM222" s="40" t="s">
        <v>91</v>
      </c>
      <c r="CSN222" s="40" t="s">
        <v>91</v>
      </c>
      <c r="CSO222" s="40" t="s">
        <v>91</v>
      </c>
      <c r="CSP222" s="40" t="s">
        <v>91</v>
      </c>
      <c r="CSQ222" s="40" t="s">
        <v>91</v>
      </c>
      <c r="CSR222" s="40" t="s">
        <v>91</v>
      </c>
      <c r="CSS222" s="40" t="s">
        <v>91</v>
      </c>
      <c r="CST222" s="40" t="s">
        <v>91</v>
      </c>
      <c r="CSU222" s="40" t="s">
        <v>91</v>
      </c>
      <c r="CSV222" s="40" t="s">
        <v>91</v>
      </c>
      <c r="CSW222" s="40" t="s">
        <v>91</v>
      </c>
      <c r="CSX222" s="40" t="s">
        <v>91</v>
      </c>
      <c r="CSY222" s="40" t="s">
        <v>91</v>
      </c>
      <c r="CSZ222" s="40" t="s">
        <v>91</v>
      </c>
      <c r="CTA222" s="40" t="s">
        <v>91</v>
      </c>
      <c r="CTB222" s="40" t="s">
        <v>91</v>
      </c>
      <c r="CTC222" s="40" t="s">
        <v>91</v>
      </c>
      <c r="CTD222" s="40" t="s">
        <v>91</v>
      </c>
      <c r="CTE222" s="40" t="s">
        <v>91</v>
      </c>
      <c r="CTF222" s="40" t="s">
        <v>91</v>
      </c>
      <c r="CTG222" s="40" t="s">
        <v>91</v>
      </c>
      <c r="CTH222" s="40" t="s">
        <v>91</v>
      </c>
      <c r="CTI222" s="40" t="s">
        <v>91</v>
      </c>
      <c r="CTJ222" s="40" t="s">
        <v>91</v>
      </c>
      <c r="CTK222" s="40" t="s">
        <v>91</v>
      </c>
      <c r="CTL222" s="40" t="s">
        <v>91</v>
      </c>
      <c r="CTM222" s="40" t="s">
        <v>91</v>
      </c>
      <c r="CTN222" s="40" t="s">
        <v>91</v>
      </c>
      <c r="CTO222" s="40" t="s">
        <v>91</v>
      </c>
      <c r="CTP222" s="40" t="s">
        <v>91</v>
      </c>
      <c r="CTQ222" s="40" t="s">
        <v>91</v>
      </c>
      <c r="CTR222" s="40" t="s">
        <v>91</v>
      </c>
      <c r="CTS222" s="40" t="s">
        <v>91</v>
      </c>
      <c r="CTT222" s="40" t="s">
        <v>91</v>
      </c>
      <c r="CTU222" s="40" t="s">
        <v>91</v>
      </c>
      <c r="CTV222" s="40" t="s">
        <v>91</v>
      </c>
      <c r="CTW222" s="40" t="s">
        <v>91</v>
      </c>
      <c r="CTX222" s="40" t="s">
        <v>91</v>
      </c>
      <c r="CTY222" s="40" t="s">
        <v>91</v>
      </c>
      <c r="CTZ222" s="40" t="s">
        <v>91</v>
      </c>
      <c r="CUA222" s="40" t="s">
        <v>91</v>
      </c>
      <c r="CUB222" s="40" t="s">
        <v>91</v>
      </c>
      <c r="CUC222" s="40" t="s">
        <v>91</v>
      </c>
      <c r="CUD222" s="40" t="s">
        <v>91</v>
      </c>
      <c r="CUE222" s="40" t="s">
        <v>91</v>
      </c>
      <c r="CUF222" s="40" t="s">
        <v>91</v>
      </c>
      <c r="CUG222" s="40" t="s">
        <v>91</v>
      </c>
      <c r="CUH222" s="40" t="s">
        <v>91</v>
      </c>
      <c r="CUI222" s="40" t="s">
        <v>91</v>
      </c>
      <c r="CUJ222" s="40" t="s">
        <v>91</v>
      </c>
      <c r="CUK222" s="40" t="s">
        <v>91</v>
      </c>
      <c r="CUL222" s="40" t="s">
        <v>91</v>
      </c>
      <c r="CUM222" s="40" t="s">
        <v>91</v>
      </c>
      <c r="CUN222" s="40" t="s">
        <v>91</v>
      </c>
      <c r="CUO222" s="40" t="s">
        <v>91</v>
      </c>
      <c r="CUP222" s="40" t="s">
        <v>91</v>
      </c>
      <c r="CUQ222" s="40" t="s">
        <v>91</v>
      </c>
      <c r="CUR222" s="40" t="s">
        <v>91</v>
      </c>
      <c r="CUS222" s="40" t="s">
        <v>91</v>
      </c>
      <c r="CUT222" s="40" t="s">
        <v>91</v>
      </c>
      <c r="CUU222" s="40" t="s">
        <v>91</v>
      </c>
      <c r="CUV222" s="40" t="s">
        <v>91</v>
      </c>
      <c r="CUW222" s="40" t="s">
        <v>91</v>
      </c>
      <c r="CUX222" s="40" t="s">
        <v>91</v>
      </c>
      <c r="CUY222" s="40" t="s">
        <v>91</v>
      </c>
      <c r="CUZ222" s="40" t="s">
        <v>91</v>
      </c>
      <c r="CVA222" s="40" t="s">
        <v>91</v>
      </c>
      <c r="CVB222" s="40" t="s">
        <v>91</v>
      </c>
      <c r="CVC222" s="40" t="s">
        <v>91</v>
      </c>
      <c r="CVD222" s="40" t="s">
        <v>91</v>
      </c>
      <c r="CVE222" s="40" t="s">
        <v>91</v>
      </c>
      <c r="CVF222" s="40" t="s">
        <v>91</v>
      </c>
      <c r="CVG222" s="40" t="s">
        <v>91</v>
      </c>
      <c r="CVH222" s="40" t="s">
        <v>91</v>
      </c>
      <c r="CVI222" s="40" t="s">
        <v>91</v>
      </c>
      <c r="CVJ222" s="40" t="s">
        <v>91</v>
      </c>
      <c r="CVK222" s="40" t="s">
        <v>91</v>
      </c>
      <c r="CVL222" s="40" t="s">
        <v>91</v>
      </c>
      <c r="CVM222" s="40" t="s">
        <v>91</v>
      </c>
      <c r="CVN222" s="40" t="s">
        <v>91</v>
      </c>
      <c r="CVO222" s="40" t="s">
        <v>91</v>
      </c>
      <c r="CVP222" s="40" t="s">
        <v>91</v>
      </c>
      <c r="CVQ222" s="40" t="s">
        <v>91</v>
      </c>
      <c r="CVR222" s="40" t="s">
        <v>91</v>
      </c>
      <c r="CVS222" s="40" t="s">
        <v>91</v>
      </c>
      <c r="CVT222" s="40" t="s">
        <v>91</v>
      </c>
      <c r="CVU222" s="40" t="s">
        <v>91</v>
      </c>
      <c r="CVV222" s="40" t="s">
        <v>91</v>
      </c>
      <c r="CVW222" s="40" t="s">
        <v>91</v>
      </c>
      <c r="CVX222" s="40" t="s">
        <v>91</v>
      </c>
      <c r="CVY222" s="40" t="s">
        <v>91</v>
      </c>
      <c r="CVZ222" s="40" t="s">
        <v>91</v>
      </c>
      <c r="CWA222" s="40" t="s">
        <v>91</v>
      </c>
      <c r="CWB222" s="40" t="s">
        <v>91</v>
      </c>
      <c r="CWC222" s="40" t="s">
        <v>91</v>
      </c>
      <c r="CWD222" s="40" t="s">
        <v>91</v>
      </c>
      <c r="CWE222" s="40" t="s">
        <v>91</v>
      </c>
      <c r="CWF222" s="40" t="s">
        <v>91</v>
      </c>
      <c r="CWG222" s="40" t="s">
        <v>91</v>
      </c>
      <c r="CWH222" s="40" t="s">
        <v>91</v>
      </c>
      <c r="CWI222" s="40" t="s">
        <v>91</v>
      </c>
      <c r="CWJ222" s="40" t="s">
        <v>91</v>
      </c>
      <c r="CWK222" s="40" t="s">
        <v>91</v>
      </c>
      <c r="CWL222" s="40" t="s">
        <v>91</v>
      </c>
      <c r="CWM222" s="40" t="s">
        <v>91</v>
      </c>
      <c r="CWN222" s="40" t="s">
        <v>91</v>
      </c>
      <c r="CWO222" s="40" t="s">
        <v>91</v>
      </c>
      <c r="CWP222" s="40" t="s">
        <v>91</v>
      </c>
      <c r="CWQ222" s="40" t="s">
        <v>91</v>
      </c>
      <c r="CWR222" s="40" t="s">
        <v>91</v>
      </c>
      <c r="CWS222" s="40" t="s">
        <v>91</v>
      </c>
      <c r="CWT222" s="40" t="s">
        <v>91</v>
      </c>
      <c r="CWU222" s="40" t="s">
        <v>91</v>
      </c>
      <c r="CWV222" s="40" t="s">
        <v>91</v>
      </c>
      <c r="CWW222" s="40" t="s">
        <v>91</v>
      </c>
      <c r="CWX222" s="40" t="s">
        <v>91</v>
      </c>
      <c r="CWY222" s="40" t="s">
        <v>91</v>
      </c>
      <c r="CWZ222" s="40" t="s">
        <v>91</v>
      </c>
      <c r="CXA222" s="40" t="s">
        <v>91</v>
      </c>
      <c r="CXB222" s="40" t="s">
        <v>91</v>
      </c>
      <c r="CXC222" s="40" t="s">
        <v>91</v>
      </c>
      <c r="CXD222" s="40" t="s">
        <v>91</v>
      </c>
      <c r="CXE222" s="40" t="s">
        <v>91</v>
      </c>
      <c r="CXF222" s="40" t="s">
        <v>91</v>
      </c>
      <c r="CXG222" s="40" t="s">
        <v>91</v>
      </c>
      <c r="CXH222" s="40" t="s">
        <v>91</v>
      </c>
      <c r="CXI222" s="40" t="s">
        <v>91</v>
      </c>
      <c r="CXJ222" s="40" t="s">
        <v>91</v>
      </c>
      <c r="CXK222" s="40" t="s">
        <v>91</v>
      </c>
      <c r="CXL222" s="40" t="s">
        <v>91</v>
      </c>
      <c r="CXM222" s="40" t="s">
        <v>91</v>
      </c>
      <c r="CXN222" s="40" t="s">
        <v>91</v>
      </c>
      <c r="CXO222" s="40" t="s">
        <v>91</v>
      </c>
      <c r="CXP222" s="40" t="s">
        <v>91</v>
      </c>
      <c r="CXQ222" s="40" t="s">
        <v>91</v>
      </c>
      <c r="CXR222" s="40" t="s">
        <v>91</v>
      </c>
      <c r="CXS222" s="40" t="s">
        <v>91</v>
      </c>
      <c r="CXT222" s="40" t="s">
        <v>91</v>
      </c>
      <c r="CXU222" s="40" t="s">
        <v>91</v>
      </c>
      <c r="CXV222" s="40" t="s">
        <v>91</v>
      </c>
      <c r="CXW222" s="40" t="s">
        <v>91</v>
      </c>
      <c r="CXX222" s="40" t="s">
        <v>91</v>
      </c>
      <c r="CXY222" s="40" t="s">
        <v>91</v>
      </c>
      <c r="CXZ222" s="40" t="s">
        <v>91</v>
      </c>
      <c r="CYA222" s="40" t="s">
        <v>91</v>
      </c>
      <c r="CYB222" s="40" t="s">
        <v>91</v>
      </c>
      <c r="CYC222" s="40" t="s">
        <v>91</v>
      </c>
      <c r="CYD222" s="40" t="s">
        <v>91</v>
      </c>
      <c r="CYE222" s="40" t="s">
        <v>91</v>
      </c>
      <c r="CYF222" s="40" t="s">
        <v>91</v>
      </c>
      <c r="CYG222" s="40" t="s">
        <v>91</v>
      </c>
      <c r="CYH222" s="40" t="s">
        <v>91</v>
      </c>
      <c r="CYI222" s="40" t="s">
        <v>91</v>
      </c>
      <c r="CYJ222" s="40" t="s">
        <v>91</v>
      </c>
      <c r="CYK222" s="40" t="s">
        <v>91</v>
      </c>
      <c r="CYL222" s="40" t="s">
        <v>91</v>
      </c>
      <c r="CYM222" s="40" t="s">
        <v>91</v>
      </c>
      <c r="CYN222" s="40" t="s">
        <v>91</v>
      </c>
      <c r="CYO222" s="40" t="s">
        <v>91</v>
      </c>
      <c r="CYP222" s="40" t="s">
        <v>91</v>
      </c>
      <c r="CYQ222" s="40" t="s">
        <v>91</v>
      </c>
      <c r="CYR222" s="40" t="s">
        <v>91</v>
      </c>
      <c r="CYS222" s="40" t="s">
        <v>91</v>
      </c>
      <c r="CYT222" s="40" t="s">
        <v>91</v>
      </c>
      <c r="CYU222" s="40" t="s">
        <v>91</v>
      </c>
      <c r="CYV222" s="40" t="s">
        <v>91</v>
      </c>
      <c r="CYW222" s="40" t="s">
        <v>91</v>
      </c>
      <c r="CYX222" s="40" t="s">
        <v>91</v>
      </c>
      <c r="CYY222" s="40" t="s">
        <v>91</v>
      </c>
      <c r="CYZ222" s="40" t="s">
        <v>91</v>
      </c>
      <c r="CZA222" s="40" t="s">
        <v>91</v>
      </c>
      <c r="CZB222" s="40" t="s">
        <v>91</v>
      </c>
      <c r="CZC222" s="40" t="s">
        <v>91</v>
      </c>
      <c r="CZD222" s="40" t="s">
        <v>91</v>
      </c>
      <c r="CZE222" s="40" t="s">
        <v>91</v>
      </c>
      <c r="CZF222" s="40" t="s">
        <v>91</v>
      </c>
      <c r="CZG222" s="40" t="s">
        <v>91</v>
      </c>
      <c r="CZH222" s="40" t="s">
        <v>91</v>
      </c>
      <c r="CZI222" s="40" t="s">
        <v>91</v>
      </c>
      <c r="CZJ222" s="40" t="s">
        <v>91</v>
      </c>
      <c r="CZK222" s="40" t="s">
        <v>91</v>
      </c>
      <c r="CZL222" s="40" t="s">
        <v>91</v>
      </c>
      <c r="CZM222" s="40" t="s">
        <v>91</v>
      </c>
      <c r="CZN222" s="40" t="s">
        <v>91</v>
      </c>
      <c r="CZO222" s="40" t="s">
        <v>91</v>
      </c>
      <c r="CZP222" s="40" t="s">
        <v>91</v>
      </c>
      <c r="CZQ222" s="40" t="s">
        <v>91</v>
      </c>
      <c r="CZR222" s="40" t="s">
        <v>91</v>
      </c>
      <c r="CZS222" s="40" t="s">
        <v>91</v>
      </c>
      <c r="CZT222" s="40" t="s">
        <v>91</v>
      </c>
      <c r="CZU222" s="40" t="s">
        <v>91</v>
      </c>
      <c r="CZV222" s="40" t="s">
        <v>91</v>
      </c>
      <c r="CZW222" s="40" t="s">
        <v>91</v>
      </c>
      <c r="CZX222" s="40" t="s">
        <v>91</v>
      </c>
      <c r="CZY222" s="40" t="s">
        <v>91</v>
      </c>
      <c r="CZZ222" s="40" t="s">
        <v>91</v>
      </c>
      <c r="DAA222" s="40" t="s">
        <v>91</v>
      </c>
      <c r="DAB222" s="40" t="s">
        <v>91</v>
      </c>
      <c r="DAC222" s="40" t="s">
        <v>91</v>
      </c>
      <c r="DAD222" s="40" t="s">
        <v>91</v>
      </c>
      <c r="DAE222" s="40" t="s">
        <v>91</v>
      </c>
      <c r="DAF222" s="40" t="s">
        <v>91</v>
      </c>
      <c r="DAG222" s="40" t="s">
        <v>91</v>
      </c>
      <c r="DAH222" s="40" t="s">
        <v>91</v>
      </c>
      <c r="DAI222" s="40" t="s">
        <v>91</v>
      </c>
      <c r="DAJ222" s="40" t="s">
        <v>91</v>
      </c>
      <c r="DAK222" s="40" t="s">
        <v>91</v>
      </c>
      <c r="DAL222" s="40" t="s">
        <v>91</v>
      </c>
      <c r="DAM222" s="40" t="s">
        <v>91</v>
      </c>
      <c r="DAN222" s="40" t="s">
        <v>91</v>
      </c>
      <c r="DAO222" s="40" t="s">
        <v>91</v>
      </c>
      <c r="DAP222" s="40" t="s">
        <v>91</v>
      </c>
      <c r="DAQ222" s="40" t="s">
        <v>91</v>
      </c>
      <c r="DAR222" s="40" t="s">
        <v>91</v>
      </c>
      <c r="DAS222" s="40" t="s">
        <v>91</v>
      </c>
      <c r="DAT222" s="40" t="s">
        <v>91</v>
      </c>
      <c r="DAU222" s="40" t="s">
        <v>91</v>
      </c>
      <c r="DAV222" s="40" t="s">
        <v>91</v>
      </c>
      <c r="DAW222" s="40" t="s">
        <v>91</v>
      </c>
      <c r="DAX222" s="40" t="s">
        <v>91</v>
      </c>
      <c r="DAY222" s="40" t="s">
        <v>91</v>
      </c>
      <c r="DAZ222" s="40" t="s">
        <v>91</v>
      </c>
      <c r="DBA222" s="40" t="s">
        <v>91</v>
      </c>
      <c r="DBB222" s="40" t="s">
        <v>91</v>
      </c>
      <c r="DBC222" s="40" t="s">
        <v>91</v>
      </c>
      <c r="DBD222" s="40" t="s">
        <v>91</v>
      </c>
      <c r="DBE222" s="40" t="s">
        <v>91</v>
      </c>
      <c r="DBF222" s="40" t="s">
        <v>91</v>
      </c>
      <c r="DBG222" s="40" t="s">
        <v>91</v>
      </c>
      <c r="DBH222" s="40" t="s">
        <v>91</v>
      </c>
      <c r="DBI222" s="40" t="s">
        <v>91</v>
      </c>
      <c r="DBJ222" s="40" t="s">
        <v>91</v>
      </c>
      <c r="DBK222" s="40" t="s">
        <v>91</v>
      </c>
      <c r="DBL222" s="40" t="s">
        <v>91</v>
      </c>
      <c r="DBM222" s="40" t="s">
        <v>91</v>
      </c>
      <c r="DBN222" s="40" t="s">
        <v>91</v>
      </c>
      <c r="DBO222" s="40" t="s">
        <v>91</v>
      </c>
      <c r="DBP222" s="40" t="s">
        <v>91</v>
      </c>
      <c r="DBQ222" s="40" t="s">
        <v>91</v>
      </c>
      <c r="DBR222" s="40" t="s">
        <v>91</v>
      </c>
      <c r="DBS222" s="40" t="s">
        <v>91</v>
      </c>
      <c r="DBT222" s="40" t="s">
        <v>91</v>
      </c>
      <c r="DBU222" s="40" t="s">
        <v>91</v>
      </c>
      <c r="DBV222" s="40" t="s">
        <v>91</v>
      </c>
      <c r="DBW222" s="40" t="s">
        <v>91</v>
      </c>
      <c r="DBX222" s="40" t="s">
        <v>91</v>
      </c>
      <c r="DBY222" s="40" t="s">
        <v>91</v>
      </c>
      <c r="DBZ222" s="40" t="s">
        <v>91</v>
      </c>
      <c r="DCA222" s="40" t="s">
        <v>91</v>
      </c>
      <c r="DCB222" s="40" t="s">
        <v>91</v>
      </c>
      <c r="DCC222" s="40" t="s">
        <v>91</v>
      </c>
      <c r="DCD222" s="40" t="s">
        <v>91</v>
      </c>
      <c r="DCE222" s="40" t="s">
        <v>91</v>
      </c>
      <c r="DCF222" s="40" t="s">
        <v>91</v>
      </c>
      <c r="DCG222" s="40" t="s">
        <v>91</v>
      </c>
      <c r="DCH222" s="40" t="s">
        <v>91</v>
      </c>
      <c r="DCI222" s="40" t="s">
        <v>91</v>
      </c>
      <c r="DCJ222" s="40" t="s">
        <v>91</v>
      </c>
      <c r="DCK222" s="40" t="s">
        <v>91</v>
      </c>
      <c r="DCL222" s="40" t="s">
        <v>91</v>
      </c>
      <c r="DCM222" s="40" t="s">
        <v>91</v>
      </c>
      <c r="DCN222" s="40" t="s">
        <v>91</v>
      </c>
      <c r="DCO222" s="40" t="s">
        <v>91</v>
      </c>
      <c r="DCP222" s="40" t="s">
        <v>91</v>
      </c>
      <c r="DCQ222" s="40" t="s">
        <v>91</v>
      </c>
      <c r="DCR222" s="40" t="s">
        <v>91</v>
      </c>
      <c r="DCS222" s="40" t="s">
        <v>91</v>
      </c>
      <c r="DCT222" s="40" t="s">
        <v>91</v>
      </c>
      <c r="DCU222" s="40" t="s">
        <v>91</v>
      </c>
      <c r="DCV222" s="40" t="s">
        <v>91</v>
      </c>
      <c r="DCW222" s="40" t="s">
        <v>91</v>
      </c>
      <c r="DCX222" s="40" t="s">
        <v>91</v>
      </c>
      <c r="DCY222" s="40" t="s">
        <v>91</v>
      </c>
      <c r="DCZ222" s="40" t="s">
        <v>91</v>
      </c>
      <c r="DDA222" s="40" t="s">
        <v>91</v>
      </c>
      <c r="DDB222" s="40" t="s">
        <v>91</v>
      </c>
      <c r="DDC222" s="40" t="s">
        <v>91</v>
      </c>
      <c r="DDD222" s="40" t="s">
        <v>91</v>
      </c>
      <c r="DDE222" s="40" t="s">
        <v>91</v>
      </c>
      <c r="DDF222" s="40" t="s">
        <v>91</v>
      </c>
      <c r="DDG222" s="40" t="s">
        <v>91</v>
      </c>
      <c r="DDH222" s="40" t="s">
        <v>91</v>
      </c>
      <c r="DDI222" s="40" t="s">
        <v>91</v>
      </c>
      <c r="DDJ222" s="40" t="s">
        <v>91</v>
      </c>
      <c r="DDK222" s="40" t="s">
        <v>91</v>
      </c>
      <c r="DDL222" s="40" t="s">
        <v>91</v>
      </c>
      <c r="DDM222" s="40" t="s">
        <v>91</v>
      </c>
      <c r="DDN222" s="40" t="s">
        <v>91</v>
      </c>
      <c r="DDO222" s="40" t="s">
        <v>91</v>
      </c>
      <c r="DDP222" s="40" t="s">
        <v>91</v>
      </c>
      <c r="DDQ222" s="40" t="s">
        <v>91</v>
      </c>
      <c r="DDR222" s="40" t="s">
        <v>91</v>
      </c>
      <c r="DDS222" s="40" t="s">
        <v>91</v>
      </c>
      <c r="DDT222" s="40" t="s">
        <v>91</v>
      </c>
      <c r="DDU222" s="40" t="s">
        <v>91</v>
      </c>
      <c r="DDV222" s="40" t="s">
        <v>91</v>
      </c>
      <c r="DDW222" s="40" t="s">
        <v>91</v>
      </c>
      <c r="DDX222" s="40" t="s">
        <v>91</v>
      </c>
      <c r="DDY222" s="40" t="s">
        <v>91</v>
      </c>
      <c r="DDZ222" s="40" t="s">
        <v>91</v>
      </c>
      <c r="DEA222" s="40" t="s">
        <v>91</v>
      </c>
      <c r="DEB222" s="40" t="s">
        <v>91</v>
      </c>
      <c r="DEC222" s="40" t="s">
        <v>91</v>
      </c>
      <c r="DED222" s="40" t="s">
        <v>91</v>
      </c>
      <c r="DEE222" s="40" t="s">
        <v>91</v>
      </c>
      <c r="DEF222" s="40" t="s">
        <v>91</v>
      </c>
      <c r="DEG222" s="40" t="s">
        <v>91</v>
      </c>
      <c r="DEH222" s="40" t="s">
        <v>91</v>
      </c>
      <c r="DEI222" s="40" t="s">
        <v>91</v>
      </c>
      <c r="DEJ222" s="40" t="s">
        <v>91</v>
      </c>
      <c r="DEK222" s="40" t="s">
        <v>91</v>
      </c>
      <c r="DEL222" s="40" t="s">
        <v>91</v>
      </c>
      <c r="DEM222" s="40" t="s">
        <v>91</v>
      </c>
      <c r="DEN222" s="40" t="s">
        <v>91</v>
      </c>
      <c r="DEO222" s="40" t="s">
        <v>91</v>
      </c>
      <c r="DEP222" s="40" t="s">
        <v>91</v>
      </c>
      <c r="DEQ222" s="40" t="s">
        <v>91</v>
      </c>
      <c r="DER222" s="40" t="s">
        <v>91</v>
      </c>
      <c r="DES222" s="40" t="s">
        <v>91</v>
      </c>
      <c r="DET222" s="40" t="s">
        <v>91</v>
      </c>
      <c r="DEU222" s="40" t="s">
        <v>91</v>
      </c>
      <c r="DEV222" s="40" t="s">
        <v>91</v>
      </c>
      <c r="DEW222" s="40" t="s">
        <v>91</v>
      </c>
      <c r="DEX222" s="40" t="s">
        <v>91</v>
      </c>
      <c r="DEY222" s="40" t="s">
        <v>91</v>
      </c>
      <c r="DEZ222" s="40" t="s">
        <v>91</v>
      </c>
      <c r="DFA222" s="40" t="s">
        <v>91</v>
      </c>
      <c r="DFB222" s="40" t="s">
        <v>91</v>
      </c>
      <c r="DFC222" s="40" t="s">
        <v>91</v>
      </c>
      <c r="DFD222" s="40" t="s">
        <v>91</v>
      </c>
      <c r="DFE222" s="40" t="s">
        <v>91</v>
      </c>
      <c r="DFF222" s="40" t="s">
        <v>91</v>
      </c>
      <c r="DFG222" s="40" t="s">
        <v>91</v>
      </c>
      <c r="DFH222" s="40" t="s">
        <v>91</v>
      </c>
      <c r="DFI222" s="40" t="s">
        <v>91</v>
      </c>
      <c r="DFJ222" s="40" t="s">
        <v>91</v>
      </c>
      <c r="DFK222" s="40" t="s">
        <v>91</v>
      </c>
      <c r="DFL222" s="40" t="s">
        <v>91</v>
      </c>
      <c r="DFM222" s="40" t="s">
        <v>91</v>
      </c>
      <c r="DFN222" s="40" t="s">
        <v>91</v>
      </c>
      <c r="DFO222" s="40" t="s">
        <v>91</v>
      </c>
      <c r="DFP222" s="40" t="s">
        <v>91</v>
      </c>
      <c r="DFQ222" s="40" t="s">
        <v>91</v>
      </c>
      <c r="DFR222" s="40" t="s">
        <v>91</v>
      </c>
      <c r="DFS222" s="40" t="s">
        <v>91</v>
      </c>
      <c r="DFT222" s="40" t="s">
        <v>91</v>
      </c>
      <c r="DFU222" s="40" t="s">
        <v>91</v>
      </c>
      <c r="DFV222" s="40" t="s">
        <v>91</v>
      </c>
      <c r="DFW222" s="40" t="s">
        <v>91</v>
      </c>
      <c r="DFX222" s="40" t="s">
        <v>91</v>
      </c>
      <c r="DFY222" s="40" t="s">
        <v>91</v>
      </c>
      <c r="DFZ222" s="40" t="s">
        <v>91</v>
      </c>
      <c r="DGA222" s="40" t="s">
        <v>91</v>
      </c>
      <c r="DGB222" s="40" t="s">
        <v>91</v>
      </c>
      <c r="DGC222" s="40" t="s">
        <v>91</v>
      </c>
      <c r="DGD222" s="40" t="s">
        <v>91</v>
      </c>
      <c r="DGE222" s="40" t="s">
        <v>91</v>
      </c>
      <c r="DGF222" s="40" t="s">
        <v>91</v>
      </c>
      <c r="DGG222" s="40" t="s">
        <v>91</v>
      </c>
      <c r="DGH222" s="40" t="s">
        <v>91</v>
      </c>
      <c r="DGI222" s="40" t="s">
        <v>91</v>
      </c>
      <c r="DGJ222" s="40" t="s">
        <v>91</v>
      </c>
      <c r="DGK222" s="40" t="s">
        <v>91</v>
      </c>
      <c r="DGL222" s="40" t="s">
        <v>91</v>
      </c>
      <c r="DGM222" s="40" t="s">
        <v>91</v>
      </c>
      <c r="DGN222" s="40" t="s">
        <v>91</v>
      </c>
      <c r="DGO222" s="40" t="s">
        <v>91</v>
      </c>
      <c r="DGP222" s="40" t="s">
        <v>91</v>
      </c>
      <c r="DGQ222" s="40" t="s">
        <v>91</v>
      </c>
      <c r="DGR222" s="40" t="s">
        <v>91</v>
      </c>
      <c r="DGS222" s="40" t="s">
        <v>91</v>
      </c>
      <c r="DGT222" s="40" t="s">
        <v>91</v>
      </c>
      <c r="DGU222" s="40" t="s">
        <v>91</v>
      </c>
      <c r="DGV222" s="40" t="s">
        <v>91</v>
      </c>
      <c r="DGW222" s="40" t="s">
        <v>91</v>
      </c>
      <c r="DGX222" s="40" t="s">
        <v>91</v>
      </c>
      <c r="DGY222" s="40" t="s">
        <v>91</v>
      </c>
      <c r="DGZ222" s="40" t="s">
        <v>91</v>
      </c>
      <c r="DHA222" s="40" t="s">
        <v>91</v>
      </c>
      <c r="DHB222" s="40" t="s">
        <v>91</v>
      </c>
      <c r="DHC222" s="40" t="s">
        <v>91</v>
      </c>
      <c r="DHD222" s="40" t="s">
        <v>91</v>
      </c>
      <c r="DHE222" s="40" t="s">
        <v>91</v>
      </c>
      <c r="DHF222" s="40" t="s">
        <v>91</v>
      </c>
      <c r="DHG222" s="40" t="s">
        <v>91</v>
      </c>
      <c r="DHH222" s="40" t="s">
        <v>91</v>
      </c>
      <c r="DHI222" s="40" t="s">
        <v>91</v>
      </c>
      <c r="DHJ222" s="40" t="s">
        <v>91</v>
      </c>
      <c r="DHK222" s="40" t="s">
        <v>91</v>
      </c>
      <c r="DHL222" s="40" t="s">
        <v>91</v>
      </c>
      <c r="DHM222" s="40" t="s">
        <v>91</v>
      </c>
      <c r="DHN222" s="40" t="s">
        <v>91</v>
      </c>
      <c r="DHO222" s="40" t="s">
        <v>91</v>
      </c>
      <c r="DHP222" s="40" t="s">
        <v>91</v>
      </c>
      <c r="DHQ222" s="40" t="s">
        <v>91</v>
      </c>
      <c r="DHR222" s="40" t="s">
        <v>91</v>
      </c>
      <c r="DHS222" s="40" t="s">
        <v>91</v>
      </c>
      <c r="DHT222" s="40" t="s">
        <v>91</v>
      </c>
      <c r="DHU222" s="40" t="s">
        <v>91</v>
      </c>
      <c r="DHV222" s="40" t="s">
        <v>91</v>
      </c>
      <c r="DHW222" s="40" t="s">
        <v>91</v>
      </c>
      <c r="DHX222" s="40" t="s">
        <v>91</v>
      </c>
      <c r="DHY222" s="40" t="s">
        <v>91</v>
      </c>
      <c r="DHZ222" s="40" t="s">
        <v>91</v>
      </c>
      <c r="DIA222" s="40" t="s">
        <v>91</v>
      </c>
      <c r="DIB222" s="40" t="s">
        <v>91</v>
      </c>
      <c r="DIC222" s="40" t="s">
        <v>91</v>
      </c>
      <c r="DID222" s="40" t="s">
        <v>91</v>
      </c>
      <c r="DIE222" s="40" t="s">
        <v>91</v>
      </c>
      <c r="DIF222" s="40" t="s">
        <v>91</v>
      </c>
      <c r="DIG222" s="40" t="s">
        <v>91</v>
      </c>
      <c r="DIH222" s="40" t="s">
        <v>91</v>
      </c>
      <c r="DII222" s="40" t="s">
        <v>91</v>
      </c>
      <c r="DIJ222" s="40" t="s">
        <v>91</v>
      </c>
      <c r="DIK222" s="40" t="s">
        <v>91</v>
      </c>
      <c r="DIL222" s="40" t="s">
        <v>91</v>
      </c>
      <c r="DIM222" s="40" t="s">
        <v>91</v>
      </c>
      <c r="DIN222" s="40" t="s">
        <v>91</v>
      </c>
      <c r="DIO222" s="40" t="s">
        <v>91</v>
      </c>
      <c r="DIP222" s="40" t="s">
        <v>91</v>
      </c>
      <c r="DIQ222" s="40" t="s">
        <v>91</v>
      </c>
      <c r="DIR222" s="40" t="s">
        <v>91</v>
      </c>
      <c r="DIS222" s="40" t="s">
        <v>91</v>
      </c>
      <c r="DIT222" s="40" t="s">
        <v>91</v>
      </c>
      <c r="DIU222" s="40" t="s">
        <v>91</v>
      </c>
      <c r="DIV222" s="40" t="s">
        <v>91</v>
      </c>
      <c r="DIW222" s="40" t="s">
        <v>91</v>
      </c>
      <c r="DIX222" s="40" t="s">
        <v>91</v>
      </c>
      <c r="DIY222" s="40" t="s">
        <v>91</v>
      </c>
      <c r="DIZ222" s="40" t="s">
        <v>91</v>
      </c>
      <c r="DJA222" s="40" t="s">
        <v>91</v>
      </c>
      <c r="DJB222" s="40" t="s">
        <v>91</v>
      </c>
      <c r="DJC222" s="40" t="s">
        <v>91</v>
      </c>
      <c r="DJD222" s="40" t="s">
        <v>91</v>
      </c>
      <c r="DJE222" s="40" t="s">
        <v>91</v>
      </c>
      <c r="DJF222" s="40" t="s">
        <v>91</v>
      </c>
      <c r="DJG222" s="40" t="s">
        <v>91</v>
      </c>
      <c r="DJH222" s="40" t="s">
        <v>91</v>
      </c>
      <c r="DJI222" s="40" t="s">
        <v>91</v>
      </c>
      <c r="DJJ222" s="40" t="s">
        <v>91</v>
      </c>
      <c r="DJK222" s="40" t="s">
        <v>91</v>
      </c>
      <c r="DJL222" s="40" t="s">
        <v>91</v>
      </c>
      <c r="DJM222" s="40" t="s">
        <v>91</v>
      </c>
      <c r="DJN222" s="40" t="s">
        <v>91</v>
      </c>
      <c r="DJO222" s="40" t="s">
        <v>91</v>
      </c>
      <c r="DJP222" s="40" t="s">
        <v>91</v>
      </c>
      <c r="DJQ222" s="40" t="s">
        <v>91</v>
      </c>
      <c r="DJR222" s="40" t="s">
        <v>91</v>
      </c>
      <c r="DJS222" s="40" t="s">
        <v>91</v>
      </c>
      <c r="DJT222" s="40" t="s">
        <v>91</v>
      </c>
      <c r="DJU222" s="40" t="s">
        <v>91</v>
      </c>
      <c r="DJV222" s="40" t="s">
        <v>91</v>
      </c>
      <c r="DJW222" s="40" t="s">
        <v>91</v>
      </c>
      <c r="DJX222" s="40" t="s">
        <v>91</v>
      </c>
      <c r="DJY222" s="40" t="s">
        <v>91</v>
      </c>
      <c r="DJZ222" s="40" t="s">
        <v>91</v>
      </c>
      <c r="DKA222" s="40" t="s">
        <v>91</v>
      </c>
      <c r="DKB222" s="40" t="s">
        <v>91</v>
      </c>
      <c r="DKC222" s="40" t="s">
        <v>91</v>
      </c>
      <c r="DKD222" s="40" t="s">
        <v>91</v>
      </c>
      <c r="DKE222" s="40" t="s">
        <v>91</v>
      </c>
      <c r="DKF222" s="40" t="s">
        <v>91</v>
      </c>
      <c r="DKG222" s="40" t="s">
        <v>91</v>
      </c>
      <c r="DKH222" s="40" t="s">
        <v>91</v>
      </c>
      <c r="DKI222" s="40" t="s">
        <v>91</v>
      </c>
      <c r="DKJ222" s="40" t="s">
        <v>91</v>
      </c>
      <c r="DKK222" s="40" t="s">
        <v>91</v>
      </c>
      <c r="DKL222" s="40" t="s">
        <v>91</v>
      </c>
      <c r="DKM222" s="40" t="s">
        <v>91</v>
      </c>
      <c r="DKN222" s="40" t="s">
        <v>91</v>
      </c>
      <c r="DKO222" s="40" t="s">
        <v>91</v>
      </c>
      <c r="DKP222" s="40" t="s">
        <v>91</v>
      </c>
      <c r="DKQ222" s="40" t="s">
        <v>91</v>
      </c>
      <c r="DKR222" s="40" t="s">
        <v>91</v>
      </c>
      <c r="DKS222" s="40" t="s">
        <v>91</v>
      </c>
      <c r="DKT222" s="40" t="s">
        <v>91</v>
      </c>
      <c r="DKU222" s="40" t="s">
        <v>91</v>
      </c>
      <c r="DKV222" s="40" t="s">
        <v>91</v>
      </c>
      <c r="DKW222" s="40" t="s">
        <v>91</v>
      </c>
      <c r="DKX222" s="40" t="s">
        <v>91</v>
      </c>
      <c r="DKY222" s="40" t="s">
        <v>91</v>
      </c>
      <c r="DKZ222" s="40" t="s">
        <v>91</v>
      </c>
      <c r="DLA222" s="40" t="s">
        <v>91</v>
      </c>
      <c r="DLB222" s="40" t="s">
        <v>91</v>
      </c>
      <c r="DLC222" s="40" t="s">
        <v>91</v>
      </c>
      <c r="DLD222" s="40" t="s">
        <v>91</v>
      </c>
      <c r="DLE222" s="40" t="s">
        <v>91</v>
      </c>
      <c r="DLF222" s="40" t="s">
        <v>91</v>
      </c>
      <c r="DLG222" s="40" t="s">
        <v>91</v>
      </c>
      <c r="DLH222" s="40" t="s">
        <v>91</v>
      </c>
      <c r="DLI222" s="40" t="s">
        <v>91</v>
      </c>
      <c r="DLJ222" s="40" t="s">
        <v>91</v>
      </c>
      <c r="DLK222" s="40" t="s">
        <v>91</v>
      </c>
      <c r="DLL222" s="40" t="s">
        <v>91</v>
      </c>
      <c r="DLM222" s="40" t="s">
        <v>91</v>
      </c>
      <c r="DLN222" s="40" t="s">
        <v>91</v>
      </c>
      <c r="DLO222" s="40" t="s">
        <v>91</v>
      </c>
      <c r="DLP222" s="40" t="s">
        <v>91</v>
      </c>
      <c r="DLQ222" s="40" t="s">
        <v>91</v>
      </c>
      <c r="DLR222" s="40" t="s">
        <v>91</v>
      </c>
      <c r="DLS222" s="40" t="s">
        <v>91</v>
      </c>
      <c r="DLT222" s="40" t="s">
        <v>91</v>
      </c>
      <c r="DLU222" s="40" t="s">
        <v>91</v>
      </c>
      <c r="DLV222" s="40" t="s">
        <v>91</v>
      </c>
      <c r="DLW222" s="40" t="s">
        <v>91</v>
      </c>
      <c r="DLX222" s="40" t="s">
        <v>91</v>
      </c>
      <c r="DLY222" s="40" t="s">
        <v>91</v>
      </c>
      <c r="DLZ222" s="40" t="s">
        <v>91</v>
      </c>
      <c r="DMA222" s="40" t="s">
        <v>91</v>
      </c>
      <c r="DMB222" s="40" t="s">
        <v>91</v>
      </c>
      <c r="DMC222" s="40" t="s">
        <v>91</v>
      </c>
      <c r="DMD222" s="40" t="s">
        <v>91</v>
      </c>
      <c r="DME222" s="40" t="s">
        <v>91</v>
      </c>
      <c r="DMF222" s="40" t="s">
        <v>91</v>
      </c>
      <c r="DMG222" s="40" t="s">
        <v>91</v>
      </c>
      <c r="DMH222" s="40" t="s">
        <v>91</v>
      </c>
      <c r="DMI222" s="40" t="s">
        <v>91</v>
      </c>
      <c r="DMJ222" s="40" t="s">
        <v>91</v>
      </c>
      <c r="DMK222" s="40" t="s">
        <v>91</v>
      </c>
      <c r="DML222" s="40" t="s">
        <v>91</v>
      </c>
      <c r="DMM222" s="40" t="s">
        <v>91</v>
      </c>
      <c r="DMN222" s="40" t="s">
        <v>91</v>
      </c>
      <c r="DMO222" s="40" t="s">
        <v>91</v>
      </c>
      <c r="DMP222" s="40" t="s">
        <v>91</v>
      </c>
      <c r="DMQ222" s="40" t="s">
        <v>91</v>
      </c>
      <c r="DMR222" s="40" t="s">
        <v>91</v>
      </c>
      <c r="DMS222" s="40" t="s">
        <v>91</v>
      </c>
      <c r="DMT222" s="40" t="s">
        <v>91</v>
      </c>
      <c r="DMU222" s="40" t="s">
        <v>91</v>
      </c>
      <c r="DMV222" s="40" t="s">
        <v>91</v>
      </c>
      <c r="DMW222" s="40" t="s">
        <v>91</v>
      </c>
      <c r="DMX222" s="40" t="s">
        <v>91</v>
      </c>
      <c r="DMY222" s="40" t="s">
        <v>91</v>
      </c>
      <c r="DMZ222" s="40" t="s">
        <v>91</v>
      </c>
      <c r="DNA222" s="40" t="s">
        <v>91</v>
      </c>
      <c r="DNB222" s="40" t="s">
        <v>91</v>
      </c>
      <c r="DNC222" s="40" t="s">
        <v>91</v>
      </c>
      <c r="DND222" s="40" t="s">
        <v>91</v>
      </c>
      <c r="DNE222" s="40" t="s">
        <v>91</v>
      </c>
      <c r="DNF222" s="40" t="s">
        <v>91</v>
      </c>
      <c r="DNG222" s="40" t="s">
        <v>91</v>
      </c>
      <c r="DNH222" s="40" t="s">
        <v>91</v>
      </c>
      <c r="DNI222" s="40" t="s">
        <v>91</v>
      </c>
      <c r="DNJ222" s="40" t="s">
        <v>91</v>
      </c>
      <c r="DNK222" s="40" t="s">
        <v>91</v>
      </c>
      <c r="DNL222" s="40" t="s">
        <v>91</v>
      </c>
      <c r="DNM222" s="40" t="s">
        <v>91</v>
      </c>
      <c r="DNN222" s="40" t="s">
        <v>91</v>
      </c>
      <c r="DNO222" s="40" t="s">
        <v>91</v>
      </c>
      <c r="DNP222" s="40" t="s">
        <v>91</v>
      </c>
      <c r="DNQ222" s="40" t="s">
        <v>91</v>
      </c>
      <c r="DNR222" s="40" t="s">
        <v>91</v>
      </c>
      <c r="DNS222" s="40" t="s">
        <v>91</v>
      </c>
      <c r="DNT222" s="40" t="s">
        <v>91</v>
      </c>
      <c r="DNU222" s="40" t="s">
        <v>91</v>
      </c>
      <c r="DNV222" s="40" t="s">
        <v>91</v>
      </c>
      <c r="DNW222" s="40" t="s">
        <v>91</v>
      </c>
      <c r="DNX222" s="40" t="s">
        <v>91</v>
      </c>
      <c r="DNY222" s="40" t="s">
        <v>91</v>
      </c>
      <c r="DNZ222" s="40" t="s">
        <v>91</v>
      </c>
      <c r="DOA222" s="40" t="s">
        <v>91</v>
      </c>
      <c r="DOB222" s="40" t="s">
        <v>91</v>
      </c>
      <c r="DOC222" s="40" t="s">
        <v>91</v>
      </c>
      <c r="DOD222" s="40" t="s">
        <v>91</v>
      </c>
      <c r="DOE222" s="40" t="s">
        <v>91</v>
      </c>
      <c r="DOF222" s="40" t="s">
        <v>91</v>
      </c>
      <c r="DOG222" s="40" t="s">
        <v>91</v>
      </c>
      <c r="DOH222" s="40" t="s">
        <v>91</v>
      </c>
      <c r="DOI222" s="40" t="s">
        <v>91</v>
      </c>
      <c r="DOJ222" s="40" t="s">
        <v>91</v>
      </c>
      <c r="DOK222" s="40" t="s">
        <v>91</v>
      </c>
      <c r="DOL222" s="40" t="s">
        <v>91</v>
      </c>
      <c r="DOM222" s="40" t="s">
        <v>91</v>
      </c>
      <c r="DON222" s="40" t="s">
        <v>91</v>
      </c>
      <c r="DOO222" s="40" t="s">
        <v>91</v>
      </c>
      <c r="DOP222" s="40" t="s">
        <v>91</v>
      </c>
      <c r="DOQ222" s="40" t="s">
        <v>91</v>
      </c>
      <c r="DOR222" s="40" t="s">
        <v>91</v>
      </c>
      <c r="DOS222" s="40" t="s">
        <v>91</v>
      </c>
      <c r="DOT222" s="40" t="s">
        <v>91</v>
      </c>
      <c r="DOU222" s="40" t="s">
        <v>91</v>
      </c>
      <c r="DOV222" s="40" t="s">
        <v>91</v>
      </c>
      <c r="DOW222" s="40" t="s">
        <v>91</v>
      </c>
      <c r="DOX222" s="40" t="s">
        <v>91</v>
      </c>
      <c r="DOY222" s="40" t="s">
        <v>91</v>
      </c>
      <c r="DOZ222" s="40" t="s">
        <v>91</v>
      </c>
      <c r="DPA222" s="40" t="s">
        <v>91</v>
      </c>
      <c r="DPB222" s="40" t="s">
        <v>91</v>
      </c>
      <c r="DPC222" s="40" t="s">
        <v>91</v>
      </c>
      <c r="DPD222" s="40" t="s">
        <v>91</v>
      </c>
      <c r="DPE222" s="40" t="s">
        <v>91</v>
      </c>
      <c r="DPF222" s="40" t="s">
        <v>91</v>
      </c>
      <c r="DPG222" s="40" t="s">
        <v>91</v>
      </c>
      <c r="DPH222" s="40" t="s">
        <v>91</v>
      </c>
      <c r="DPI222" s="40" t="s">
        <v>91</v>
      </c>
      <c r="DPJ222" s="40" t="s">
        <v>91</v>
      </c>
      <c r="DPK222" s="40" t="s">
        <v>91</v>
      </c>
      <c r="DPL222" s="40" t="s">
        <v>91</v>
      </c>
      <c r="DPM222" s="40" t="s">
        <v>91</v>
      </c>
      <c r="DPN222" s="40" t="s">
        <v>91</v>
      </c>
      <c r="DPO222" s="40" t="s">
        <v>91</v>
      </c>
      <c r="DPP222" s="40" t="s">
        <v>91</v>
      </c>
      <c r="DPQ222" s="40" t="s">
        <v>91</v>
      </c>
      <c r="DPR222" s="40" t="s">
        <v>91</v>
      </c>
      <c r="DPS222" s="40" t="s">
        <v>91</v>
      </c>
      <c r="DPT222" s="40" t="s">
        <v>91</v>
      </c>
      <c r="DPU222" s="40" t="s">
        <v>91</v>
      </c>
      <c r="DPV222" s="40" t="s">
        <v>91</v>
      </c>
      <c r="DPW222" s="40" t="s">
        <v>91</v>
      </c>
      <c r="DPX222" s="40" t="s">
        <v>91</v>
      </c>
      <c r="DPY222" s="40" t="s">
        <v>91</v>
      </c>
      <c r="DPZ222" s="40" t="s">
        <v>91</v>
      </c>
      <c r="DQA222" s="40" t="s">
        <v>91</v>
      </c>
      <c r="DQB222" s="40" t="s">
        <v>91</v>
      </c>
      <c r="DQC222" s="40" t="s">
        <v>91</v>
      </c>
      <c r="DQD222" s="40" t="s">
        <v>91</v>
      </c>
      <c r="DQE222" s="40" t="s">
        <v>91</v>
      </c>
      <c r="DQF222" s="40" t="s">
        <v>91</v>
      </c>
      <c r="DQG222" s="40" t="s">
        <v>91</v>
      </c>
      <c r="DQH222" s="40" t="s">
        <v>91</v>
      </c>
      <c r="DQI222" s="40" t="s">
        <v>91</v>
      </c>
      <c r="DQJ222" s="40" t="s">
        <v>91</v>
      </c>
      <c r="DQK222" s="40" t="s">
        <v>91</v>
      </c>
      <c r="DQL222" s="40" t="s">
        <v>91</v>
      </c>
      <c r="DQM222" s="40" t="s">
        <v>91</v>
      </c>
      <c r="DQN222" s="40" t="s">
        <v>91</v>
      </c>
      <c r="DQO222" s="40" t="s">
        <v>91</v>
      </c>
      <c r="DQP222" s="40" t="s">
        <v>91</v>
      </c>
      <c r="DQQ222" s="40" t="s">
        <v>91</v>
      </c>
      <c r="DQR222" s="40" t="s">
        <v>91</v>
      </c>
      <c r="DQS222" s="40" t="s">
        <v>91</v>
      </c>
      <c r="DQT222" s="40" t="s">
        <v>91</v>
      </c>
      <c r="DQU222" s="40" t="s">
        <v>91</v>
      </c>
      <c r="DQV222" s="40" t="s">
        <v>91</v>
      </c>
      <c r="DQW222" s="40" t="s">
        <v>91</v>
      </c>
      <c r="DQX222" s="40" t="s">
        <v>91</v>
      </c>
      <c r="DQY222" s="40" t="s">
        <v>91</v>
      </c>
      <c r="DQZ222" s="40" t="s">
        <v>91</v>
      </c>
      <c r="DRA222" s="40" t="s">
        <v>91</v>
      </c>
      <c r="DRB222" s="40" t="s">
        <v>91</v>
      </c>
      <c r="DRC222" s="40" t="s">
        <v>91</v>
      </c>
      <c r="DRD222" s="40" t="s">
        <v>91</v>
      </c>
      <c r="DRE222" s="40" t="s">
        <v>91</v>
      </c>
      <c r="DRF222" s="40" t="s">
        <v>91</v>
      </c>
      <c r="DRG222" s="40" t="s">
        <v>91</v>
      </c>
      <c r="DRH222" s="40" t="s">
        <v>91</v>
      </c>
      <c r="DRI222" s="40" t="s">
        <v>91</v>
      </c>
      <c r="DRJ222" s="40" t="s">
        <v>91</v>
      </c>
      <c r="DRK222" s="40" t="s">
        <v>91</v>
      </c>
      <c r="DRL222" s="40" t="s">
        <v>91</v>
      </c>
      <c r="DRM222" s="40" t="s">
        <v>91</v>
      </c>
      <c r="DRN222" s="40" t="s">
        <v>91</v>
      </c>
      <c r="DRO222" s="40" t="s">
        <v>91</v>
      </c>
      <c r="DRP222" s="40" t="s">
        <v>91</v>
      </c>
      <c r="DRQ222" s="40" t="s">
        <v>91</v>
      </c>
      <c r="DRR222" s="40" t="s">
        <v>91</v>
      </c>
      <c r="DRS222" s="40" t="s">
        <v>91</v>
      </c>
      <c r="DRT222" s="40" t="s">
        <v>91</v>
      </c>
      <c r="DRU222" s="40" t="s">
        <v>91</v>
      </c>
      <c r="DRV222" s="40" t="s">
        <v>91</v>
      </c>
      <c r="DRW222" s="40" t="s">
        <v>91</v>
      </c>
      <c r="DRX222" s="40" t="s">
        <v>91</v>
      </c>
      <c r="DRY222" s="40" t="s">
        <v>91</v>
      </c>
      <c r="DRZ222" s="40" t="s">
        <v>91</v>
      </c>
      <c r="DSA222" s="40" t="s">
        <v>91</v>
      </c>
      <c r="DSB222" s="40" t="s">
        <v>91</v>
      </c>
      <c r="DSC222" s="40" t="s">
        <v>91</v>
      </c>
      <c r="DSD222" s="40" t="s">
        <v>91</v>
      </c>
      <c r="DSE222" s="40" t="s">
        <v>91</v>
      </c>
      <c r="DSF222" s="40" t="s">
        <v>91</v>
      </c>
      <c r="DSG222" s="40" t="s">
        <v>91</v>
      </c>
      <c r="DSH222" s="40" t="s">
        <v>91</v>
      </c>
      <c r="DSI222" s="40" t="s">
        <v>91</v>
      </c>
      <c r="DSJ222" s="40" t="s">
        <v>91</v>
      </c>
      <c r="DSK222" s="40" t="s">
        <v>91</v>
      </c>
      <c r="DSL222" s="40" t="s">
        <v>91</v>
      </c>
      <c r="DSM222" s="40" t="s">
        <v>91</v>
      </c>
      <c r="DSN222" s="40" t="s">
        <v>91</v>
      </c>
      <c r="DSO222" s="40" t="s">
        <v>91</v>
      </c>
      <c r="DSP222" s="40" t="s">
        <v>91</v>
      </c>
      <c r="DSQ222" s="40" t="s">
        <v>91</v>
      </c>
      <c r="DSR222" s="40" t="s">
        <v>91</v>
      </c>
      <c r="DSS222" s="40" t="s">
        <v>91</v>
      </c>
      <c r="DST222" s="40" t="s">
        <v>91</v>
      </c>
      <c r="DSU222" s="40" t="s">
        <v>91</v>
      </c>
      <c r="DSV222" s="40" t="s">
        <v>91</v>
      </c>
      <c r="DSW222" s="40" t="s">
        <v>91</v>
      </c>
      <c r="DSX222" s="40" t="s">
        <v>91</v>
      </c>
      <c r="DSY222" s="40" t="s">
        <v>91</v>
      </c>
      <c r="DSZ222" s="40" t="s">
        <v>91</v>
      </c>
      <c r="DTA222" s="40" t="s">
        <v>91</v>
      </c>
      <c r="DTB222" s="40" t="s">
        <v>91</v>
      </c>
      <c r="DTC222" s="40" t="s">
        <v>91</v>
      </c>
      <c r="DTD222" s="40" t="s">
        <v>91</v>
      </c>
      <c r="DTE222" s="40" t="s">
        <v>91</v>
      </c>
      <c r="DTF222" s="40" t="s">
        <v>91</v>
      </c>
      <c r="DTG222" s="40" t="s">
        <v>91</v>
      </c>
      <c r="DTH222" s="40" t="s">
        <v>91</v>
      </c>
      <c r="DTI222" s="40" t="s">
        <v>91</v>
      </c>
      <c r="DTJ222" s="40" t="s">
        <v>91</v>
      </c>
      <c r="DTK222" s="40" t="s">
        <v>91</v>
      </c>
      <c r="DTL222" s="40" t="s">
        <v>91</v>
      </c>
      <c r="DTM222" s="40" t="s">
        <v>91</v>
      </c>
      <c r="DTN222" s="40" t="s">
        <v>91</v>
      </c>
      <c r="DTO222" s="40" t="s">
        <v>91</v>
      </c>
      <c r="DTP222" s="40" t="s">
        <v>91</v>
      </c>
      <c r="DTQ222" s="40" t="s">
        <v>91</v>
      </c>
      <c r="DTR222" s="40" t="s">
        <v>91</v>
      </c>
      <c r="DTS222" s="40" t="s">
        <v>91</v>
      </c>
      <c r="DTT222" s="40" t="s">
        <v>91</v>
      </c>
      <c r="DTU222" s="40" t="s">
        <v>91</v>
      </c>
      <c r="DTV222" s="40" t="s">
        <v>91</v>
      </c>
      <c r="DTW222" s="40" t="s">
        <v>91</v>
      </c>
      <c r="DTX222" s="40" t="s">
        <v>91</v>
      </c>
      <c r="DTY222" s="40" t="s">
        <v>91</v>
      </c>
      <c r="DTZ222" s="40" t="s">
        <v>91</v>
      </c>
      <c r="DUA222" s="40" t="s">
        <v>91</v>
      </c>
      <c r="DUB222" s="40" t="s">
        <v>91</v>
      </c>
      <c r="DUC222" s="40" t="s">
        <v>91</v>
      </c>
      <c r="DUD222" s="40" t="s">
        <v>91</v>
      </c>
      <c r="DUE222" s="40" t="s">
        <v>91</v>
      </c>
      <c r="DUF222" s="40" t="s">
        <v>91</v>
      </c>
      <c r="DUG222" s="40" t="s">
        <v>91</v>
      </c>
      <c r="DUH222" s="40" t="s">
        <v>91</v>
      </c>
      <c r="DUI222" s="40" t="s">
        <v>91</v>
      </c>
      <c r="DUJ222" s="40" t="s">
        <v>91</v>
      </c>
      <c r="DUK222" s="40" t="s">
        <v>91</v>
      </c>
      <c r="DUL222" s="40" t="s">
        <v>91</v>
      </c>
      <c r="DUM222" s="40" t="s">
        <v>91</v>
      </c>
      <c r="DUN222" s="40" t="s">
        <v>91</v>
      </c>
      <c r="DUO222" s="40" t="s">
        <v>91</v>
      </c>
      <c r="DUP222" s="40" t="s">
        <v>91</v>
      </c>
      <c r="DUQ222" s="40" t="s">
        <v>91</v>
      </c>
      <c r="DUR222" s="40" t="s">
        <v>91</v>
      </c>
      <c r="DUS222" s="40" t="s">
        <v>91</v>
      </c>
      <c r="DUT222" s="40" t="s">
        <v>91</v>
      </c>
      <c r="DUU222" s="40" t="s">
        <v>91</v>
      </c>
      <c r="DUV222" s="40" t="s">
        <v>91</v>
      </c>
      <c r="DUW222" s="40" t="s">
        <v>91</v>
      </c>
      <c r="DUX222" s="40" t="s">
        <v>91</v>
      </c>
      <c r="DUY222" s="40" t="s">
        <v>91</v>
      </c>
      <c r="DUZ222" s="40" t="s">
        <v>91</v>
      </c>
      <c r="DVA222" s="40" t="s">
        <v>91</v>
      </c>
      <c r="DVB222" s="40" t="s">
        <v>91</v>
      </c>
      <c r="DVC222" s="40" t="s">
        <v>91</v>
      </c>
      <c r="DVD222" s="40" t="s">
        <v>91</v>
      </c>
      <c r="DVE222" s="40" t="s">
        <v>91</v>
      </c>
      <c r="DVF222" s="40" t="s">
        <v>91</v>
      </c>
      <c r="DVG222" s="40" t="s">
        <v>91</v>
      </c>
      <c r="DVH222" s="40" t="s">
        <v>91</v>
      </c>
      <c r="DVI222" s="40" t="s">
        <v>91</v>
      </c>
      <c r="DVJ222" s="40" t="s">
        <v>91</v>
      </c>
      <c r="DVK222" s="40" t="s">
        <v>91</v>
      </c>
      <c r="DVL222" s="40" t="s">
        <v>91</v>
      </c>
      <c r="DVM222" s="40" t="s">
        <v>91</v>
      </c>
      <c r="DVN222" s="40" t="s">
        <v>91</v>
      </c>
      <c r="DVO222" s="40" t="s">
        <v>91</v>
      </c>
      <c r="DVP222" s="40" t="s">
        <v>91</v>
      </c>
      <c r="DVQ222" s="40" t="s">
        <v>91</v>
      </c>
      <c r="DVR222" s="40" t="s">
        <v>91</v>
      </c>
      <c r="DVS222" s="40" t="s">
        <v>91</v>
      </c>
      <c r="DVT222" s="40" t="s">
        <v>91</v>
      </c>
      <c r="DVU222" s="40" t="s">
        <v>91</v>
      </c>
      <c r="DVV222" s="40" t="s">
        <v>91</v>
      </c>
      <c r="DVW222" s="40" t="s">
        <v>91</v>
      </c>
      <c r="DVX222" s="40" t="s">
        <v>91</v>
      </c>
      <c r="DVY222" s="40" t="s">
        <v>91</v>
      </c>
      <c r="DVZ222" s="40" t="s">
        <v>91</v>
      </c>
      <c r="DWA222" s="40" t="s">
        <v>91</v>
      </c>
      <c r="DWB222" s="40" t="s">
        <v>91</v>
      </c>
      <c r="DWC222" s="40" t="s">
        <v>91</v>
      </c>
      <c r="DWD222" s="40" t="s">
        <v>91</v>
      </c>
      <c r="DWE222" s="40" t="s">
        <v>91</v>
      </c>
      <c r="DWF222" s="40" t="s">
        <v>91</v>
      </c>
      <c r="DWG222" s="40" t="s">
        <v>91</v>
      </c>
      <c r="DWH222" s="40" t="s">
        <v>91</v>
      </c>
      <c r="DWI222" s="40" t="s">
        <v>91</v>
      </c>
      <c r="DWJ222" s="40" t="s">
        <v>91</v>
      </c>
      <c r="DWK222" s="40" t="s">
        <v>91</v>
      </c>
      <c r="DWL222" s="40" t="s">
        <v>91</v>
      </c>
      <c r="DWM222" s="40" t="s">
        <v>91</v>
      </c>
      <c r="DWN222" s="40" t="s">
        <v>91</v>
      </c>
      <c r="DWO222" s="40" t="s">
        <v>91</v>
      </c>
      <c r="DWP222" s="40" t="s">
        <v>91</v>
      </c>
      <c r="DWQ222" s="40" t="s">
        <v>91</v>
      </c>
      <c r="DWR222" s="40" t="s">
        <v>91</v>
      </c>
      <c r="DWS222" s="40" t="s">
        <v>91</v>
      </c>
      <c r="DWT222" s="40" t="s">
        <v>91</v>
      </c>
      <c r="DWU222" s="40" t="s">
        <v>91</v>
      </c>
      <c r="DWV222" s="40" t="s">
        <v>91</v>
      </c>
      <c r="DWW222" s="40" t="s">
        <v>91</v>
      </c>
      <c r="DWX222" s="40" t="s">
        <v>91</v>
      </c>
      <c r="DWY222" s="40" t="s">
        <v>91</v>
      </c>
      <c r="DWZ222" s="40" t="s">
        <v>91</v>
      </c>
      <c r="DXA222" s="40" t="s">
        <v>91</v>
      </c>
      <c r="DXB222" s="40" t="s">
        <v>91</v>
      </c>
      <c r="DXC222" s="40" t="s">
        <v>91</v>
      </c>
      <c r="DXD222" s="40" t="s">
        <v>91</v>
      </c>
      <c r="DXE222" s="40" t="s">
        <v>91</v>
      </c>
      <c r="DXF222" s="40" t="s">
        <v>91</v>
      </c>
      <c r="DXG222" s="40" t="s">
        <v>91</v>
      </c>
      <c r="DXH222" s="40" t="s">
        <v>91</v>
      </c>
      <c r="DXI222" s="40" t="s">
        <v>91</v>
      </c>
      <c r="DXJ222" s="40" t="s">
        <v>91</v>
      </c>
      <c r="DXK222" s="40" t="s">
        <v>91</v>
      </c>
      <c r="DXL222" s="40" t="s">
        <v>91</v>
      </c>
      <c r="DXM222" s="40" t="s">
        <v>91</v>
      </c>
      <c r="DXN222" s="40" t="s">
        <v>91</v>
      </c>
      <c r="DXO222" s="40" t="s">
        <v>91</v>
      </c>
      <c r="DXP222" s="40" t="s">
        <v>91</v>
      </c>
      <c r="DXQ222" s="40" t="s">
        <v>91</v>
      </c>
      <c r="DXR222" s="40" t="s">
        <v>91</v>
      </c>
      <c r="DXS222" s="40" t="s">
        <v>91</v>
      </c>
      <c r="DXT222" s="40" t="s">
        <v>91</v>
      </c>
      <c r="DXU222" s="40" t="s">
        <v>91</v>
      </c>
      <c r="DXV222" s="40" t="s">
        <v>91</v>
      </c>
      <c r="DXW222" s="40" t="s">
        <v>91</v>
      </c>
      <c r="DXX222" s="40" t="s">
        <v>91</v>
      </c>
      <c r="DXY222" s="40" t="s">
        <v>91</v>
      </c>
      <c r="DXZ222" s="40" t="s">
        <v>91</v>
      </c>
      <c r="DYA222" s="40" t="s">
        <v>91</v>
      </c>
      <c r="DYB222" s="40" t="s">
        <v>91</v>
      </c>
      <c r="DYC222" s="40" t="s">
        <v>91</v>
      </c>
      <c r="DYD222" s="40" t="s">
        <v>91</v>
      </c>
      <c r="DYE222" s="40" t="s">
        <v>91</v>
      </c>
      <c r="DYF222" s="40" t="s">
        <v>91</v>
      </c>
      <c r="DYG222" s="40" t="s">
        <v>91</v>
      </c>
      <c r="DYH222" s="40" t="s">
        <v>91</v>
      </c>
      <c r="DYI222" s="40" t="s">
        <v>91</v>
      </c>
      <c r="DYJ222" s="40" t="s">
        <v>91</v>
      </c>
      <c r="DYK222" s="40" t="s">
        <v>91</v>
      </c>
      <c r="DYL222" s="40" t="s">
        <v>91</v>
      </c>
      <c r="DYM222" s="40" t="s">
        <v>91</v>
      </c>
      <c r="DYN222" s="40" t="s">
        <v>91</v>
      </c>
      <c r="DYO222" s="40" t="s">
        <v>91</v>
      </c>
      <c r="DYP222" s="40" t="s">
        <v>91</v>
      </c>
      <c r="DYQ222" s="40" t="s">
        <v>91</v>
      </c>
      <c r="DYR222" s="40" t="s">
        <v>91</v>
      </c>
      <c r="DYS222" s="40" t="s">
        <v>91</v>
      </c>
      <c r="DYT222" s="40" t="s">
        <v>91</v>
      </c>
      <c r="DYU222" s="40" t="s">
        <v>91</v>
      </c>
      <c r="DYV222" s="40" t="s">
        <v>91</v>
      </c>
      <c r="DYW222" s="40" t="s">
        <v>91</v>
      </c>
      <c r="DYX222" s="40" t="s">
        <v>91</v>
      </c>
      <c r="DYY222" s="40" t="s">
        <v>91</v>
      </c>
      <c r="DYZ222" s="40" t="s">
        <v>91</v>
      </c>
      <c r="DZA222" s="40" t="s">
        <v>91</v>
      </c>
      <c r="DZB222" s="40" t="s">
        <v>91</v>
      </c>
      <c r="DZC222" s="40" t="s">
        <v>91</v>
      </c>
      <c r="DZD222" s="40" t="s">
        <v>91</v>
      </c>
      <c r="DZE222" s="40" t="s">
        <v>91</v>
      </c>
      <c r="DZF222" s="40" t="s">
        <v>91</v>
      </c>
      <c r="DZG222" s="40" t="s">
        <v>91</v>
      </c>
      <c r="DZH222" s="40" t="s">
        <v>91</v>
      </c>
      <c r="DZI222" s="40" t="s">
        <v>91</v>
      </c>
      <c r="DZJ222" s="40" t="s">
        <v>91</v>
      </c>
      <c r="DZK222" s="40" t="s">
        <v>91</v>
      </c>
      <c r="DZL222" s="40" t="s">
        <v>91</v>
      </c>
      <c r="DZM222" s="40" t="s">
        <v>91</v>
      </c>
      <c r="DZN222" s="40" t="s">
        <v>91</v>
      </c>
      <c r="DZO222" s="40" t="s">
        <v>91</v>
      </c>
      <c r="DZP222" s="40" t="s">
        <v>91</v>
      </c>
      <c r="DZQ222" s="40" t="s">
        <v>91</v>
      </c>
      <c r="DZR222" s="40" t="s">
        <v>91</v>
      </c>
      <c r="DZS222" s="40" t="s">
        <v>91</v>
      </c>
      <c r="DZT222" s="40" t="s">
        <v>91</v>
      </c>
      <c r="DZU222" s="40" t="s">
        <v>91</v>
      </c>
      <c r="DZV222" s="40" t="s">
        <v>91</v>
      </c>
      <c r="DZW222" s="40" t="s">
        <v>91</v>
      </c>
      <c r="DZX222" s="40" t="s">
        <v>91</v>
      </c>
      <c r="DZY222" s="40" t="s">
        <v>91</v>
      </c>
      <c r="DZZ222" s="40" t="s">
        <v>91</v>
      </c>
      <c r="EAA222" s="40" t="s">
        <v>91</v>
      </c>
      <c r="EAB222" s="40" t="s">
        <v>91</v>
      </c>
      <c r="EAC222" s="40" t="s">
        <v>91</v>
      </c>
      <c r="EAD222" s="40" t="s">
        <v>91</v>
      </c>
      <c r="EAE222" s="40" t="s">
        <v>91</v>
      </c>
      <c r="EAF222" s="40" t="s">
        <v>91</v>
      </c>
      <c r="EAG222" s="40" t="s">
        <v>91</v>
      </c>
      <c r="EAH222" s="40" t="s">
        <v>91</v>
      </c>
      <c r="EAI222" s="40" t="s">
        <v>91</v>
      </c>
      <c r="EAJ222" s="40" t="s">
        <v>91</v>
      </c>
      <c r="EAK222" s="40" t="s">
        <v>91</v>
      </c>
      <c r="EAL222" s="40" t="s">
        <v>91</v>
      </c>
      <c r="EAM222" s="40" t="s">
        <v>91</v>
      </c>
      <c r="EAN222" s="40" t="s">
        <v>91</v>
      </c>
      <c r="EAO222" s="40" t="s">
        <v>91</v>
      </c>
      <c r="EAP222" s="40" t="s">
        <v>91</v>
      </c>
      <c r="EAQ222" s="40" t="s">
        <v>91</v>
      </c>
      <c r="EAR222" s="40" t="s">
        <v>91</v>
      </c>
      <c r="EAS222" s="40" t="s">
        <v>91</v>
      </c>
      <c r="EAT222" s="40" t="s">
        <v>91</v>
      </c>
      <c r="EAU222" s="40" t="s">
        <v>91</v>
      </c>
      <c r="EAV222" s="40" t="s">
        <v>91</v>
      </c>
      <c r="EAW222" s="40" t="s">
        <v>91</v>
      </c>
      <c r="EAX222" s="40" t="s">
        <v>91</v>
      </c>
      <c r="EAY222" s="40" t="s">
        <v>91</v>
      </c>
      <c r="EAZ222" s="40" t="s">
        <v>91</v>
      </c>
      <c r="EBA222" s="40" t="s">
        <v>91</v>
      </c>
      <c r="EBB222" s="40" t="s">
        <v>91</v>
      </c>
      <c r="EBC222" s="40" t="s">
        <v>91</v>
      </c>
      <c r="EBD222" s="40" t="s">
        <v>91</v>
      </c>
      <c r="EBE222" s="40" t="s">
        <v>91</v>
      </c>
      <c r="EBF222" s="40" t="s">
        <v>91</v>
      </c>
      <c r="EBG222" s="40" t="s">
        <v>91</v>
      </c>
      <c r="EBH222" s="40" t="s">
        <v>91</v>
      </c>
      <c r="EBI222" s="40" t="s">
        <v>91</v>
      </c>
      <c r="EBJ222" s="40" t="s">
        <v>91</v>
      </c>
      <c r="EBK222" s="40" t="s">
        <v>91</v>
      </c>
      <c r="EBL222" s="40" t="s">
        <v>91</v>
      </c>
      <c r="EBM222" s="40" t="s">
        <v>91</v>
      </c>
      <c r="EBN222" s="40" t="s">
        <v>91</v>
      </c>
      <c r="EBO222" s="40" t="s">
        <v>91</v>
      </c>
      <c r="EBP222" s="40" t="s">
        <v>91</v>
      </c>
      <c r="EBQ222" s="40" t="s">
        <v>91</v>
      </c>
      <c r="EBR222" s="40" t="s">
        <v>91</v>
      </c>
      <c r="EBS222" s="40" t="s">
        <v>91</v>
      </c>
      <c r="EBT222" s="40" t="s">
        <v>91</v>
      </c>
      <c r="EBU222" s="40" t="s">
        <v>91</v>
      </c>
      <c r="EBV222" s="40" t="s">
        <v>91</v>
      </c>
      <c r="EBW222" s="40" t="s">
        <v>91</v>
      </c>
      <c r="EBX222" s="40" t="s">
        <v>91</v>
      </c>
      <c r="EBY222" s="40" t="s">
        <v>91</v>
      </c>
      <c r="EBZ222" s="40" t="s">
        <v>91</v>
      </c>
      <c r="ECA222" s="40" t="s">
        <v>91</v>
      </c>
      <c r="ECB222" s="40" t="s">
        <v>91</v>
      </c>
      <c r="ECC222" s="40" t="s">
        <v>91</v>
      </c>
      <c r="ECD222" s="40" t="s">
        <v>91</v>
      </c>
      <c r="ECE222" s="40" t="s">
        <v>91</v>
      </c>
      <c r="ECF222" s="40" t="s">
        <v>91</v>
      </c>
      <c r="ECG222" s="40" t="s">
        <v>91</v>
      </c>
      <c r="ECH222" s="40" t="s">
        <v>91</v>
      </c>
      <c r="ECI222" s="40" t="s">
        <v>91</v>
      </c>
      <c r="ECJ222" s="40" t="s">
        <v>91</v>
      </c>
      <c r="ECK222" s="40" t="s">
        <v>91</v>
      </c>
      <c r="ECL222" s="40" t="s">
        <v>91</v>
      </c>
      <c r="ECM222" s="40" t="s">
        <v>91</v>
      </c>
      <c r="ECN222" s="40" t="s">
        <v>91</v>
      </c>
      <c r="ECO222" s="40" t="s">
        <v>91</v>
      </c>
      <c r="ECP222" s="40" t="s">
        <v>91</v>
      </c>
      <c r="ECQ222" s="40" t="s">
        <v>91</v>
      </c>
      <c r="ECR222" s="40" t="s">
        <v>91</v>
      </c>
      <c r="ECS222" s="40" t="s">
        <v>91</v>
      </c>
      <c r="ECT222" s="40" t="s">
        <v>91</v>
      </c>
      <c r="ECU222" s="40" t="s">
        <v>91</v>
      </c>
      <c r="ECV222" s="40" t="s">
        <v>91</v>
      </c>
      <c r="ECW222" s="40" t="s">
        <v>91</v>
      </c>
      <c r="ECX222" s="40" t="s">
        <v>91</v>
      </c>
      <c r="ECY222" s="40" t="s">
        <v>91</v>
      </c>
      <c r="ECZ222" s="40" t="s">
        <v>91</v>
      </c>
      <c r="EDA222" s="40" t="s">
        <v>91</v>
      </c>
      <c r="EDB222" s="40" t="s">
        <v>91</v>
      </c>
      <c r="EDC222" s="40" t="s">
        <v>91</v>
      </c>
      <c r="EDD222" s="40" t="s">
        <v>91</v>
      </c>
      <c r="EDE222" s="40" t="s">
        <v>91</v>
      </c>
      <c r="EDF222" s="40" t="s">
        <v>91</v>
      </c>
      <c r="EDG222" s="40" t="s">
        <v>91</v>
      </c>
      <c r="EDH222" s="40" t="s">
        <v>91</v>
      </c>
      <c r="EDI222" s="40" t="s">
        <v>91</v>
      </c>
      <c r="EDJ222" s="40" t="s">
        <v>91</v>
      </c>
      <c r="EDK222" s="40" t="s">
        <v>91</v>
      </c>
      <c r="EDL222" s="40" t="s">
        <v>91</v>
      </c>
      <c r="EDM222" s="40" t="s">
        <v>91</v>
      </c>
      <c r="EDN222" s="40" t="s">
        <v>91</v>
      </c>
      <c r="EDO222" s="40" t="s">
        <v>91</v>
      </c>
      <c r="EDP222" s="40" t="s">
        <v>91</v>
      </c>
      <c r="EDQ222" s="40" t="s">
        <v>91</v>
      </c>
      <c r="EDR222" s="40" t="s">
        <v>91</v>
      </c>
      <c r="EDS222" s="40" t="s">
        <v>91</v>
      </c>
      <c r="EDT222" s="40" t="s">
        <v>91</v>
      </c>
      <c r="EDU222" s="40" t="s">
        <v>91</v>
      </c>
      <c r="EDV222" s="40" t="s">
        <v>91</v>
      </c>
      <c r="EDW222" s="40" t="s">
        <v>91</v>
      </c>
      <c r="EDX222" s="40" t="s">
        <v>91</v>
      </c>
      <c r="EDY222" s="40" t="s">
        <v>91</v>
      </c>
      <c r="EDZ222" s="40" t="s">
        <v>91</v>
      </c>
      <c r="EEA222" s="40" t="s">
        <v>91</v>
      </c>
      <c r="EEB222" s="40" t="s">
        <v>91</v>
      </c>
      <c r="EEC222" s="40" t="s">
        <v>91</v>
      </c>
      <c r="EED222" s="40" t="s">
        <v>91</v>
      </c>
      <c r="EEE222" s="40" t="s">
        <v>91</v>
      </c>
      <c r="EEF222" s="40" t="s">
        <v>91</v>
      </c>
      <c r="EEG222" s="40" t="s">
        <v>91</v>
      </c>
      <c r="EEH222" s="40" t="s">
        <v>91</v>
      </c>
      <c r="EEI222" s="40" t="s">
        <v>91</v>
      </c>
      <c r="EEJ222" s="40" t="s">
        <v>91</v>
      </c>
      <c r="EEK222" s="40" t="s">
        <v>91</v>
      </c>
      <c r="EEL222" s="40" t="s">
        <v>91</v>
      </c>
      <c r="EEM222" s="40" t="s">
        <v>91</v>
      </c>
      <c r="EEN222" s="40" t="s">
        <v>91</v>
      </c>
      <c r="EEO222" s="40" t="s">
        <v>91</v>
      </c>
      <c r="EEP222" s="40" t="s">
        <v>91</v>
      </c>
      <c r="EEQ222" s="40" t="s">
        <v>91</v>
      </c>
      <c r="EER222" s="40" t="s">
        <v>91</v>
      </c>
      <c r="EES222" s="40" t="s">
        <v>91</v>
      </c>
      <c r="EET222" s="40" t="s">
        <v>91</v>
      </c>
      <c r="EEU222" s="40" t="s">
        <v>91</v>
      </c>
      <c r="EEV222" s="40" t="s">
        <v>91</v>
      </c>
      <c r="EEW222" s="40" t="s">
        <v>91</v>
      </c>
      <c r="EEX222" s="40" t="s">
        <v>91</v>
      </c>
      <c r="EEY222" s="40" t="s">
        <v>91</v>
      </c>
      <c r="EEZ222" s="40" t="s">
        <v>91</v>
      </c>
      <c r="EFA222" s="40" t="s">
        <v>91</v>
      </c>
      <c r="EFB222" s="40" t="s">
        <v>91</v>
      </c>
      <c r="EFC222" s="40" t="s">
        <v>91</v>
      </c>
      <c r="EFD222" s="40" t="s">
        <v>91</v>
      </c>
      <c r="EFE222" s="40" t="s">
        <v>91</v>
      </c>
      <c r="EFF222" s="40" t="s">
        <v>91</v>
      </c>
      <c r="EFG222" s="40" t="s">
        <v>91</v>
      </c>
      <c r="EFH222" s="40" t="s">
        <v>91</v>
      </c>
      <c r="EFI222" s="40" t="s">
        <v>91</v>
      </c>
      <c r="EFJ222" s="40" t="s">
        <v>91</v>
      </c>
      <c r="EFK222" s="40" t="s">
        <v>91</v>
      </c>
      <c r="EFL222" s="40" t="s">
        <v>91</v>
      </c>
      <c r="EFM222" s="40" t="s">
        <v>91</v>
      </c>
      <c r="EFN222" s="40" t="s">
        <v>91</v>
      </c>
      <c r="EFO222" s="40" t="s">
        <v>91</v>
      </c>
      <c r="EFP222" s="40" t="s">
        <v>91</v>
      </c>
      <c r="EFQ222" s="40" t="s">
        <v>91</v>
      </c>
      <c r="EFR222" s="40" t="s">
        <v>91</v>
      </c>
      <c r="EFS222" s="40" t="s">
        <v>91</v>
      </c>
      <c r="EFT222" s="40" t="s">
        <v>91</v>
      </c>
      <c r="EFU222" s="40" t="s">
        <v>91</v>
      </c>
      <c r="EFV222" s="40" t="s">
        <v>91</v>
      </c>
      <c r="EFW222" s="40" t="s">
        <v>91</v>
      </c>
      <c r="EFX222" s="40" t="s">
        <v>91</v>
      </c>
      <c r="EFY222" s="40" t="s">
        <v>91</v>
      </c>
      <c r="EFZ222" s="40" t="s">
        <v>91</v>
      </c>
      <c r="EGA222" s="40" t="s">
        <v>91</v>
      </c>
      <c r="EGB222" s="40" t="s">
        <v>91</v>
      </c>
      <c r="EGC222" s="40" t="s">
        <v>91</v>
      </c>
      <c r="EGD222" s="40" t="s">
        <v>91</v>
      </c>
      <c r="EGE222" s="40" t="s">
        <v>91</v>
      </c>
      <c r="EGF222" s="40" t="s">
        <v>91</v>
      </c>
      <c r="EGG222" s="40" t="s">
        <v>91</v>
      </c>
      <c r="EGH222" s="40" t="s">
        <v>91</v>
      </c>
      <c r="EGI222" s="40" t="s">
        <v>91</v>
      </c>
      <c r="EGJ222" s="40" t="s">
        <v>91</v>
      </c>
      <c r="EGK222" s="40" t="s">
        <v>91</v>
      </c>
      <c r="EGL222" s="40" t="s">
        <v>91</v>
      </c>
      <c r="EGM222" s="40" t="s">
        <v>91</v>
      </c>
      <c r="EGN222" s="40" t="s">
        <v>91</v>
      </c>
      <c r="EGO222" s="40" t="s">
        <v>91</v>
      </c>
      <c r="EGP222" s="40" t="s">
        <v>91</v>
      </c>
      <c r="EGQ222" s="40" t="s">
        <v>91</v>
      </c>
      <c r="EGR222" s="40" t="s">
        <v>91</v>
      </c>
      <c r="EGS222" s="40" t="s">
        <v>91</v>
      </c>
      <c r="EGT222" s="40" t="s">
        <v>91</v>
      </c>
      <c r="EGU222" s="40" t="s">
        <v>91</v>
      </c>
      <c r="EGV222" s="40" t="s">
        <v>91</v>
      </c>
      <c r="EGW222" s="40" t="s">
        <v>91</v>
      </c>
      <c r="EGX222" s="40" t="s">
        <v>91</v>
      </c>
      <c r="EGY222" s="40" t="s">
        <v>91</v>
      </c>
      <c r="EGZ222" s="40" t="s">
        <v>91</v>
      </c>
      <c r="EHA222" s="40" t="s">
        <v>91</v>
      </c>
      <c r="EHB222" s="40" t="s">
        <v>91</v>
      </c>
      <c r="EHC222" s="40" t="s">
        <v>91</v>
      </c>
      <c r="EHD222" s="40" t="s">
        <v>91</v>
      </c>
      <c r="EHE222" s="40" t="s">
        <v>91</v>
      </c>
      <c r="EHF222" s="40" t="s">
        <v>91</v>
      </c>
      <c r="EHG222" s="40" t="s">
        <v>91</v>
      </c>
      <c r="EHH222" s="40" t="s">
        <v>91</v>
      </c>
      <c r="EHI222" s="40" t="s">
        <v>91</v>
      </c>
      <c r="EHJ222" s="40" t="s">
        <v>91</v>
      </c>
      <c r="EHK222" s="40" t="s">
        <v>91</v>
      </c>
      <c r="EHL222" s="40" t="s">
        <v>91</v>
      </c>
      <c r="EHM222" s="40" t="s">
        <v>91</v>
      </c>
      <c r="EHN222" s="40" t="s">
        <v>91</v>
      </c>
      <c r="EHO222" s="40" t="s">
        <v>91</v>
      </c>
      <c r="EHP222" s="40" t="s">
        <v>91</v>
      </c>
      <c r="EHQ222" s="40" t="s">
        <v>91</v>
      </c>
      <c r="EHR222" s="40" t="s">
        <v>91</v>
      </c>
      <c r="EHS222" s="40" t="s">
        <v>91</v>
      </c>
      <c r="EHT222" s="40" t="s">
        <v>91</v>
      </c>
      <c r="EHU222" s="40" t="s">
        <v>91</v>
      </c>
      <c r="EHV222" s="40" t="s">
        <v>91</v>
      </c>
      <c r="EHW222" s="40" t="s">
        <v>91</v>
      </c>
      <c r="EHX222" s="40" t="s">
        <v>91</v>
      </c>
      <c r="EHY222" s="40" t="s">
        <v>91</v>
      </c>
      <c r="EHZ222" s="40" t="s">
        <v>91</v>
      </c>
      <c r="EIA222" s="40" t="s">
        <v>91</v>
      </c>
      <c r="EIB222" s="40" t="s">
        <v>91</v>
      </c>
      <c r="EIC222" s="40" t="s">
        <v>91</v>
      </c>
      <c r="EID222" s="40" t="s">
        <v>91</v>
      </c>
      <c r="EIE222" s="40" t="s">
        <v>91</v>
      </c>
      <c r="EIF222" s="40" t="s">
        <v>91</v>
      </c>
      <c r="EIG222" s="40" t="s">
        <v>91</v>
      </c>
      <c r="EIH222" s="40" t="s">
        <v>91</v>
      </c>
      <c r="EII222" s="40" t="s">
        <v>91</v>
      </c>
      <c r="EIJ222" s="40" t="s">
        <v>91</v>
      </c>
      <c r="EIK222" s="40" t="s">
        <v>91</v>
      </c>
      <c r="EIL222" s="40" t="s">
        <v>91</v>
      </c>
      <c r="EIM222" s="40" t="s">
        <v>91</v>
      </c>
      <c r="EIN222" s="40" t="s">
        <v>91</v>
      </c>
      <c r="EIO222" s="40" t="s">
        <v>91</v>
      </c>
      <c r="EIP222" s="40" t="s">
        <v>91</v>
      </c>
      <c r="EIQ222" s="40" t="s">
        <v>91</v>
      </c>
      <c r="EIR222" s="40" t="s">
        <v>91</v>
      </c>
      <c r="EIS222" s="40" t="s">
        <v>91</v>
      </c>
      <c r="EIT222" s="40" t="s">
        <v>91</v>
      </c>
      <c r="EIU222" s="40" t="s">
        <v>91</v>
      </c>
      <c r="EIV222" s="40" t="s">
        <v>91</v>
      </c>
      <c r="EIW222" s="40" t="s">
        <v>91</v>
      </c>
      <c r="EIX222" s="40" t="s">
        <v>91</v>
      </c>
      <c r="EIY222" s="40" t="s">
        <v>91</v>
      </c>
      <c r="EIZ222" s="40" t="s">
        <v>91</v>
      </c>
      <c r="EJA222" s="40" t="s">
        <v>91</v>
      </c>
      <c r="EJB222" s="40" t="s">
        <v>91</v>
      </c>
      <c r="EJC222" s="40" t="s">
        <v>91</v>
      </c>
      <c r="EJD222" s="40" t="s">
        <v>91</v>
      </c>
      <c r="EJE222" s="40" t="s">
        <v>91</v>
      </c>
      <c r="EJF222" s="40" t="s">
        <v>91</v>
      </c>
      <c r="EJG222" s="40" t="s">
        <v>91</v>
      </c>
      <c r="EJH222" s="40" t="s">
        <v>91</v>
      </c>
      <c r="EJI222" s="40" t="s">
        <v>91</v>
      </c>
      <c r="EJJ222" s="40" t="s">
        <v>91</v>
      </c>
      <c r="EJK222" s="40" t="s">
        <v>91</v>
      </c>
      <c r="EJL222" s="40" t="s">
        <v>91</v>
      </c>
      <c r="EJM222" s="40" t="s">
        <v>91</v>
      </c>
      <c r="EJN222" s="40" t="s">
        <v>91</v>
      </c>
      <c r="EJO222" s="40" t="s">
        <v>91</v>
      </c>
      <c r="EJP222" s="40" t="s">
        <v>91</v>
      </c>
      <c r="EJQ222" s="40" t="s">
        <v>91</v>
      </c>
      <c r="EJR222" s="40" t="s">
        <v>91</v>
      </c>
      <c r="EJS222" s="40" t="s">
        <v>91</v>
      </c>
      <c r="EJT222" s="40" t="s">
        <v>91</v>
      </c>
      <c r="EJU222" s="40" t="s">
        <v>91</v>
      </c>
      <c r="EJV222" s="40" t="s">
        <v>91</v>
      </c>
      <c r="EJW222" s="40" t="s">
        <v>91</v>
      </c>
      <c r="EJX222" s="40" t="s">
        <v>91</v>
      </c>
      <c r="EJY222" s="40" t="s">
        <v>91</v>
      </c>
      <c r="EJZ222" s="40" t="s">
        <v>91</v>
      </c>
      <c r="EKA222" s="40" t="s">
        <v>91</v>
      </c>
      <c r="EKB222" s="40" t="s">
        <v>91</v>
      </c>
      <c r="EKC222" s="40" t="s">
        <v>91</v>
      </c>
      <c r="EKD222" s="40" t="s">
        <v>91</v>
      </c>
      <c r="EKE222" s="40" t="s">
        <v>91</v>
      </c>
      <c r="EKF222" s="40" t="s">
        <v>91</v>
      </c>
      <c r="EKG222" s="40" t="s">
        <v>91</v>
      </c>
      <c r="EKH222" s="40" t="s">
        <v>91</v>
      </c>
      <c r="EKI222" s="40" t="s">
        <v>91</v>
      </c>
      <c r="EKJ222" s="40" t="s">
        <v>91</v>
      </c>
      <c r="EKK222" s="40" t="s">
        <v>91</v>
      </c>
      <c r="EKL222" s="40" t="s">
        <v>91</v>
      </c>
      <c r="EKM222" s="40" t="s">
        <v>91</v>
      </c>
      <c r="EKN222" s="40" t="s">
        <v>91</v>
      </c>
      <c r="EKO222" s="40" t="s">
        <v>91</v>
      </c>
      <c r="EKP222" s="40" t="s">
        <v>91</v>
      </c>
      <c r="EKQ222" s="40" t="s">
        <v>91</v>
      </c>
      <c r="EKR222" s="40" t="s">
        <v>91</v>
      </c>
      <c r="EKS222" s="40" t="s">
        <v>91</v>
      </c>
      <c r="EKT222" s="40" t="s">
        <v>91</v>
      </c>
      <c r="EKU222" s="40" t="s">
        <v>91</v>
      </c>
      <c r="EKV222" s="40" t="s">
        <v>91</v>
      </c>
      <c r="EKW222" s="40" t="s">
        <v>91</v>
      </c>
      <c r="EKX222" s="40" t="s">
        <v>91</v>
      </c>
      <c r="EKY222" s="40" t="s">
        <v>91</v>
      </c>
      <c r="EKZ222" s="40" t="s">
        <v>91</v>
      </c>
      <c r="ELA222" s="40" t="s">
        <v>91</v>
      </c>
      <c r="ELB222" s="40" t="s">
        <v>91</v>
      </c>
      <c r="ELC222" s="40" t="s">
        <v>91</v>
      </c>
      <c r="ELD222" s="40" t="s">
        <v>91</v>
      </c>
      <c r="ELE222" s="40" t="s">
        <v>91</v>
      </c>
      <c r="ELF222" s="40" t="s">
        <v>91</v>
      </c>
      <c r="ELG222" s="40" t="s">
        <v>91</v>
      </c>
      <c r="ELH222" s="40" t="s">
        <v>91</v>
      </c>
      <c r="ELI222" s="40" t="s">
        <v>91</v>
      </c>
      <c r="ELJ222" s="40" t="s">
        <v>91</v>
      </c>
      <c r="ELK222" s="40" t="s">
        <v>91</v>
      </c>
      <c r="ELL222" s="40" t="s">
        <v>91</v>
      </c>
      <c r="ELM222" s="40" t="s">
        <v>91</v>
      </c>
      <c r="ELN222" s="40" t="s">
        <v>91</v>
      </c>
      <c r="ELO222" s="40" t="s">
        <v>91</v>
      </c>
      <c r="ELP222" s="40" t="s">
        <v>91</v>
      </c>
      <c r="ELQ222" s="40" t="s">
        <v>91</v>
      </c>
      <c r="ELR222" s="40" t="s">
        <v>91</v>
      </c>
      <c r="ELS222" s="40" t="s">
        <v>91</v>
      </c>
      <c r="ELT222" s="40" t="s">
        <v>91</v>
      </c>
      <c r="ELU222" s="40" t="s">
        <v>91</v>
      </c>
      <c r="ELV222" s="40" t="s">
        <v>91</v>
      </c>
      <c r="ELW222" s="40" t="s">
        <v>91</v>
      </c>
      <c r="ELX222" s="40" t="s">
        <v>91</v>
      </c>
      <c r="ELY222" s="40" t="s">
        <v>91</v>
      </c>
      <c r="ELZ222" s="40" t="s">
        <v>91</v>
      </c>
      <c r="EMA222" s="40" t="s">
        <v>91</v>
      </c>
      <c r="EMB222" s="40" t="s">
        <v>91</v>
      </c>
      <c r="EMC222" s="40" t="s">
        <v>91</v>
      </c>
      <c r="EMD222" s="40" t="s">
        <v>91</v>
      </c>
      <c r="EME222" s="40" t="s">
        <v>91</v>
      </c>
      <c r="EMF222" s="40" t="s">
        <v>91</v>
      </c>
      <c r="EMG222" s="40" t="s">
        <v>91</v>
      </c>
      <c r="EMH222" s="40" t="s">
        <v>91</v>
      </c>
      <c r="EMI222" s="40" t="s">
        <v>91</v>
      </c>
      <c r="EMJ222" s="40" t="s">
        <v>91</v>
      </c>
      <c r="EMK222" s="40" t="s">
        <v>91</v>
      </c>
      <c r="EML222" s="40" t="s">
        <v>91</v>
      </c>
      <c r="EMM222" s="40" t="s">
        <v>91</v>
      </c>
      <c r="EMN222" s="40" t="s">
        <v>91</v>
      </c>
      <c r="EMO222" s="40" t="s">
        <v>91</v>
      </c>
      <c r="EMP222" s="40" t="s">
        <v>91</v>
      </c>
      <c r="EMQ222" s="40" t="s">
        <v>91</v>
      </c>
      <c r="EMR222" s="40" t="s">
        <v>91</v>
      </c>
      <c r="EMS222" s="40" t="s">
        <v>91</v>
      </c>
      <c r="EMT222" s="40" t="s">
        <v>91</v>
      </c>
      <c r="EMU222" s="40" t="s">
        <v>91</v>
      </c>
      <c r="EMV222" s="40" t="s">
        <v>91</v>
      </c>
      <c r="EMW222" s="40" t="s">
        <v>91</v>
      </c>
      <c r="EMX222" s="40" t="s">
        <v>91</v>
      </c>
      <c r="EMY222" s="40" t="s">
        <v>91</v>
      </c>
      <c r="EMZ222" s="40" t="s">
        <v>91</v>
      </c>
      <c r="ENA222" s="40" t="s">
        <v>91</v>
      </c>
      <c r="ENB222" s="40" t="s">
        <v>91</v>
      </c>
      <c r="ENC222" s="40" t="s">
        <v>91</v>
      </c>
      <c r="END222" s="40" t="s">
        <v>91</v>
      </c>
      <c r="ENE222" s="40" t="s">
        <v>91</v>
      </c>
      <c r="ENF222" s="40" t="s">
        <v>91</v>
      </c>
      <c r="ENG222" s="40" t="s">
        <v>91</v>
      </c>
      <c r="ENH222" s="40" t="s">
        <v>91</v>
      </c>
      <c r="ENI222" s="40" t="s">
        <v>91</v>
      </c>
      <c r="ENJ222" s="40" t="s">
        <v>91</v>
      </c>
      <c r="ENK222" s="40" t="s">
        <v>91</v>
      </c>
      <c r="ENL222" s="40" t="s">
        <v>91</v>
      </c>
      <c r="ENM222" s="40" t="s">
        <v>91</v>
      </c>
      <c r="ENN222" s="40" t="s">
        <v>91</v>
      </c>
      <c r="ENO222" s="40" t="s">
        <v>91</v>
      </c>
      <c r="ENP222" s="40" t="s">
        <v>91</v>
      </c>
      <c r="ENQ222" s="40" t="s">
        <v>91</v>
      </c>
      <c r="ENR222" s="40" t="s">
        <v>91</v>
      </c>
      <c r="ENS222" s="40" t="s">
        <v>91</v>
      </c>
      <c r="ENT222" s="40" t="s">
        <v>91</v>
      </c>
      <c r="ENU222" s="40" t="s">
        <v>91</v>
      </c>
      <c r="ENV222" s="40" t="s">
        <v>91</v>
      </c>
      <c r="ENW222" s="40" t="s">
        <v>91</v>
      </c>
      <c r="ENX222" s="40" t="s">
        <v>91</v>
      </c>
      <c r="ENY222" s="40" t="s">
        <v>91</v>
      </c>
      <c r="ENZ222" s="40" t="s">
        <v>91</v>
      </c>
      <c r="EOA222" s="40" t="s">
        <v>91</v>
      </c>
      <c r="EOB222" s="40" t="s">
        <v>91</v>
      </c>
      <c r="EOC222" s="40" t="s">
        <v>91</v>
      </c>
      <c r="EOD222" s="40" t="s">
        <v>91</v>
      </c>
      <c r="EOE222" s="40" t="s">
        <v>91</v>
      </c>
      <c r="EOF222" s="40" t="s">
        <v>91</v>
      </c>
      <c r="EOG222" s="40" t="s">
        <v>91</v>
      </c>
      <c r="EOH222" s="40" t="s">
        <v>91</v>
      </c>
      <c r="EOI222" s="40" t="s">
        <v>91</v>
      </c>
      <c r="EOJ222" s="40" t="s">
        <v>91</v>
      </c>
      <c r="EOK222" s="40" t="s">
        <v>91</v>
      </c>
      <c r="EOL222" s="40" t="s">
        <v>91</v>
      </c>
      <c r="EOM222" s="40" t="s">
        <v>91</v>
      </c>
      <c r="EON222" s="40" t="s">
        <v>91</v>
      </c>
      <c r="EOO222" s="40" t="s">
        <v>91</v>
      </c>
      <c r="EOP222" s="40" t="s">
        <v>91</v>
      </c>
      <c r="EOQ222" s="40" t="s">
        <v>91</v>
      </c>
      <c r="EOR222" s="40" t="s">
        <v>91</v>
      </c>
      <c r="EOS222" s="40" t="s">
        <v>91</v>
      </c>
      <c r="EOT222" s="40" t="s">
        <v>91</v>
      </c>
      <c r="EOU222" s="40" t="s">
        <v>91</v>
      </c>
      <c r="EOV222" s="40" t="s">
        <v>91</v>
      </c>
      <c r="EOW222" s="40" t="s">
        <v>91</v>
      </c>
      <c r="EOX222" s="40" t="s">
        <v>91</v>
      </c>
      <c r="EOY222" s="40" t="s">
        <v>91</v>
      </c>
      <c r="EOZ222" s="40" t="s">
        <v>91</v>
      </c>
      <c r="EPA222" s="40" t="s">
        <v>91</v>
      </c>
      <c r="EPB222" s="40" t="s">
        <v>91</v>
      </c>
      <c r="EPC222" s="40" t="s">
        <v>91</v>
      </c>
      <c r="EPD222" s="40" t="s">
        <v>91</v>
      </c>
      <c r="EPE222" s="40" t="s">
        <v>91</v>
      </c>
      <c r="EPF222" s="40" t="s">
        <v>91</v>
      </c>
      <c r="EPG222" s="40" t="s">
        <v>91</v>
      </c>
      <c r="EPH222" s="40" t="s">
        <v>91</v>
      </c>
      <c r="EPI222" s="40" t="s">
        <v>91</v>
      </c>
      <c r="EPJ222" s="40" t="s">
        <v>91</v>
      </c>
      <c r="EPK222" s="40" t="s">
        <v>91</v>
      </c>
      <c r="EPL222" s="40" t="s">
        <v>91</v>
      </c>
      <c r="EPM222" s="40" t="s">
        <v>91</v>
      </c>
      <c r="EPN222" s="40" t="s">
        <v>91</v>
      </c>
      <c r="EPO222" s="40" t="s">
        <v>91</v>
      </c>
      <c r="EPP222" s="40" t="s">
        <v>91</v>
      </c>
      <c r="EPQ222" s="40" t="s">
        <v>91</v>
      </c>
      <c r="EPR222" s="40" t="s">
        <v>91</v>
      </c>
      <c r="EPS222" s="40" t="s">
        <v>91</v>
      </c>
      <c r="EPT222" s="40" t="s">
        <v>91</v>
      </c>
      <c r="EPU222" s="40" t="s">
        <v>91</v>
      </c>
      <c r="EPV222" s="40" t="s">
        <v>91</v>
      </c>
      <c r="EPW222" s="40" t="s">
        <v>91</v>
      </c>
      <c r="EPX222" s="40" t="s">
        <v>91</v>
      </c>
      <c r="EPY222" s="40" t="s">
        <v>91</v>
      </c>
      <c r="EPZ222" s="40" t="s">
        <v>91</v>
      </c>
      <c r="EQA222" s="40" t="s">
        <v>91</v>
      </c>
      <c r="EQB222" s="40" t="s">
        <v>91</v>
      </c>
      <c r="EQC222" s="40" t="s">
        <v>91</v>
      </c>
      <c r="EQD222" s="40" t="s">
        <v>91</v>
      </c>
      <c r="EQE222" s="40" t="s">
        <v>91</v>
      </c>
      <c r="EQF222" s="40" t="s">
        <v>91</v>
      </c>
      <c r="EQG222" s="40" t="s">
        <v>91</v>
      </c>
      <c r="EQH222" s="40" t="s">
        <v>91</v>
      </c>
      <c r="EQI222" s="40" t="s">
        <v>91</v>
      </c>
      <c r="EQJ222" s="40" t="s">
        <v>91</v>
      </c>
      <c r="EQK222" s="40" t="s">
        <v>91</v>
      </c>
      <c r="EQL222" s="40" t="s">
        <v>91</v>
      </c>
      <c r="EQM222" s="40" t="s">
        <v>91</v>
      </c>
      <c r="EQN222" s="40" t="s">
        <v>91</v>
      </c>
      <c r="EQO222" s="40" t="s">
        <v>91</v>
      </c>
      <c r="EQP222" s="40" t="s">
        <v>91</v>
      </c>
      <c r="EQQ222" s="40" t="s">
        <v>91</v>
      </c>
      <c r="EQR222" s="40" t="s">
        <v>91</v>
      </c>
      <c r="EQS222" s="40" t="s">
        <v>91</v>
      </c>
      <c r="EQT222" s="40" t="s">
        <v>91</v>
      </c>
      <c r="EQU222" s="40" t="s">
        <v>91</v>
      </c>
      <c r="EQV222" s="40" t="s">
        <v>91</v>
      </c>
      <c r="EQW222" s="40" t="s">
        <v>91</v>
      </c>
      <c r="EQX222" s="40" t="s">
        <v>91</v>
      </c>
      <c r="EQY222" s="40" t="s">
        <v>91</v>
      </c>
      <c r="EQZ222" s="40" t="s">
        <v>91</v>
      </c>
      <c r="ERA222" s="40" t="s">
        <v>91</v>
      </c>
      <c r="ERB222" s="40" t="s">
        <v>91</v>
      </c>
      <c r="ERC222" s="40" t="s">
        <v>91</v>
      </c>
      <c r="ERD222" s="40" t="s">
        <v>91</v>
      </c>
      <c r="ERE222" s="40" t="s">
        <v>91</v>
      </c>
      <c r="ERF222" s="40" t="s">
        <v>91</v>
      </c>
      <c r="ERG222" s="40" t="s">
        <v>91</v>
      </c>
      <c r="ERH222" s="40" t="s">
        <v>91</v>
      </c>
      <c r="ERI222" s="40" t="s">
        <v>91</v>
      </c>
      <c r="ERJ222" s="40" t="s">
        <v>91</v>
      </c>
      <c r="ERK222" s="40" t="s">
        <v>91</v>
      </c>
      <c r="ERL222" s="40" t="s">
        <v>91</v>
      </c>
      <c r="ERM222" s="40" t="s">
        <v>91</v>
      </c>
      <c r="ERN222" s="40" t="s">
        <v>91</v>
      </c>
      <c r="ERO222" s="40" t="s">
        <v>91</v>
      </c>
      <c r="ERP222" s="40" t="s">
        <v>91</v>
      </c>
      <c r="ERQ222" s="40" t="s">
        <v>91</v>
      </c>
      <c r="ERR222" s="40" t="s">
        <v>91</v>
      </c>
      <c r="ERS222" s="40" t="s">
        <v>91</v>
      </c>
      <c r="ERT222" s="40" t="s">
        <v>91</v>
      </c>
      <c r="ERU222" s="40" t="s">
        <v>91</v>
      </c>
      <c r="ERV222" s="40" t="s">
        <v>91</v>
      </c>
      <c r="ERW222" s="40" t="s">
        <v>91</v>
      </c>
      <c r="ERX222" s="40" t="s">
        <v>91</v>
      </c>
      <c r="ERY222" s="40" t="s">
        <v>91</v>
      </c>
      <c r="ERZ222" s="40" t="s">
        <v>91</v>
      </c>
      <c r="ESA222" s="40" t="s">
        <v>91</v>
      </c>
      <c r="ESB222" s="40" t="s">
        <v>91</v>
      </c>
      <c r="ESC222" s="40" t="s">
        <v>91</v>
      </c>
      <c r="ESD222" s="40" t="s">
        <v>91</v>
      </c>
      <c r="ESE222" s="40" t="s">
        <v>91</v>
      </c>
      <c r="ESF222" s="40" t="s">
        <v>91</v>
      </c>
      <c r="ESG222" s="40" t="s">
        <v>91</v>
      </c>
      <c r="ESH222" s="40" t="s">
        <v>91</v>
      </c>
      <c r="ESI222" s="40" t="s">
        <v>91</v>
      </c>
      <c r="ESJ222" s="40" t="s">
        <v>91</v>
      </c>
      <c r="ESK222" s="40" t="s">
        <v>91</v>
      </c>
      <c r="ESL222" s="40" t="s">
        <v>91</v>
      </c>
      <c r="ESM222" s="40" t="s">
        <v>91</v>
      </c>
      <c r="ESN222" s="40" t="s">
        <v>91</v>
      </c>
      <c r="ESO222" s="40" t="s">
        <v>91</v>
      </c>
      <c r="ESP222" s="40" t="s">
        <v>91</v>
      </c>
      <c r="ESQ222" s="40" t="s">
        <v>91</v>
      </c>
      <c r="ESR222" s="40" t="s">
        <v>91</v>
      </c>
      <c r="ESS222" s="40" t="s">
        <v>91</v>
      </c>
      <c r="EST222" s="40" t="s">
        <v>91</v>
      </c>
      <c r="ESU222" s="40" t="s">
        <v>91</v>
      </c>
      <c r="ESV222" s="40" t="s">
        <v>91</v>
      </c>
      <c r="ESW222" s="40" t="s">
        <v>91</v>
      </c>
      <c r="ESX222" s="40" t="s">
        <v>91</v>
      </c>
      <c r="ESY222" s="40" t="s">
        <v>91</v>
      </c>
      <c r="ESZ222" s="40" t="s">
        <v>91</v>
      </c>
      <c r="ETA222" s="40" t="s">
        <v>91</v>
      </c>
      <c r="ETB222" s="40" t="s">
        <v>91</v>
      </c>
      <c r="ETC222" s="40" t="s">
        <v>91</v>
      </c>
      <c r="ETD222" s="40" t="s">
        <v>91</v>
      </c>
      <c r="ETE222" s="40" t="s">
        <v>91</v>
      </c>
      <c r="ETF222" s="40" t="s">
        <v>91</v>
      </c>
      <c r="ETG222" s="40" t="s">
        <v>91</v>
      </c>
      <c r="ETH222" s="40" t="s">
        <v>91</v>
      </c>
      <c r="ETI222" s="40" t="s">
        <v>91</v>
      </c>
      <c r="ETJ222" s="40" t="s">
        <v>91</v>
      </c>
      <c r="ETK222" s="40" t="s">
        <v>91</v>
      </c>
      <c r="ETL222" s="40" t="s">
        <v>91</v>
      </c>
      <c r="ETM222" s="40" t="s">
        <v>91</v>
      </c>
      <c r="ETN222" s="40" t="s">
        <v>91</v>
      </c>
      <c r="ETO222" s="40" t="s">
        <v>91</v>
      </c>
      <c r="ETP222" s="40" t="s">
        <v>91</v>
      </c>
      <c r="ETQ222" s="40" t="s">
        <v>91</v>
      </c>
      <c r="ETR222" s="40" t="s">
        <v>91</v>
      </c>
      <c r="ETS222" s="40" t="s">
        <v>91</v>
      </c>
      <c r="ETT222" s="40" t="s">
        <v>91</v>
      </c>
      <c r="ETU222" s="40" t="s">
        <v>91</v>
      </c>
      <c r="ETV222" s="40" t="s">
        <v>91</v>
      </c>
      <c r="ETW222" s="40" t="s">
        <v>91</v>
      </c>
      <c r="ETX222" s="40" t="s">
        <v>91</v>
      </c>
      <c r="ETY222" s="40" t="s">
        <v>91</v>
      </c>
      <c r="ETZ222" s="40" t="s">
        <v>91</v>
      </c>
      <c r="EUA222" s="40" t="s">
        <v>91</v>
      </c>
      <c r="EUB222" s="40" t="s">
        <v>91</v>
      </c>
      <c r="EUC222" s="40" t="s">
        <v>91</v>
      </c>
      <c r="EUD222" s="40" t="s">
        <v>91</v>
      </c>
      <c r="EUE222" s="40" t="s">
        <v>91</v>
      </c>
      <c r="EUF222" s="40" t="s">
        <v>91</v>
      </c>
      <c r="EUG222" s="40" t="s">
        <v>91</v>
      </c>
      <c r="EUH222" s="40" t="s">
        <v>91</v>
      </c>
      <c r="EUI222" s="40" t="s">
        <v>91</v>
      </c>
      <c r="EUJ222" s="40" t="s">
        <v>91</v>
      </c>
      <c r="EUK222" s="40" t="s">
        <v>91</v>
      </c>
      <c r="EUL222" s="40" t="s">
        <v>91</v>
      </c>
      <c r="EUM222" s="40" t="s">
        <v>91</v>
      </c>
      <c r="EUN222" s="40" t="s">
        <v>91</v>
      </c>
      <c r="EUO222" s="40" t="s">
        <v>91</v>
      </c>
      <c r="EUP222" s="40" t="s">
        <v>91</v>
      </c>
      <c r="EUQ222" s="40" t="s">
        <v>91</v>
      </c>
      <c r="EUR222" s="40" t="s">
        <v>91</v>
      </c>
      <c r="EUS222" s="40" t="s">
        <v>91</v>
      </c>
      <c r="EUT222" s="40" t="s">
        <v>91</v>
      </c>
      <c r="EUU222" s="40" t="s">
        <v>91</v>
      </c>
      <c r="EUV222" s="40" t="s">
        <v>91</v>
      </c>
      <c r="EUW222" s="40" t="s">
        <v>91</v>
      </c>
      <c r="EUX222" s="40" t="s">
        <v>91</v>
      </c>
      <c r="EUY222" s="40" t="s">
        <v>91</v>
      </c>
      <c r="EUZ222" s="40" t="s">
        <v>91</v>
      </c>
      <c r="EVA222" s="40" t="s">
        <v>91</v>
      </c>
      <c r="EVB222" s="40" t="s">
        <v>91</v>
      </c>
      <c r="EVC222" s="40" t="s">
        <v>91</v>
      </c>
      <c r="EVD222" s="40" t="s">
        <v>91</v>
      </c>
      <c r="EVE222" s="40" t="s">
        <v>91</v>
      </c>
      <c r="EVF222" s="40" t="s">
        <v>91</v>
      </c>
      <c r="EVG222" s="40" t="s">
        <v>91</v>
      </c>
      <c r="EVH222" s="40" t="s">
        <v>91</v>
      </c>
      <c r="EVI222" s="40" t="s">
        <v>91</v>
      </c>
      <c r="EVJ222" s="40" t="s">
        <v>91</v>
      </c>
      <c r="EVK222" s="40" t="s">
        <v>91</v>
      </c>
      <c r="EVL222" s="40" t="s">
        <v>91</v>
      </c>
      <c r="EVM222" s="40" t="s">
        <v>91</v>
      </c>
      <c r="EVN222" s="40" t="s">
        <v>91</v>
      </c>
      <c r="EVO222" s="40" t="s">
        <v>91</v>
      </c>
      <c r="EVP222" s="40" t="s">
        <v>91</v>
      </c>
      <c r="EVQ222" s="40" t="s">
        <v>91</v>
      </c>
      <c r="EVR222" s="40" t="s">
        <v>91</v>
      </c>
      <c r="EVS222" s="40" t="s">
        <v>91</v>
      </c>
      <c r="EVT222" s="40" t="s">
        <v>91</v>
      </c>
      <c r="EVU222" s="40" t="s">
        <v>91</v>
      </c>
      <c r="EVV222" s="40" t="s">
        <v>91</v>
      </c>
      <c r="EVW222" s="40" t="s">
        <v>91</v>
      </c>
      <c r="EVX222" s="40" t="s">
        <v>91</v>
      </c>
      <c r="EVY222" s="40" t="s">
        <v>91</v>
      </c>
      <c r="EVZ222" s="40" t="s">
        <v>91</v>
      </c>
      <c r="EWA222" s="40" t="s">
        <v>91</v>
      </c>
      <c r="EWB222" s="40" t="s">
        <v>91</v>
      </c>
      <c r="EWC222" s="40" t="s">
        <v>91</v>
      </c>
      <c r="EWD222" s="40" t="s">
        <v>91</v>
      </c>
      <c r="EWE222" s="40" t="s">
        <v>91</v>
      </c>
      <c r="EWF222" s="40" t="s">
        <v>91</v>
      </c>
      <c r="EWG222" s="40" t="s">
        <v>91</v>
      </c>
      <c r="EWH222" s="40" t="s">
        <v>91</v>
      </c>
      <c r="EWI222" s="40" t="s">
        <v>91</v>
      </c>
      <c r="EWJ222" s="40" t="s">
        <v>91</v>
      </c>
      <c r="EWK222" s="40" t="s">
        <v>91</v>
      </c>
      <c r="EWL222" s="40" t="s">
        <v>91</v>
      </c>
      <c r="EWM222" s="40" t="s">
        <v>91</v>
      </c>
      <c r="EWN222" s="40" t="s">
        <v>91</v>
      </c>
      <c r="EWO222" s="40" t="s">
        <v>91</v>
      </c>
      <c r="EWP222" s="40" t="s">
        <v>91</v>
      </c>
      <c r="EWQ222" s="40" t="s">
        <v>91</v>
      </c>
      <c r="EWR222" s="40" t="s">
        <v>91</v>
      </c>
      <c r="EWS222" s="40" t="s">
        <v>91</v>
      </c>
      <c r="EWT222" s="40" t="s">
        <v>91</v>
      </c>
      <c r="EWU222" s="40" t="s">
        <v>91</v>
      </c>
      <c r="EWV222" s="40" t="s">
        <v>91</v>
      </c>
      <c r="EWW222" s="40" t="s">
        <v>91</v>
      </c>
      <c r="EWX222" s="40" t="s">
        <v>91</v>
      </c>
      <c r="EWY222" s="40" t="s">
        <v>91</v>
      </c>
      <c r="EWZ222" s="40" t="s">
        <v>91</v>
      </c>
      <c r="EXA222" s="40" t="s">
        <v>91</v>
      </c>
      <c r="EXB222" s="40" t="s">
        <v>91</v>
      </c>
      <c r="EXC222" s="40" t="s">
        <v>91</v>
      </c>
      <c r="EXD222" s="40" t="s">
        <v>91</v>
      </c>
      <c r="EXE222" s="40" t="s">
        <v>91</v>
      </c>
      <c r="EXF222" s="40" t="s">
        <v>91</v>
      </c>
      <c r="EXG222" s="40" t="s">
        <v>91</v>
      </c>
      <c r="EXH222" s="40" t="s">
        <v>91</v>
      </c>
      <c r="EXI222" s="40" t="s">
        <v>91</v>
      </c>
      <c r="EXJ222" s="40" t="s">
        <v>91</v>
      </c>
      <c r="EXK222" s="40" t="s">
        <v>91</v>
      </c>
      <c r="EXL222" s="40" t="s">
        <v>91</v>
      </c>
      <c r="EXM222" s="40" t="s">
        <v>91</v>
      </c>
      <c r="EXN222" s="40" t="s">
        <v>91</v>
      </c>
      <c r="EXO222" s="40" t="s">
        <v>91</v>
      </c>
      <c r="EXP222" s="40" t="s">
        <v>91</v>
      </c>
      <c r="EXQ222" s="40" t="s">
        <v>91</v>
      </c>
      <c r="EXR222" s="40" t="s">
        <v>91</v>
      </c>
      <c r="EXS222" s="40" t="s">
        <v>91</v>
      </c>
      <c r="EXT222" s="40" t="s">
        <v>91</v>
      </c>
      <c r="EXU222" s="40" t="s">
        <v>91</v>
      </c>
      <c r="EXV222" s="40" t="s">
        <v>91</v>
      </c>
      <c r="EXW222" s="40" t="s">
        <v>91</v>
      </c>
      <c r="EXX222" s="40" t="s">
        <v>91</v>
      </c>
      <c r="EXY222" s="40" t="s">
        <v>91</v>
      </c>
      <c r="EXZ222" s="40" t="s">
        <v>91</v>
      </c>
      <c r="EYA222" s="40" t="s">
        <v>91</v>
      </c>
      <c r="EYB222" s="40" t="s">
        <v>91</v>
      </c>
      <c r="EYC222" s="40" t="s">
        <v>91</v>
      </c>
      <c r="EYD222" s="40" t="s">
        <v>91</v>
      </c>
      <c r="EYE222" s="40" t="s">
        <v>91</v>
      </c>
      <c r="EYF222" s="40" t="s">
        <v>91</v>
      </c>
      <c r="EYG222" s="40" t="s">
        <v>91</v>
      </c>
      <c r="EYH222" s="40" t="s">
        <v>91</v>
      </c>
      <c r="EYI222" s="40" t="s">
        <v>91</v>
      </c>
      <c r="EYJ222" s="40" t="s">
        <v>91</v>
      </c>
      <c r="EYK222" s="40" t="s">
        <v>91</v>
      </c>
      <c r="EYL222" s="40" t="s">
        <v>91</v>
      </c>
      <c r="EYM222" s="40" t="s">
        <v>91</v>
      </c>
      <c r="EYN222" s="40" t="s">
        <v>91</v>
      </c>
      <c r="EYO222" s="40" t="s">
        <v>91</v>
      </c>
      <c r="EYP222" s="40" t="s">
        <v>91</v>
      </c>
      <c r="EYQ222" s="40" t="s">
        <v>91</v>
      </c>
      <c r="EYR222" s="40" t="s">
        <v>91</v>
      </c>
      <c r="EYS222" s="40" t="s">
        <v>91</v>
      </c>
      <c r="EYT222" s="40" t="s">
        <v>91</v>
      </c>
      <c r="EYU222" s="40" t="s">
        <v>91</v>
      </c>
      <c r="EYV222" s="40" t="s">
        <v>91</v>
      </c>
      <c r="EYW222" s="40" t="s">
        <v>91</v>
      </c>
      <c r="EYX222" s="40" t="s">
        <v>91</v>
      </c>
      <c r="EYY222" s="40" t="s">
        <v>91</v>
      </c>
      <c r="EYZ222" s="40" t="s">
        <v>91</v>
      </c>
      <c r="EZA222" s="40" t="s">
        <v>91</v>
      </c>
      <c r="EZB222" s="40" t="s">
        <v>91</v>
      </c>
      <c r="EZC222" s="40" t="s">
        <v>91</v>
      </c>
      <c r="EZD222" s="40" t="s">
        <v>91</v>
      </c>
      <c r="EZE222" s="40" t="s">
        <v>91</v>
      </c>
      <c r="EZF222" s="40" t="s">
        <v>91</v>
      </c>
      <c r="EZG222" s="40" t="s">
        <v>91</v>
      </c>
      <c r="EZH222" s="40" t="s">
        <v>91</v>
      </c>
      <c r="EZI222" s="40" t="s">
        <v>91</v>
      </c>
      <c r="EZJ222" s="40" t="s">
        <v>91</v>
      </c>
      <c r="EZK222" s="40" t="s">
        <v>91</v>
      </c>
      <c r="EZL222" s="40" t="s">
        <v>91</v>
      </c>
      <c r="EZM222" s="40" t="s">
        <v>91</v>
      </c>
      <c r="EZN222" s="40" t="s">
        <v>91</v>
      </c>
      <c r="EZO222" s="40" t="s">
        <v>91</v>
      </c>
      <c r="EZP222" s="40" t="s">
        <v>91</v>
      </c>
      <c r="EZQ222" s="40" t="s">
        <v>91</v>
      </c>
      <c r="EZR222" s="40" t="s">
        <v>91</v>
      </c>
      <c r="EZS222" s="40" t="s">
        <v>91</v>
      </c>
      <c r="EZT222" s="40" t="s">
        <v>91</v>
      </c>
      <c r="EZU222" s="40" t="s">
        <v>91</v>
      </c>
      <c r="EZV222" s="40" t="s">
        <v>91</v>
      </c>
      <c r="EZW222" s="40" t="s">
        <v>91</v>
      </c>
      <c r="EZX222" s="40" t="s">
        <v>91</v>
      </c>
      <c r="EZY222" s="40" t="s">
        <v>91</v>
      </c>
      <c r="EZZ222" s="40" t="s">
        <v>91</v>
      </c>
      <c r="FAA222" s="40" t="s">
        <v>91</v>
      </c>
      <c r="FAB222" s="40" t="s">
        <v>91</v>
      </c>
      <c r="FAC222" s="40" t="s">
        <v>91</v>
      </c>
      <c r="FAD222" s="40" t="s">
        <v>91</v>
      </c>
      <c r="FAE222" s="40" t="s">
        <v>91</v>
      </c>
      <c r="FAF222" s="40" t="s">
        <v>91</v>
      </c>
      <c r="FAG222" s="40" t="s">
        <v>91</v>
      </c>
      <c r="FAH222" s="40" t="s">
        <v>91</v>
      </c>
      <c r="FAI222" s="40" t="s">
        <v>91</v>
      </c>
      <c r="FAJ222" s="40" t="s">
        <v>91</v>
      </c>
      <c r="FAK222" s="40" t="s">
        <v>91</v>
      </c>
      <c r="FAL222" s="40" t="s">
        <v>91</v>
      </c>
      <c r="FAM222" s="40" t="s">
        <v>91</v>
      </c>
      <c r="FAN222" s="40" t="s">
        <v>91</v>
      </c>
      <c r="FAO222" s="40" t="s">
        <v>91</v>
      </c>
      <c r="FAP222" s="40" t="s">
        <v>91</v>
      </c>
      <c r="FAQ222" s="40" t="s">
        <v>91</v>
      </c>
      <c r="FAR222" s="40" t="s">
        <v>91</v>
      </c>
      <c r="FAS222" s="40" t="s">
        <v>91</v>
      </c>
      <c r="FAT222" s="40" t="s">
        <v>91</v>
      </c>
      <c r="FAU222" s="40" t="s">
        <v>91</v>
      </c>
      <c r="FAV222" s="40" t="s">
        <v>91</v>
      </c>
      <c r="FAW222" s="40" t="s">
        <v>91</v>
      </c>
      <c r="FAX222" s="40" t="s">
        <v>91</v>
      </c>
      <c r="FAY222" s="40" t="s">
        <v>91</v>
      </c>
      <c r="FAZ222" s="40" t="s">
        <v>91</v>
      </c>
      <c r="FBA222" s="40" t="s">
        <v>91</v>
      </c>
      <c r="FBB222" s="40" t="s">
        <v>91</v>
      </c>
      <c r="FBC222" s="40" t="s">
        <v>91</v>
      </c>
      <c r="FBD222" s="40" t="s">
        <v>91</v>
      </c>
      <c r="FBE222" s="40" t="s">
        <v>91</v>
      </c>
      <c r="FBF222" s="40" t="s">
        <v>91</v>
      </c>
      <c r="FBG222" s="40" t="s">
        <v>91</v>
      </c>
      <c r="FBH222" s="40" t="s">
        <v>91</v>
      </c>
      <c r="FBI222" s="40" t="s">
        <v>91</v>
      </c>
      <c r="FBJ222" s="40" t="s">
        <v>91</v>
      </c>
      <c r="FBK222" s="40" t="s">
        <v>91</v>
      </c>
      <c r="FBL222" s="40" t="s">
        <v>91</v>
      </c>
      <c r="FBM222" s="40" t="s">
        <v>91</v>
      </c>
      <c r="FBN222" s="40" t="s">
        <v>91</v>
      </c>
      <c r="FBO222" s="40" t="s">
        <v>91</v>
      </c>
      <c r="FBP222" s="40" t="s">
        <v>91</v>
      </c>
      <c r="FBQ222" s="40" t="s">
        <v>91</v>
      </c>
      <c r="FBR222" s="40" t="s">
        <v>91</v>
      </c>
      <c r="FBS222" s="40" t="s">
        <v>91</v>
      </c>
      <c r="FBT222" s="40" t="s">
        <v>91</v>
      </c>
      <c r="FBU222" s="40" t="s">
        <v>91</v>
      </c>
      <c r="FBV222" s="40" t="s">
        <v>91</v>
      </c>
      <c r="FBW222" s="40" t="s">
        <v>91</v>
      </c>
      <c r="FBX222" s="40" t="s">
        <v>91</v>
      </c>
      <c r="FBY222" s="40" t="s">
        <v>91</v>
      </c>
      <c r="FBZ222" s="40" t="s">
        <v>91</v>
      </c>
      <c r="FCA222" s="40" t="s">
        <v>91</v>
      </c>
      <c r="FCB222" s="40" t="s">
        <v>91</v>
      </c>
      <c r="FCC222" s="40" t="s">
        <v>91</v>
      </c>
      <c r="FCD222" s="40" t="s">
        <v>91</v>
      </c>
      <c r="FCE222" s="40" t="s">
        <v>91</v>
      </c>
      <c r="FCF222" s="40" t="s">
        <v>91</v>
      </c>
      <c r="FCG222" s="40" t="s">
        <v>91</v>
      </c>
      <c r="FCH222" s="40" t="s">
        <v>91</v>
      </c>
      <c r="FCI222" s="40" t="s">
        <v>91</v>
      </c>
      <c r="FCJ222" s="40" t="s">
        <v>91</v>
      </c>
      <c r="FCK222" s="40" t="s">
        <v>91</v>
      </c>
      <c r="FCL222" s="40" t="s">
        <v>91</v>
      </c>
      <c r="FCM222" s="40" t="s">
        <v>91</v>
      </c>
      <c r="FCN222" s="40" t="s">
        <v>91</v>
      </c>
      <c r="FCO222" s="40" t="s">
        <v>91</v>
      </c>
      <c r="FCP222" s="40" t="s">
        <v>91</v>
      </c>
      <c r="FCQ222" s="40" t="s">
        <v>91</v>
      </c>
      <c r="FCR222" s="40" t="s">
        <v>91</v>
      </c>
      <c r="FCS222" s="40" t="s">
        <v>91</v>
      </c>
      <c r="FCT222" s="40" t="s">
        <v>91</v>
      </c>
      <c r="FCU222" s="40" t="s">
        <v>91</v>
      </c>
      <c r="FCV222" s="40" t="s">
        <v>91</v>
      </c>
      <c r="FCW222" s="40" t="s">
        <v>91</v>
      </c>
      <c r="FCX222" s="40" t="s">
        <v>91</v>
      </c>
      <c r="FCY222" s="40" t="s">
        <v>91</v>
      </c>
      <c r="FCZ222" s="40" t="s">
        <v>91</v>
      </c>
      <c r="FDA222" s="40" t="s">
        <v>91</v>
      </c>
      <c r="FDB222" s="40" t="s">
        <v>91</v>
      </c>
      <c r="FDC222" s="40" t="s">
        <v>91</v>
      </c>
      <c r="FDD222" s="40" t="s">
        <v>91</v>
      </c>
      <c r="FDE222" s="40" t="s">
        <v>91</v>
      </c>
      <c r="FDF222" s="40" t="s">
        <v>91</v>
      </c>
      <c r="FDG222" s="40" t="s">
        <v>91</v>
      </c>
      <c r="FDH222" s="40" t="s">
        <v>91</v>
      </c>
      <c r="FDI222" s="40" t="s">
        <v>91</v>
      </c>
      <c r="FDJ222" s="40" t="s">
        <v>91</v>
      </c>
      <c r="FDK222" s="40" t="s">
        <v>91</v>
      </c>
      <c r="FDL222" s="40" t="s">
        <v>91</v>
      </c>
      <c r="FDM222" s="40" t="s">
        <v>91</v>
      </c>
      <c r="FDN222" s="40" t="s">
        <v>91</v>
      </c>
      <c r="FDO222" s="40" t="s">
        <v>91</v>
      </c>
      <c r="FDP222" s="40" t="s">
        <v>91</v>
      </c>
      <c r="FDQ222" s="40" t="s">
        <v>91</v>
      </c>
      <c r="FDR222" s="40" t="s">
        <v>91</v>
      </c>
      <c r="FDS222" s="40" t="s">
        <v>91</v>
      </c>
      <c r="FDT222" s="40" t="s">
        <v>91</v>
      </c>
      <c r="FDU222" s="40" t="s">
        <v>91</v>
      </c>
      <c r="FDV222" s="40" t="s">
        <v>91</v>
      </c>
      <c r="FDW222" s="40" t="s">
        <v>91</v>
      </c>
      <c r="FDX222" s="40" t="s">
        <v>91</v>
      </c>
      <c r="FDY222" s="40" t="s">
        <v>91</v>
      </c>
      <c r="FDZ222" s="40" t="s">
        <v>91</v>
      </c>
      <c r="FEA222" s="40" t="s">
        <v>91</v>
      </c>
      <c r="FEB222" s="40" t="s">
        <v>91</v>
      </c>
      <c r="FEC222" s="40" t="s">
        <v>91</v>
      </c>
      <c r="FED222" s="40" t="s">
        <v>91</v>
      </c>
      <c r="FEE222" s="40" t="s">
        <v>91</v>
      </c>
      <c r="FEF222" s="40" t="s">
        <v>91</v>
      </c>
      <c r="FEG222" s="40" t="s">
        <v>91</v>
      </c>
      <c r="FEH222" s="40" t="s">
        <v>91</v>
      </c>
      <c r="FEI222" s="40" t="s">
        <v>91</v>
      </c>
      <c r="FEJ222" s="40" t="s">
        <v>91</v>
      </c>
      <c r="FEK222" s="40" t="s">
        <v>91</v>
      </c>
      <c r="FEL222" s="40" t="s">
        <v>91</v>
      </c>
      <c r="FEM222" s="40" t="s">
        <v>91</v>
      </c>
      <c r="FEN222" s="40" t="s">
        <v>91</v>
      </c>
      <c r="FEO222" s="40" t="s">
        <v>91</v>
      </c>
      <c r="FEP222" s="40" t="s">
        <v>91</v>
      </c>
      <c r="FEQ222" s="40" t="s">
        <v>91</v>
      </c>
      <c r="FER222" s="40" t="s">
        <v>91</v>
      </c>
      <c r="FES222" s="40" t="s">
        <v>91</v>
      </c>
      <c r="FET222" s="40" t="s">
        <v>91</v>
      </c>
      <c r="FEU222" s="40" t="s">
        <v>91</v>
      </c>
      <c r="FEV222" s="40" t="s">
        <v>91</v>
      </c>
      <c r="FEW222" s="40" t="s">
        <v>91</v>
      </c>
      <c r="FEX222" s="40" t="s">
        <v>91</v>
      </c>
      <c r="FEY222" s="40" t="s">
        <v>91</v>
      </c>
      <c r="FEZ222" s="40" t="s">
        <v>91</v>
      </c>
      <c r="FFA222" s="40" t="s">
        <v>91</v>
      </c>
      <c r="FFB222" s="40" t="s">
        <v>91</v>
      </c>
      <c r="FFC222" s="40" t="s">
        <v>91</v>
      </c>
      <c r="FFD222" s="40" t="s">
        <v>91</v>
      </c>
      <c r="FFE222" s="40" t="s">
        <v>91</v>
      </c>
      <c r="FFF222" s="40" t="s">
        <v>91</v>
      </c>
      <c r="FFG222" s="40" t="s">
        <v>91</v>
      </c>
      <c r="FFH222" s="40" t="s">
        <v>91</v>
      </c>
      <c r="FFI222" s="40" t="s">
        <v>91</v>
      </c>
      <c r="FFJ222" s="40" t="s">
        <v>91</v>
      </c>
      <c r="FFK222" s="40" t="s">
        <v>91</v>
      </c>
      <c r="FFL222" s="40" t="s">
        <v>91</v>
      </c>
      <c r="FFM222" s="40" t="s">
        <v>91</v>
      </c>
      <c r="FFN222" s="40" t="s">
        <v>91</v>
      </c>
      <c r="FFO222" s="40" t="s">
        <v>91</v>
      </c>
      <c r="FFP222" s="40" t="s">
        <v>91</v>
      </c>
      <c r="FFQ222" s="40" t="s">
        <v>91</v>
      </c>
      <c r="FFR222" s="40" t="s">
        <v>91</v>
      </c>
      <c r="FFS222" s="40" t="s">
        <v>91</v>
      </c>
      <c r="FFT222" s="40" t="s">
        <v>91</v>
      </c>
      <c r="FFU222" s="40" t="s">
        <v>91</v>
      </c>
      <c r="FFV222" s="40" t="s">
        <v>91</v>
      </c>
      <c r="FFW222" s="40" t="s">
        <v>91</v>
      </c>
      <c r="FFX222" s="40" t="s">
        <v>91</v>
      </c>
      <c r="FFY222" s="40" t="s">
        <v>91</v>
      </c>
      <c r="FFZ222" s="40" t="s">
        <v>91</v>
      </c>
      <c r="FGA222" s="40" t="s">
        <v>91</v>
      </c>
      <c r="FGB222" s="40" t="s">
        <v>91</v>
      </c>
      <c r="FGC222" s="40" t="s">
        <v>91</v>
      </c>
      <c r="FGD222" s="40" t="s">
        <v>91</v>
      </c>
      <c r="FGE222" s="40" t="s">
        <v>91</v>
      </c>
      <c r="FGF222" s="40" t="s">
        <v>91</v>
      </c>
      <c r="FGG222" s="40" t="s">
        <v>91</v>
      </c>
      <c r="FGH222" s="40" t="s">
        <v>91</v>
      </c>
      <c r="FGI222" s="40" t="s">
        <v>91</v>
      </c>
      <c r="FGJ222" s="40" t="s">
        <v>91</v>
      </c>
      <c r="FGK222" s="40" t="s">
        <v>91</v>
      </c>
      <c r="FGL222" s="40" t="s">
        <v>91</v>
      </c>
      <c r="FGM222" s="40" t="s">
        <v>91</v>
      </c>
      <c r="FGN222" s="40" t="s">
        <v>91</v>
      </c>
      <c r="FGO222" s="40" t="s">
        <v>91</v>
      </c>
      <c r="FGP222" s="40" t="s">
        <v>91</v>
      </c>
      <c r="FGQ222" s="40" t="s">
        <v>91</v>
      </c>
      <c r="FGR222" s="40" t="s">
        <v>91</v>
      </c>
      <c r="FGS222" s="40" t="s">
        <v>91</v>
      </c>
      <c r="FGT222" s="40" t="s">
        <v>91</v>
      </c>
      <c r="FGU222" s="40" t="s">
        <v>91</v>
      </c>
      <c r="FGV222" s="40" t="s">
        <v>91</v>
      </c>
      <c r="FGW222" s="40" t="s">
        <v>91</v>
      </c>
      <c r="FGX222" s="40" t="s">
        <v>91</v>
      </c>
      <c r="FGY222" s="40" t="s">
        <v>91</v>
      </c>
      <c r="FGZ222" s="40" t="s">
        <v>91</v>
      </c>
      <c r="FHA222" s="40" t="s">
        <v>91</v>
      </c>
      <c r="FHB222" s="40" t="s">
        <v>91</v>
      </c>
      <c r="FHC222" s="40" t="s">
        <v>91</v>
      </c>
      <c r="FHD222" s="40" t="s">
        <v>91</v>
      </c>
      <c r="FHE222" s="40" t="s">
        <v>91</v>
      </c>
      <c r="FHF222" s="40" t="s">
        <v>91</v>
      </c>
      <c r="FHG222" s="40" t="s">
        <v>91</v>
      </c>
      <c r="FHH222" s="40" t="s">
        <v>91</v>
      </c>
      <c r="FHI222" s="40" t="s">
        <v>91</v>
      </c>
      <c r="FHJ222" s="40" t="s">
        <v>91</v>
      </c>
      <c r="FHK222" s="40" t="s">
        <v>91</v>
      </c>
      <c r="FHL222" s="40" t="s">
        <v>91</v>
      </c>
      <c r="FHM222" s="40" t="s">
        <v>91</v>
      </c>
      <c r="FHN222" s="40" t="s">
        <v>91</v>
      </c>
      <c r="FHO222" s="40" t="s">
        <v>91</v>
      </c>
      <c r="FHP222" s="40" t="s">
        <v>91</v>
      </c>
      <c r="FHQ222" s="40" t="s">
        <v>91</v>
      </c>
      <c r="FHR222" s="40" t="s">
        <v>91</v>
      </c>
      <c r="FHS222" s="40" t="s">
        <v>91</v>
      </c>
      <c r="FHT222" s="40" t="s">
        <v>91</v>
      </c>
      <c r="FHU222" s="40" t="s">
        <v>91</v>
      </c>
      <c r="FHV222" s="40" t="s">
        <v>91</v>
      </c>
      <c r="FHW222" s="40" t="s">
        <v>91</v>
      </c>
      <c r="FHX222" s="40" t="s">
        <v>91</v>
      </c>
      <c r="FHY222" s="40" t="s">
        <v>91</v>
      </c>
      <c r="FHZ222" s="40" t="s">
        <v>91</v>
      </c>
      <c r="FIA222" s="40" t="s">
        <v>91</v>
      </c>
      <c r="FIB222" s="40" t="s">
        <v>91</v>
      </c>
      <c r="FIC222" s="40" t="s">
        <v>91</v>
      </c>
      <c r="FID222" s="40" t="s">
        <v>91</v>
      </c>
      <c r="FIE222" s="40" t="s">
        <v>91</v>
      </c>
      <c r="FIF222" s="40" t="s">
        <v>91</v>
      </c>
      <c r="FIG222" s="40" t="s">
        <v>91</v>
      </c>
      <c r="FIH222" s="40" t="s">
        <v>91</v>
      </c>
      <c r="FII222" s="40" t="s">
        <v>91</v>
      </c>
      <c r="FIJ222" s="40" t="s">
        <v>91</v>
      </c>
      <c r="FIK222" s="40" t="s">
        <v>91</v>
      </c>
      <c r="FIL222" s="40" t="s">
        <v>91</v>
      </c>
      <c r="FIM222" s="40" t="s">
        <v>91</v>
      </c>
      <c r="FIN222" s="40" t="s">
        <v>91</v>
      </c>
      <c r="FIO222" s="40" t="s">
        <v>91</v>
      </c>
      <c r="FIP222" s="40" t="s">
        <v>91</v>
      </c>
      <c r="FIQ222" s="40" t="s">
        <v>91</v>
      </c>
      <c r="FIR222" s="40" t="s">
        <v>91</v>
      </c>
      <c r="FIS222" s="40" t="s">
        <v>91</v>
      </c>
      <c r="FIT222" s="40" t="s">
        <v>91</v>
      </c>
      <c r="FIU222" s="40" t="s">
        <v>91</v>
      </c>
      <c r="FIV222" s="40" t="s">
        <v>91</v>
      </c>
      <c r="FIW222" s="40" t="s">
        <v>91</v>
      </c>
      <c r="FIX222" s="40" t="s">
        <v>91</v>
      </c>
      <c r="FIY222" s="40" t="s">
        <v>91</v>
      </c>
      <c r="FIZ222" s="40" t="s">
        <v>91</v>
      </c>
      <c r="FJA222" s="40" t="s">
        <v>91</v>
      </c>
      <c r="FJB222" s="40" t="s">
        <v>91</v>
      </c>
      <c r="FJC222" s="40" t="s">
        <v>91</v>
      </c>
      <c r="FJD222" s="40" t="s">
        <v>91</v>
      </c>
      <c r="FJE222" s="40" t="s">
        <v>91</v>
      </c>
      <c r="FJF222" s="40" t="s">
        <v>91</v>
      </c>
      <c r="FJG222" s="40" t="s">
        <v>91</v>
      </c>
      <c r="FJH222" s="40" t="s">
        <v>91</v>
      </c>
      <c r="FJI222" s="40" t="s">
        <v>91</v>
      </c>
      <c r="FJJ222" s="40" t="s">
        <v>91</v>
      </c>
      <c r="FJK222" s="40" t="s">
        <v>91</v>
      </c>
      <c r="FJL222" s="40" t="s">
        <v>91</v>
      </c>
      <c r="FJM222" s="40" t="s">
        <v>91</v>
      </c>
      <c r="FJN222" s="40" t="s">
        <v>91</v>
      </c>
      <c r="FJO222" s="40" t="s">
        <v>91</v>
      </c>
      <c r="FJP222" s="40" t="s">
        <v>91</v>
      </c>
      <c r="FJQ222" s="40" t="s">
        <v>91</v>
      </c>
      <c r="FJR222" s="40" t="s">
        <v>91</v>
      </c>
      <c r="FJS222" s="40" t="s">
        <v>91</v>
      </c>
      <c r="FJT222" s="40" t="s">
        <v>91</v>
      </c>
      <c r="FJU222" s="40" t="s">
        <v>91</v>
      </c>
      <c r="FJV222" s="40" t="s">
        <v>91</v>
      </c>
      <c r="FJW222" s="40" t="s">
        <v>91</v>
      </c>
      <c r="FJX222" s="40" t="s">
        <v>91</v>
      </c>
      <c r="FJY222" s="40" t="s">
        <v>91</v>
      </c>
      <c r="FJZ222" s="40" t="s">
        <v>91</v>
      </c>
      <c r="FKA222" s="40" t="s">
        <v>91</v>
      </c>
      <c r="FKB222" s="40" t="s">
        <v>91</v>
      </c>
      <c r="FKC222" s="40" t="s">
        <v>91</v>
      </c>
      <c r="FKD222" s="40" t="s">
        <v>91</v>
      </c>
      <c r="FKE222" s="40" t="s">
        <v>91</v>
      </c>
      <c r="FKF222" s="40" t="s">
        <v>91</v>
      </c>
      <c r="FKG222" s="40" t="s">
        <v>91</v>
      </c>
      <c r="FKH222" s="40" t="s">
        <v>91</v>
      </c>
      <c r="FKI222" s="40" t="s">
        <v>91</v>
      </c>
      <c r="FKJ222" s="40" t="s">
        <v>91</v>
      </c>
      <c r="FKK222" s="40" t="s">
        <v>91</v>
      </c>
      <c r="FKL222" s="40" t="s">
        <v>91</v>
      </c>
      <c r="FKM222" s="40" t="s">
        <v>91</v>
      </c>
      <c r="FKN222" s="40" t="s">
        <v>91</v>
      </c>
      <c r="FKO222" s="40" t="s">
        <v>91</v>
      </c>
      <c r="FKP222" s="40" t="s">
        <v>91</v>
      </c>
      <c r="FKQ222" s="40" t="s">
        <v>91</v>
      </c>
      <c r="FKR222" s="40" t="s">
        <v>91</v>
      </c>
      <c r="FKS222" s="40" t="s">
        <v>91</v>
      </c>
      <c r="FKT222" s="40" t="s">
        <v>91</v>
      </c>
      <c r="FKU222" s="40" t="s">
        <v>91</v>
      </c>
      <c r="FKV222" s="40" t="s">
        <v>91</v>
      </c>
      <c r="FKW222" s="40" t="s">
        <v>91</v>
      </c>
      <c r="FKX222" s="40" t="s">
        <v>91</v>
      </c>
      <c r="FKY222" s="40" t="s">
        <v>91</v>
      </c>
      <c r="FKZ222" s="40" t="s">
        <v>91</v>
      </c>
      <c r="FLA222" s="40" t="s">
        <v>91</v>
      </c>
      <c r="FLB222" s="40" t="s">
        <v>91</v>
      </c>
      <c r="FLC222" s="40" t="s">
        <v>91</v>
      </c>
      <c r="FLD222" s="40" t="s">
        <v>91</v>
      </c>
      <c r="FLE222" s="40" t="s">
        <v>91</v>
      </c>
      <c r="FLF222" s="40" t="s">
        <v>91</v>
      </c>
      <c r="FLG222" s="40" t="s">
        <v>91</v>
      </c>
      <c r="FLH222" s="40" t="s">
        <v>91</v>
      </c>
      <c r="FLI222" s="40" t="s">
        <v>91</v>
      </c>
      <c r="FLJ222" s="40" t="s">
        <v>91</v>
      </c>
      <c r="FLK222" s="40" t="s">
        <v>91</v>
      </c>
      <c r="FLL222" s="40" t="s">
        <v>91</v>
      </c>
      <c r="FLM222" s="40" t="s">
        <v>91</v>
      </c>
      <c r="FLN222" s="40" t="s">
        <v>91</v>
      </c>
      <c r="FLO222" s="40" t="s">
        <v>91</v>
      </c>
      <c r="FLP222" s="40" t="s">
        <v>91</v>
      </c>
      <c r="FLQ222" s="40" t="s">
        <v>91</v>
      </c>
      <c r="FLR222" s="40" t="s">
        <v>91</v>
      </c>
      <c r="FLS222" s="40" t="s">
        <v>91</v>
      </c>
      <c r="FLT222" s="40" t="s">
        <v>91</v>
      </c>
      <c r="FLU222" s="40" t="s">
        <v>91</v>
      </c>
      <c r="FLV222" s="40" t="s">
        <v>91</v>
      </c>
      <c r="FLW222" s="40" t="s">
        <v>91</v>
      </c>
      <c r="FLX222" s="40" t="s">
        <v>91</v>
      </c>
      <c r="FLY222" s="40" t="s">
        <v>91</v>
      </c>
      <c r="FLZ222" s="40" t="s">
        <v>91</v>
      </c>
      <c r="FMA222" s="40" t="s">
        <v>91</v>
      </c>
      <c r="FMB222" s="40" t="s">
        <v>91</v>
      </c>
      <c r="FMC222" s="40" t="s">
        <v>91</v>
      </c>
      <c r="FMD222" s="40" t="s">
        <v>91</v>
      </c>
      <c r="FME222" s="40" t="s">
        <v>91</v>
      </c>
      <c r="FMF222" s="40" t="s">
        <v>91</v>
      </c>
      <c r="FMG222" s="40" t="s">
        <v>91</v>
      </c>
      <c r="FMH222" s="40" t="s">
        <v>91</v>
      </c>
      <c r="FMI222" s="40" t="s">
        <v>91</v>
      </c>
      <c r="FMJ222" s="40" t="s">
        <v>91</v>
      </c>
      <c r="FMK222" s="40" t="s">
        <v>91</v>
      </c>
      <c r="FML222" s="40" t="s">
        <v>91</v>
      </c>
      <c r="FMM222" s="40" t="s">
        <v>91</v>
      </c>
      <c r="FMN222" s="40" t="s">
        <v>91</v>
      </c>
      <c r="FMO222" s="40" t="s">
        <v>91</v>
      </c>
      <c r="FMP222" s="40" t="s">
        <v>91</v>
      </c>
      <c r="FMQ222" s="40" t="s">
        <v>91</v>
      </c>
      <c r="FMR222" s="40" t="s">
        <v>91</v>
      </c>
      <c r="FMS222" s="40" t="s">
        <v>91</v>
      </c>
      <c r="FMT222" s="40" t="s">
        <v>91</v>
      </c>
      <c r="FMU222" s="40" t="s">
        <v>91</v>
      </c>
      <c r="FMV222" s="40" t="s">
        <v>91</v>
      </c>
      <c r="FMW222" s="40" t="s">
        <v>91</v>
      </c>
      <c r="FMX222" s="40" t="s">
        <v>91</v>
      </c>
      <c r="FMY222" s="40" t="s">
        <v>91</v>
      </c>
      <c r="FMZ222" s="40" t="s">
        <v>91</v>
      </c>
      <c r="FNA222" s="40" t="s">
        <v>91</v>
      </c>
      <c r="FNB222" s="40" t="s">
        <v>91</v>
      </c>
      <c r="FNC222" s="40" t="s">
        <v>91</v>
      </c>
      <c r="FND222" s="40" t="s">
        <v>91</v>
      </c>
      <c r="FNE222" s="40" t="s">
        <v>91</v>
      </c>
      <c r="FNF222" s="40" t="s">
        <v>91</v>
      </c>
      <c r="FNG222" s="40" t="s">
        <v>91</v>
      </c>
      <c r="FNH222" s="40" t="s">
        <v>91</v>
      </c>
      <c r="FNI222" s="40" t="s">
        <v>91</v>
      </c>
      <c r="FNJ222" s="40" t="s">
        <v>91</v>
      </c>
      <c r="FNK222" s="40" t="s">
        <v>91</v>
      </c>
      <c r="FNL222" s="40" t="s">
        <v>91</v>
      </c>
      <c r="FNM222" s="40" t="s">
        <v>91</v>
      </c>
      <c r="FNN222" s="40" t="s">
        <v>91</v>
      </c>
      <c r="FNO222" s="40" t="s">
        <v>91</v>
      </c>
      <c r="FNP222" s="40" t="s">
        <v>91</v>
      </c>
      <c r="FNQ222" s="40" t="s">
        <v>91</v>
      </c>
      <c r="FNR222" s="40" t="s">
        <v>91</v>
      </c>
      <c r="FNS222" s="40" t="s">
        <v>91</v>
      </c>
      <c r="FNT222" s="40" t="s">
        <v>91</v>
      </c>
      <c r="FNU222" s="40" t="s">
        <v>91</v>
      </c>
      <c r="FNV222" s="40" t="s">
        <v>91</v>
      </c>
      <c r="FNW222" s="40" t="s">
        <v>91</v>
      </c>
      <c r="FNX222" s="40" t="s">
        <v>91</v>
      </c>
      <c r="FNY222" s="40" t="s">
        <v>91</v>
      </c>
      <c r="FNZ222" s="40" t="s">
        <v>91</v>
      </c>
      <c r="FOA222" s="40" t="s">
        <v>91</v>
      </c>
      <c r="FOB222" s="40" t="s">
        <v>91</v>
      </c>
      <c r="FOC222" s="40" t="s">
        <v>91</v>
      </c>
      <c r="FOD222" s="40" t="s">
        <v>91</v>
      </c>
      <c r="FOE222" s="40" t="s">
        <v>91</v>
      </c>
      <c r="FOF222" s="40" t="s">
        <v>91</v>
      </c>
      <c r="FOG222" s="40" t="s">
        <v>91</v>
      </c>
      <c r="FOH222" s="40" t="s">
        <v>91</v>
      </c>
      <c r="FOI222" s="40" t="s">
        <v>91</v>
      </c>
      <c r="FOJ222" s="40" t="s">
        <v>91</v>
      </c>
      <c r="FOK222" s="40" t="s">
        <v>91</v>
      </c>
      <c r="FOL222" s="40" t="s">
        <v>91</v>
      </c>
      <c r="FOM222" s="40" t="s">
        <v>91</v>
      </c>
      <c r="FON222" s="40" t="s">
        <v>91</v>
      </c>
      <c r="FOO222" s="40" t="s">
        <v>91</v>
      </c>
      <c r="FOP222" s="40" t="s">
        <v>91</v>
      </c>
      <c r="FOQ222" s="40" t="s">
        <v>91</v>
      </c>
      <c r="FOR222" s="40" t="s">
        <v>91</v>
      </c>
      <c r="FOS222" s="40" t="s">
        <v>91</v>
      </c>
      <c r="FOT222" s="40" t="s">
        <v>91</v>
      </c>
      <c r="FOU222" s="40" t="s">
        <v>91</v>
      </c>
      <c r="FOV222" s="40" t="s">
        <v>91</v>
      </c>
      <c r="FOW222" s="40" t="s">
        <v>91</v>
      </c>
      <c r="FOX222" s="40" t="s">
        <v>91</v>
      </c>
      <c r="FOY222" s="40" t="s">
        <v>91</v>
      </c>
      <c r="FOZ222" s="40" t="s">
        <v>91</v>
      </c>
      <c r="FPA222" s="40" t="s">
        <v>91</v>
      </c>
      <c r="FPB222" s="40" t="s">
        <v>91</v>
      </c>
      <c r="FPC222" s="40" t="s">
        <v>91</v>
      </c>
      <c r="FPD222" s="40" t="s">
        <v>91</v>
      </c>
      <c r="FPE222" s="40" t="s">
        <v>91</v>
      </c>
      <c r="FPF222" s="40" t="s">
        <v>91</v>
      </c>
      <c r="FPG222" s="40" t="s">
        <v>91</v>
      </c>
      <c r="FPH222" s="40" t="s">
        <v>91</v>
      </c>
      <c r="FPI222" s="40" t="s">
        <v>91</v>
      </c>
      <c r="FPJ222" s="40" t="s">
        <v>91</v>
      </c>
      <c r="FPK222" s="40" t="s">
        <v>91</v>
      </c>
      <c r="FPL222" s="40" t="s">
        <v>91</v>
      </c>
      <c r="FPM222" s="40" t="s">
        <v>91</v>
      </c>
      <c r="FPN222" s="40" t="s">
        <v>91</v>
      </c>
      <c r="FPO222" s="40" t="s">
        <v>91</v>
      </c>
      <c r="FPP222" s="40" t="s">
        <v>91</v>
      </c>
      <c r="FPQ222" s="40" t="s">
        <v>91</v>
      </c>
      <c r="FPR222" s="40" t="s">
        <v>91</v>
      </c>
      <c r="FPS222" s="40" t="s">
        <v>91</v>
      </c>
      <c r="FPT222" s="40" t="s">
        <v>91</v>
      </c>
      <c r="FPU222" s="40" t="s">
        <v>91</v>
      </c>
      <c r="FPV222" s="40" t="s">
        <v>91</v>
      </c>
      <c r="FPW222" s="40" t="s">
        <v>91</v>
      </c>
      <c r="FPX222" s="40" t="s">
        <v>91</v>
      </c>
      <c r="FPY222" s="40" t="s">
        <v>91</v>
      </c>
      <c r="FPZ222" s="40" t="s">
        <v>91</v>
      </c>
      <c r="FQA222" s="40" t="s">
        <v>91</v>
      </c>
      <c r="FQB222" s="40" t="s">
        <v>91</v>
      </c>
      <c r="FQC222" s="40" t="s">
        <v>91</v>
      </c>
      <c r="FQD222" s="40" t="s">
        <v>91</v>
      </c>
      <c r="FQE222" s="40" t="s">
        <v>91</v>
      </c>
      <c r="FQF222" s="40" t="s">
        <v>91</v>
      </c>
      <c r="FQG222" s="40" t="s">
        <v>91</v>
      </c>
      <c r="FQH222" s="40" t="s">
        <v>91</v>
      </c>
      <c r="FQI222" s="40" t="s">
        <v>91</v>
      </c>
      <c r="FQJ222" s="40" t="s">
        <v>91</v>
      </c>
      <c r="FQK222" s="40" t="s">
        <v>91</v>
      </c>
      <c r="FQL222" s="40" t="s">
        <v>91</v>
      </c>
      <c r="FQM222" s="40" t="s">
        <v>91</v>
      </c>
      <c r="FQN222" s="40" t="s">
        <v>91</v>
      </c>
      <c r="FQO222" s="40" t="s">
        <v>91</v>
      </c>
      <c r="FQP222" s="40" t="s">
        <v>91</v>
      </c>
      <c r="FQQ222" s="40" t="s">
        <v>91</v>
      </c>
      <c r="FQR222" s="40" t="s">
        <v>91</v>
      </c>
      <c r="FQS222" s="40" t="s">
        <v>91</v>
      </c>
      <c r="FQT222" s="40" t="s">
        <v>91</v>
      </c>
      <c r="FQU222" s="40" t="s">
        <v>91</v>
      </c>
      <c r="FQV222" s="40" t="s">
        <v>91</v>
      </c>
      <c r="FQW222" s="40" t="s">
        <v>91</v>
      </c>
      <c r="FQX222" s="40" t="s">
        <v>91</v>
      </c>
      <c r="FQY222" s="40" t="s">
        <v>91</v>
      </c>
      <c r="FQZ222" s="40" t="s">
        <v>91</v>
      </c>
      <c r="FRA222" s="40" t="s">
        <v>91</v>
      </c>
      <c r="FRB222" s="40" t="s">
        <v>91</v>
      </c>
      <c r="FRC222" s="40" t="s">
        <v>91</v>
      </c>
      <c r="FRD222" s="40" t="s">
        <v>91</v>
      </c>
      <c r="FRE222" s="40" t="s">
        <v>91</v>
      </c>
      <c r="FRF222" s="40" t="s">
        <v>91</v>
      </c>
      <c r="FRG222" s="40" t="s">
        <v>91</v>
      </c>
      <c r="FRH222" s="40" t="s">
        <v>91</v>
      </c>
      <c r="FRI222" s="40" t="s">
        <v>91</v>
      </c>
      <c r="FRJ222" s="40" t="s">
        <v>91</v>
      </c>
      <c r="FRK222" s="40" t="s">
        <v>91</v>
      </c>
      <c r="FRL222" s="40" t="s">
        <v>91</v>
      </c>
      <c r="FRM222" s="40" t="s">
        <v>91</v>
      </c>
      <c r="FRN222" s="40" t="s">
        <v>91</v>
      </c>
      <c r="FRO222" s="40" t="s">
        <v>91</v>
      </c>
      <c r="FRP222" s="40" t="s">
        <v>91</v>
      </c>
      <c r="FRQ222" s="40" t="s">
        <v>91</v>
      </c>
      <c r="FRR222" s="40" t="s">
        <v>91</v>
      </c>
      <c r="FRS222" s="40" t="s">
        <v>91</v>
      </c>
      <c r="FRT222" s="40" t="s">
        <v>91</v>
      </c>
      <c r="FRU222" s="40" t="s">
        <v>91</v>
      </c>
      <c r="FRV222" s="40" t="s">
        <v>91</v>
      </c>
      <c r="FRW222" s="40" t="s">
        <v>91</v>
      </c>
      <c r="FRX222" s="40" t="s">
        <v>91</v>
      </c>
      <c r="FRY222" s="40" t="s">
        <v>91</v>
      </c>
      <c r="FRZ222" s="40" t="s">
        <v>91</v>
      </c>
      <c r="FSA222" s="40" t="s">
        <v>91</v>
      </c>
      <c r="FSB222" s="40" t="s">
        <v>91</v>
      </c>
      <c r="FSC222" s="40" t="s">
        <v>91</v>
      </c>
      <c r="FSD222" s="40" t="s">
        <v>91</v>
      </c>
      <c r="FSE222" s="40" t="s">
        <v>91</v>
      </c>
      <c r="FSF222" s="40" t="s">
        <v>91</v>
      </c>
      <c r="FSG222" s="40" t="s">
        <v>91</v>
      </c>
      <c r="FSH222" s="40" t="s">
        <v>91</v>
      </c>
      <c r="FSI222" s="40" t="s">
        <v>91</v>
      </c>
      <c r="FSJ222" s="40" t="s">
        <v>91</v>
      </c>
      <c r="FSK222" s="40" t="s">
        <v>91</v>
      </c>
      <c r="FSL222" s="40" t="s">
        <v>91</v>
      </c>
      <c r="FSM222" s="40" t="s">
        <v>91</v>
      </c>
      <c r="FSN222" s="40" t="s">
        <v>91</v>
      </c>
      <c r="FSO222" s="40" t="s">
        <v>91</v>
      </c>
      <c r="FSP222" s="40" t="s">
        <v>91</v>
      </c>
      <c r="FSQ222" s="40" t="s">
        <v>91</v>
      </c>
      <c r="FSR222" s="40" t="s">
        <v>91</v>
      </c>
      <c r="FSS222" s="40" t="s">
        <v>91</v>
      </c>
      <c r="FST222" s="40" t="s">
        <v>91</v>
      </c>
      <c r="FSU222" s="40" t="s">
        <v>91</v>
      </c>
      <c r="FSV222" s="40" t="s">
        <v>91</v>
      </c>
      <c r="FSW222" s="40" t="s">
        <v>91</v>
      </c>
      <c r="FSX222" s="40" t="s">
        <v>91</v>
      </c>
      <c r="FSY222" s="40" t="s">
        <v>91</v>
      </c>
      <c r="FSZ222" s="40" t="s">
        <v>91</v>
      </c>
      <c r="FTA222" s="40" t="s">
        <v>91</v>
      </c>
      <c r="FTB222" s="40" t="s">
        <v>91</v>
      </c>
      <c r="FTC222" s="40" t="s">
        <v>91</v>
      </c>
      <c r="FTD222" s="40" t="s">
        <v>91</v>
      </c>
      <c r="FTE222" s="40" t="s">
        <v>91</v>
      </c>
      <c r="FTF222" s="40" t="s">
        <v>91</v>
      </c>
      <c r="FTG222" s="40" t="s">
        <v>91</v>
      </c>
      <c r="FTH222" s="40" t="s">
        <v>91</v>
      </c>
      <c r="FTI222" s="40" t="s">
        <v>91</v>
      </c>
      <c r="FTJ222" s="40" t="s">
        <v>91</v>
      </c>
      <c r="FTK222" s="40" t="s">
        <v>91</v>
      </c>
      <c r="FTL222" s="40" t="s">
        <v>91</v>
      </c>
      <c r="FTM222" s="40" t="s">
        <v>91</v>
      </c>
      <c r="FTN222" s="40" t="s">
        <v>91</v>
      </c>
      <c r="FTO222" s="40" t="s">
        <v>91</v>
      </c>
      <c r="FTP222" s="40" t="s">
        <v>91</v>
      </c>
      <c r="FTQ222" s="40" t="s">
        <v>91</v>
      </c>
      <c r="FTR222" s="40" t="s">
        <v>91</v>
      </c>
      <c r="FTS222" s="40" t="s">
        <v>91</v>
      </c>
      <c r="FTT222" s="40" t="s">
        <v>91</v>
      </c>
      <c r="FTU222" s="40" t="s">
        <v>91</v>
      </c>
      <c r="FTV222" s="40" t="s">
        <v>91</v>
      </c>
      <c r="FTW222" s="40" t="s">
        <v>91</v>
      </c>
      <c r="FTX222" s="40" t="s">
        <v>91</v>
      </c>
      <c r="FTY222" s="40" t="s">
        <v>91</v>
      </c>
      <c r="FTZ222" s="40" t="s">
        <v>91</v>
      </c>
      <c r="FUA222" s="40" t="s">
        <v>91</v>
      </c>
      <c r="FUB222" s="40" t="s">
        <v>91</v>
      </c>
      <c r="FUC222" s="40" t="s">
        <v>91</v>
      </c>
      <c r="FUD222" s="40" t="s">
        <v>91</v>
      </c>
      <c r="FUE222" s="40" t="s">
        <v>91</v>
      </c>
      <c r="FUF222" s="40" t="s">
        <v>91</v>
      </c>
      <c r="FUG222" s="40" t="s">
        <v>91</v>
      </c>
      <c r="FUH222" s="40" t="s">
        <v>91</v>
      </c>
      <c r="FUI222" s="40" t="s">
        <v>91</v>
      </c>
      <c r="FUJ222" s="40" t="s">
        <v>91</v>
      </c>
      <c r="FUK222" s="40" t="s">
        <v>91</v>
      </c>
      <c r="FUL222" s="40" t="s">
        <v>91</v>
      </c>
      <c r="FUM222" s="40" t="s">
        <v>91</v>
      </c>
      <c r="FUN222" s="40" t="s">
        <v>91</v>
      </c>
      <c r="FUO222" s="40" t="s">
        <v>91</v>
      </c>
      <c r="FUP222" s="40" t="s">
        <v>91</v>
      </c>
      <c r="FUQ222" s="40" t="s">
        <v>91</v>
      </c>
      <c r="FUR222" s="40" t="s">
        <v>91</v>
      </c>
      <c r="FUS222" s="40" t="s">
        <v>91</v>
      </c>
      <c r="FUT222" s="40" t="s">
        <v>91</v>
      </c>
      <c r="FUU222" s="40" t="s">
        <v>91</v>
      </c>
      <c r="FUV222" s="40" t="s">
        <v>91</v>
      </c>
      <c r="FUW222" s="40" t="s">
        <v>91</v>
      </c>
      <c r="FUX222" s="40" t="s">
        <v>91</v>
      </c>
      <c r="FUY222" s="40" t="s">
        <v>91</v>
      </c>
      <c r="FUZ222" s="40" t="s">
        <v>91</v>
      </c>
      <c r="FVA222" s="40" t="s">
        <v>91</v>
      </c>
      <c r="FVB222" s="40" t="s">
        <v>91</v>
      </c>
      <c r="FVC222" s="40" t="s">
        <v>91</v>
      </c>
      <c r="FVD222" s="40" t="s">
        <v>91</v>
      </c>
      <c r="FVE222" s="40" t="s">
        <v>91</v>
      </c>
      <c r="FVF222" s="40" t="s">
        <v>91</v>
      </c>
      <c r="FVG222" s="40" t="s">
        <v>91</v>
      </c>
      <c r="FVH222" s="40" t="s">
        <v>91</v>
      </c>
      <c r="FVI222" s="40" t="s">
        <v>91</v>
      </c>
      <c r="FVJ222" s="40" t="s">
        <v>91</v>
      </c>
      <c r="FVK222" s="40" t="s">
        <v>91</v>
      </c>
      <c r="FVL222" s="40" t="s">
        <v>91</v>
      </c>
      <c r="FVM222" s="40" t="s">
        <v>91</v>
      </c>
      <c r="FVN222" s="40" t="s">
        <v>91</v>
      </c>
      <c r="FVO222" s="40" t="s">
        <v>91</v>
      </c>
      <c r="FVP222" s="40" t="s">
        <v>91</v>
      </c>
      <c r="FVQ222" s="40" t="s">
        <v>91</v>
      </c>
      <c r="FVR222" s="40" t="s">
        <v>91</v>
      </c>
      <c r="FVS222" s="40" t="s">
        <v>91</v>
      </c>
      <c r="FVT222" s="40" t="s">
        <v>91</v>
      </c>
      <c r="FVU222" s="40" t="s">
        <v>91</v>
      </c>
      <c r="FVV222" s="40" t="s">
        <v>91</v>
      </c>
      <c r="FVW222" s="40" t="s">
        <v>91</v>
      </c>
      <c r="FVX222" s="40" t="s">
        <v>91</v>
      </c>
      <c r="FVY222" s="40" t="s">
        <v>91</v>
      </c>
      <c r="FVZ222" s="40" t="s">
        <v>91</v>
      </c>
      <c r="FWA222" s="40" t="s">
        <v>91</v>
      </c>
      <c r="FWB222" s="40" t="s">
        <v>91</v>
      </c>
      <c r="FWC222" s="40" t="s">
        <v>91</v>
      </c>
      <c r="FWD222" s="40" t="s">
        <v>91</v>
      </c>
      <c r="FWE222" s="40" t="s">
        <v>91</v>
      </c>
      <c r="FWF222" s="40" t="s">
        <v>91</v>
      </c>
      <c r="FWG222" s="40" t="s">
        <v>91</v>
      </c>
      <c r="FWH222" s="40" t="s">
        <v>91</v>
      </c>
      <c r="FWI222" s="40" t="s">
        <v>91</v>
      </c>
      <c r="FWJ222" s="40" t="s">
        <v>91</v>
      </c>
      <c r="FWK222" s="40" t="s">
        <v>91</v>
      </c>
      <c r="FWL222" s="40" t="s">
        <v>91</v>
      </c>
      <c r="FWM222" s="40" t="s">
        <v>91</v>
      </c>
      <c r="FWN222" s="40" t="s">
        <v>91</v>
      </c>
      <c r="FWO222" s="40" t="s">
        <v>91</v>
      </c>
      <c r="FWP222" s="40" t="s">
        <v>91</v>
      </c>
      <c r="FWQ222" s="40" t="s">
        <v>91</v>
      </c>
      <c r="FWR222" s="40" t="s">
        <v>91</v>
      </c>
      <c r="FWS222" s="40" t="s">
        <v>91</v>
      </c>
      <c r="FWT222" s="40" t="s">
        <v>91</v>
      </c>
      <c r="FWU222" s="40" t="s">
        <v>91</v>
      </c>
      <c r="FWV222" s="40" t="s">
        <v>91</v>
      </c>
      <c r="FWW222" s="40" t="s">
        <v>91</v>
      </c>
      <c r="FWX222" s="40" t="s">
        <v>91</v>
      </c>
      <c r="FWY222" s="40" t="s">
        <v>91</v>
      </c>
      <c r="FWZ222" s="40" t="s">
        <v>91</v>
      </c>
      <c r="FXA222" s="40" t="s">
        <v>91</v>
      </c>
      <c r="FXB222" s="40" t="s">
        <v>91</v>
      </c>
      <c r="FXC222" s="40" t="s">
        <v>91</v>
      </c>
      <c r="FXD222" s="40" t="s">
        <v>91</v>
      </c>
      <c r="FXE222" s="40" t="s">
        <v>91</v>
      </c>
      <c r="FXF222" s="40" t="s">
        <v>91</v>
      </c>
      <c r="FXG222" s="40" t="s">
        <v>91</v>
      </c>
      <c r="FXH222" s="40" t="s">
        <v>91</v>
      </c>
      <c r="FXI222" s="40" t="s">
        <v>91</v>
      </c>
      <c r="FXJ222" s="40" t="s">
        <v>91</v>
      </c>
      <c r="FXK222" s="40" t="s">
        <v>91</v>
      </c>
      <c r="FXL222" s="40" t="s">
        <v>91</v>
      </c>
      <c r="FXM222" s="40" t="s">
        <v>91</v>
      </c>
      <c r="FXN222" s="40" t="s">
        <v>91</v>
      </c>
      <c r="FXO222" s="40" t="s">
        <v>91</v>
      </c>
      <c r="FXP222" s="40" t="s">
        <v>91</v>
      </c>
      <c r="FXQ222" s="40" t="s">
        <v>91</v>
      </c>
      <c r="FXR222" s="40" t="s">
        <v>91</v>
      </c>
      <c r="FXS222" s="40" t="s">
        <v>91</v>
      </c>
      <c r="FXT222" s="40" t="s">
        <v>91</v>
      </c>
      <c r="FXU222" s="40" t="s">
        <v>91</v>
      </c>
      <c r="FXV222" s="40" t="s">
        <v>91</v>
      </c>
      <c r="FXW222" s="40" t="s">
        <v>91</v>
      </c>
      <c r="FXX222" s="40" t="s">
        <v>91</v>
      </c>
      <c r="FXY222" s="40" t="s">
        <v>91</v>
      </c>
      <c r="FXZ222" s="40" t="s">
        <v>91</v>
      </c>
      <c r="FYA222" s="40" t="s">
        <v>91</v>
      </c>
      <c r="FYB222" s="40" t="s">
        <v>91</v>
      </c>
      <c r="FYC222" s="40" t="s">
        <v>91</v>
      </c>
      <c r="FYD222" s="40" t="s">
        <v>91</v>
      </c>
      <c r="FYE222" s="40" t="s">
        <v>91</v>
      </c>
      <c r="FYF222" s="40" t="s">
        <v>91</v>
      </c>
      <c r="FYG222" s="40" t="s">
        <v>91</v>
      </c>
      <c r="FYH222" s="40" t="s">
        <v>91</v>
      </c>
      <c r="FYI222" s="40" t="s">
        <v>91</v>
      </c>
      <c r="FYJ222" s="40" t="s">
        <v>91</v>
      </c>
      <c r="FYK222" s="40" t="s">
        <v>91</v>
      </c>
      <c r="FYL222" s="40" t="s">
        <v>91</v>
      </c>
      <c r="FYM222" s="40" t="s">
        <v>91</v>
      </c>
      <c r="FYN222" s="40" t="s">
        <v>91</v>
      </c>
      <c r="FYO222" s="40" t="s">
        <v>91</v>
      </c>
      <c r="FYP222" s="40" t="s">
        <v>91</v>
      </c>
      <c r="FYQ222" s="40" t="s">
        <v>91</v>
      </c>
      <c r="FYR222" s="40" t="s">
        <v>91</v>
      </c>
      <c r="FYS222" s="40" t="s">
        <v>91</v>
      </c>
      <c r="FYT222" s="40" t="s">
        <v>91</v>
      </c>
      <c r="FYU222" s="40" t="s">
        <v>91</v>
      </c>
      <c r="FYV222" s="40" t="s">
        <v>91</v>
      </c>
      <c r="FYW222" s="40" t="s">
        <v>91</v>
      </c>
      <c r="FYX222" s="40" t="s">
        <v>91</v>
      </c>
      <c r="FYY222" s="40" t="s">
        <v>91</v>
      </c>
      <c r="FYZ222" s="40" t="s">
        <v>91</v>
      </c>
      <c r="FZA222" s="40" t="s">
        <v>91</v>
      </c>
      <c r="FZB222" s="40" t="s">
        <v>91</v>
      </c>
      <c r="FZC222" s="40" t="s">
        <v>91</v>
      </c>
      <c r="FZD222" s="40" t="s">
        <v>91</v>
      </c>
      <c r="FZE222" s="40" t="s">
        <v>91</v>
      </c>
      <c r="FZF222" s="40" t="s">
        <v>91</v>
      </c>
      <c r="FZG222" s="40" t="s">
        <v>91</v>
      </c>
      <c r="FZH222" s="40" t="s">
        <v>91</v>
      </c>
      <c r="FZI222" s="40" t="s">
        <v>91</v>
      </c>
      <c r="FZJ222" s="40" t="s">
        <v>91</v>
      </c>
      <c r="FZK222" s="40" t="s">
        <v>91</v>
      </c>
      <c r="FZL222" s="40" t="s">
        <v>91</v>
      </c>
      <c r="FZM222" s="40" t="s">
        <v>91</v>
      </c>
      <c r="FZN222" s="40" t="s">
        <v>91</v>
      </c>
      <c r="FZO222" s="40" t="s">
        <v>91</v>
      </c>
      <c r="FZP222" s="40" t="s">
        <v>91</v>
      </c>
      <c r="FZQ222" s="40" t="s">
        <v>91</v>
      </c>
      <c r="FZR222" s="40" t="s">
        <v>91</v>
      </c>
      <c r="FZS222" s="40" t="s">
        <v>91</v>
      </c>
      <c r="FZT222" s="40" t="s">
        <v>91</v>
      </c>
      <c r="FZU222" s="40" t="s">
        <v>91</v>
      </c>
      <c r="FZV222" s="40" t="s">
        <v>91</v>
      </c>
      <c r="FZW222" s="40" t="s">
        <v>91</v>
      </c>
      <c r="FZX222" s="40" t="s">
        <v>91</v>
      </c>
      <c r="FZY222" s="40" t="s">
        <v>91</v>
      </c>
      <c r="FZZ222" s="40" t="s">
        <v>91</v>
      </c>
      <c r="GAA222" s="40" t="s">
        <v>91</v>
      </c>
      <c r="GAB222" s="40" t="s">
        <v>91</v>
      </c>
      <c r="GAC222" s="40" t="s">
        <v>91</v>
      </c>
      <c r="GAD222" s="40" t="s">
        <v>91</v>
      </c>
      <c r="GAE222" s="40" t="s">
        <v>91</v>
      </c>
      <c r="GAF222" s="40" t="s">
        <v>91</v>
      </c>
      <c r="GAG222" s="40" t="s">
        <v>91</v>
      </c>
      <c r="GAH222" s="40" t="s">
        <v>91</v>
      </c>
      <c r="GAI222" s="40" t="s">
        <v>91</v>
      </c>
      <c r="GAJ222" s="40" t="s">
        <v>91</v>
      </c>
      <c r="GAK222" s="40" t="s">
        <v>91</v>
      </c>
      <c r="GAL222" s="40" t="s">
        <v>91</v>
      </c>
      <c r="GAM222" s="40" t="s">
        <v>91</v>
      </c>
      <c r="GAN222" s="40" t="s">
        <v>91</v>
      </c>
      <c r="GAO222" s="40" t="s">
        <v>91</v>
      </c>
      <c r="GAP222" s="40" t="s">
        <v>91</v>
      </c>
      <c r="GAQ222" s="40" t="s">
        <v>91</v>
      </c>
      <c r="GAR222" s="40" t="s">
        <v>91</v>
      </c>
      <c r="GAS222" s="40" t="s">
        <v>91</v>
      </c>
      <c r="GAT222" s="40" t="s">
        <v>91</v>
      </c>
      <c r="GAU222" s="40" t="s">
        <v>91</v>
      </c>
      <c r="GAV222" s="40" t="s">
        <v>91</v>
      </c>
      <c r="GAW222" s="40" t="s">
        <v>91</v>
      </c>
      <c r="GAX222" s="40" t="s">
        <v>91</v>
      </c>
      <c r="GAY222" s="40" t="s">
        <v>91</v>
      </c>
      <c r="GAZ222" s="40" t="s">
        <v>91</v>
      </c>
      <c r="GBA222" s="40" t="s">
        <v>91</v>
      </c>
      <c r="GBB222" s="40" t="s">
        <v>91</v>
      </c>
      <c r="GBC222" s="40" t="s">
        <v>91</v>
      </c>
      <c r="GBD222" s="40" t="s">
        <v>91</v>
      </c>
      <c r="GBE222" s="40" t="s">
        <v>91</v>
      </c>
      <c r="GBF222" s="40" t="s">
        <v>91</v>
      </c>
      <c r="GBG222" s="40" t="s">
        <v>91</v>
      </c>
      <c r="GBH222" s="40" t="s">
        <v>91</v>
      </c>
      <c r="GBI222" s="40" t="s">
        <v>91</v>
      </c>
      <c r="GBJ222" s="40" t="s">
        <v>91</v>
      </c>
      <c r="GBK222" s="40" t="s">
        <v>91</v>
      </c>
      <c r="GBL222" s="40" t="s">
        <v>91</v>
      </c>
      <c r="GBM222" s="40" t="s">
        <v>91</v>
      </c>
      <c r="GBN222" s="40" t="s">
        <v>91</v>
      </c>
      <c r="GBO222" s="40" t="s">
        <v>91</v>
      </c>
      <c r="GBP222" s="40" t="s">
        <v>91</v>
      </c>
      <c r="GBQ222" s="40" t="s">
        <v>91</v>
      </c>
      <c r="GBR222" s="40" t="s">
        <v>91</v>
      </c>
      <c r="GBS222" s="40" t="s">
        <v>91</v>
      </c>
      <c r="GBT222" s="40" t="s">
        <v>91</v>
      </c>
      <c r="GBU222" s="40" t="s">
        <v>91</v>
      </c>
      <c r="GBV222" s="40" t="s">
        <v>91</v>
      </c>
      <c r="GBW222" s="40" t="s">
        <v>91</v>
      </c>
      <c r="GBX222" s="40" t="s">
        <v>91</v>
      </c>
      <c r="GBY222" s="40" t="s">
        <v>91</v>
      </c>
      <c r="GBZ222" s="40" t="s">
        <v>91</v>
      </c>
      <c r="GCA222" s="40" t="s">
        <v>91</v>
      </c>
      <c r="GCB222" s="40" t="s">
        <v>91</v>
      </c>
      <c r="GCC222" s="40" t="s">
        <v>91</v>
      </c>
      <c r="GCD222" s="40" t="s">
        <v>91</v>
      </c>
      <c r="GCE222" s="40" t="s">
        <v>91</v>
      </c>
      <c r="GCF222" s="40" t="s">
        <v>91</v>
      </c>
      <c r="GCG222" s="40" t="s">
        <v>91</v>
      </c>
      <c r="GCH222" s="40" t="s">
        <v>91</v>
      </c>
      <c r="GCI222" s="40" t="s">
        <v>91</v>
      </c>
      <c r="GCJ222" s="40" t="s">
        <v>91</v>
      </c>
      <c r="GCK222" s="40" t="s">
        <v>91</v>
      </c>
      <c r="GCL222" s="40" t="s">
        <v>91</v>
      </c>
      <c r="GCM222" s="40" t="s">
        <v>91</v>
      </c>
      <c r="GCN222" s="40" t="s">
        <v>91</v>
      </c>
      <c r="GCO222" s="40" t="s">
        <v>91</v>
      </c>
      <c r="GCP222" s="40" t="s">
        <v>91</v>
      </c>
      <c r="GCQ222" s="40" t="s">
        <v>91</v>
      </c>
      <c r="GCR222" s="40" t="s">
        <v>91</v>
      </c>
      <c r="GCS222" s="40" t="s">
        <v>91</v>
      </c>
      <c r="GCT222" s="40" t="s">
        <v>91</v>
      </c>
      <c r="GCU222" s="40" t="s">
        <v>91</v>
      </c>
      <c r="GCV222" s="40" t="s">
        <v>91</v>
      </c>
      <c r="GCW222" s="40" t="s">
        <v>91</v>
      </c>
      <c r="GCX222" s="40" t="s">
        <v>91</v>
      </c>
      <c r="GCY222" s="40" t="s">
        <v>91</v>
      </c>
      <c r="GCZ222" s="40" t="s">
        <v>91</v>
      </c>
      <c r="GDA222" s="40" t="s">
        <v>91</v>
      </c>
      <c r="GDB222" s="40" t="s">
        <v>91</v>
      </c>
      <c r="GDC222" s="40" t="s">
        <v>91</v>
      </c>
      <c r="GDD222" s="40" t="s">
        <v>91</v>
      </c>
      <c r="GDE222" s="40" t="s">
        <v>91</v>
      </c>
      <c r="GDF222" s="40" t="s">
        <v>91</v>
      </c>
      <c r="GDG222" s="40" t="s">
        <v>91</v>
      </c>
      <c r="GDH222" s="40" t="s">
        <v>91</v>
      </c>
      <c r="GDI222" s="40" t="s">
        <v>91</v>
      </c>
      <c r="GDJ222" s="40" t="s">
        <v>91</v>
      </c>
      <c r="GDK222" s="40" t="s">
        <v>91</v>
      </c>
      <c r="GDL222" s="40" t="s">
        <v>91</v>
      </c>
      <c r="GDM222" s="40" t="s">
        <v>91</v>
      </c>
      <c r="GDN222" s="40" t="s">
        <v>91</v>
      </c>
      <c r="GDO222" s="40" t="s">
        <v>91</v>
      </c>
      <c r="GDP222" s="40" t="s">
        <v>91</v>
      </c>
      <c r="GDQ222" s="40" t="s">
        <v>91</v>
      </c>
      <c r="GDR222" s="40" t="s">
        <v>91</v>
      </c>
      <c r="GDS222" s="40" t="s">
        <v>91</v>
      </c>
      <c r="GDT222" s="40" t="s">
        <v>91</v>
      </c>
      <c r="GDU222" s="40" t="s">
        <v>91</v>
      </c>
      <c r="GDV222" s="40" t="s">
        <v>91</v>
      </c>
      <c r="GDW222" s="40" t="s">
        <v>91</v>
      </c>
      <c r="GDX222" s="40" t="s">
        <v>91</v>
      </c>
      <c r="GDY222" s="40" t="s">
        <v>91</v>
      </c>
      <c r="GDZ222" s="40" t="s">
        <v>91</v>
      </c>
      <c r="GEA222" s="40" t="s">
        <v>91</v>
      </c>
      <c r="GEB222" s="40" t="s">
        <v>91</v>
      </c>
      <c r="GEC222" s="40" t="s">
        <v>91</v>
      </c>
      <c r="GED222" s="40" t="s">
        <v>91</v>
      </c>
      <c r="GEE222" s="40" t="s">
        <v>91</v>
      </c>
      <c r="GEF222" s="40" t="s">
        <v>91</v>
      </c>
      <c r="GEG222" s="40" t="s">
        <v>91</v>
      </c>
      <c r="GEH222" s="40" t="s">
        <v>91</v>
      </c>
      <c r="GEI222" s="40" t="s">
        <v>91</v>
      </c>
      <c r="GEJ222" s="40" t="s">
        <v>91</v>
      </c>
      <c r="GEK222" s="40" t="s">
        <v>91</v>
      </c>
      <c r="GEL222" s="40" t="s">
        <v>91</v>
      </c>
      <c r="GEM222" s="40" t="s">
        <v>91</v>
      </c>
      <c r="GEN222" s="40" t="s">
        <v>91</v>
      </c>
      <c r="GEO222" s="40" t="s">
        <v>91</v>
      </c>
      <c r="GEP222" s="40" t="s">
        <v>91</v>
      </c>
      <c r="GEQ222" s="40" t="s">
        <v>91</v>
      </c>
      <c r="GER222" s="40" t="s">
        <v>91</v>
      </c>
      <c r="GES222" s="40" t="s">
        <v>91</v>
      </c>
      <c r="GET222" s="40" t="s">
        <v>91</v>
      </c>
      <c r="GEU222" s="40" t="s">
        <v>91</v>
      </c>
      <c r="GEV222" s="40" t="s">
        <v>91</v>
      </c>
      <c r="GEW222" s="40" t="s">
        <v>91</v>
      </c>
      <c r="GEX222" s="40" t="s">
        <v>91</v>
      </c>
      <c r="GEY222" s="40" t="s">
        <v>91</v>
      </c>
      <c r="GEZ222" s="40" t="s">
        <v>91</v>
      </c>
      <c r="GFA222" s="40" t="s">
        <v>91</v>
      </c>
      <c r="GFB222" s="40" t="s">
        <v>91</v>
      </c>
      <c r="GFC222" s="40" t="s">
        <v>91</v>
      </c>
      <c r="GFD222" s="40" t="s">
        <v>91</v>
      </c>
      <c r="GFE222" s="40" t="s">
        <v>91</v>
      </c>
      <c r="GFF222" s="40" t="s">
        <v>91</v>
      </c>
      <c r="GFG222" s="40" t="s">
        <v>91</v>
      </c>
      <c r="GFH222" s="40" t="s">
        <v>91</v>
      </c>
      <c r="GFI222" s="40" t="s">
        <v>91</v>
      </c>
      <c r="GFJ222" s="40" t="s">
        <v>91</v>
      </c>
      <c r="GFK222" s="40" t="s">
        <v>91</v>
      </c>
      <c r="GFL222" s="40" t="s">
        <v>91</v>
      </c>
      <c r="GFM222" s="40" t="s">
        <v>91</v>
      </c>
      <c r="GFN222" s="40" t="s">
        <v>91</v>
      </c>
      <c r="GFO222" s="40" t="s">
        <v>91</v>
      </c>
      <c r="GFP222" s="40" t="s">
        <v>91</v>
      </c>
      <c r="GFQ222" s="40" t="s">
        <v>91</v>
      </c>
      <c r="GFR222" s="40" t="s">
        <v>91</v>
      </c>
      <c r="GFS222" s="40" t="s">
        <v>91</v>
      </c>
      <c r="GFT222" s="40" t="s">
        <v>91</v>
      </c>
      <c r="GFU222" s="40" t="s">
        <v>91</v>
      </c>
      <c r="GFV222" s="40" t="s">
        <v>91</v>
      </c>
      <c r="GFW222" s="40" t="s">
        <v>91</v>
      </c>
      <c r="GFX222" s="40" t="s">
        <v>91</v>
      </c>
      <c r="GFY222" s="40" t="s">
        <v>91</v>
      </c>
      <c r="GFZ222" s="40" t="s">
        <v>91</v>
      </c>
      <c r="GGA222" s="40" t="s">
        <v>91</v>
      </c>
      <c r="GGB222" s="40" t="s">
        <v>91</v>
      </c>
      <c r="GGC222" s="40" t="s">
        <v>91</v>
      </c>
      <c r="GGD222" s="40" t="s">
        <v>91</v>
      </c>
      <c r="GGE222" s="40" t="s">
        <v>91</v>
      </c>
      <c r="GGF222" s="40" t="s">
        <v>91</v>
      </c>
      <c r="GGG222" s="40" t="s">
        <v>91</v>
      </c>
      <c r="GGH222" s="40" t="s">
        <v>91</v>
      </c>
      <c r="GGI222" s="40" t="s">
        <v>91</v>
      </c>
      <c r="GGJ222" s="40" t="s">
        <v>91</v>
      </c>
      <c r="GGK222" s="40" t="s">
        <v>91</v>
      </c>
      <c r="GGL222" s="40" t="s">
        <v>91</v>
      </c>
      <c r="GGM222" s="40" t="s">
        <v>91</v>
      </c>
      <c r="GGN222" s="40" t="s">
        <v>91</v>
      </c>
      <c r="GGO222" s="40" t="s">
        <v>91</v>
      </c>
      <c r="GGP222" s="40" t="s">
        <v>91</v>
      </c>
      <c r="GGQ222" s="40" t="s">
        <v>91</v>
      </c>
      <c r="GGR222" s="40" t="s">
        <v>91</v>
      </c>
      <c r="GGS222" s="40" t="s">
        <v>91</v>
      </c>
      <c r="GGT222" s="40" t="s">
        <v>91</v>
      </c>
      <c r="GGU222" s="40" t="s">
        <v>91</v>
      </c>
      <c r="GGV222" s="40" t="s">
        <v>91</v>
      </c>
      <c r="GGW222" s="40" t="s">
        <v>91</v>
      </c>
      <c r="GGX222" s="40" t="s">
        <v>91</v>
      </c>
      <c r="GGY222" s="40" t="s">
        <v>91</v>
      </c>
      <c r="GGZ222" s="40" t="s">
        <v>91</v>
      </c>
      <c r="GHA222" s="40" t="s">
        <v>91</v>
      </c>
      <c r="GHB222" s="40" t="s">
        <v>91</v>
      </c>
      <c r="GHC222" s="40" t="s">
        <v>91</v>
      </c>
      <c r="GHD222" s="40" t="s">
        <v>91</v>
      </c>
      <c r="GHE222" s="40" t="s">
        <v>91</v>
      </c>
      <c r="GHF222" s="40" t="s">
        <v>91</v>
      </c>
      <c r="GHG222" s="40" t="s">
        <v>91</v>
      </c>
      <c r="GHH222" s="40" t="s">
        <v>91</v>
      </c>
      <c r="GHI222" s="40" t="s">
        <v>91</v>
      </c>
      <c r="GHJ222" s="40" t="s">
        <v>91</v>
      </c>
      <c r="GHK222" s="40" t="s">
        <v>91</v>
      </c>
      <c r="GHL222" s="40" t="s">
        <v>91</v>
      </c>
      <c r="GHM222" s="40" t="s">
        <v>91</v>
      </c>
      <c r="GHN222" s="40" t="s">
        <v>91</v>
      </c>
      <c r="GHO222" s="40" t="s">
        <v>91</v>
      </c>
      <c r="GHP222" s="40" t="s">
        <v>91</v>
      </c>
      <c r="GHQ222" s="40" t="s">
        <v>91</v>
      </c>
      <c r="GHR222" s="40" t="s">
        <v>91</v>
      </c>
      <c r="GHS222" s="40" t="s">
        <v>91</v>
      </c>
      <c r="GHT222" s="40" t="s">
        <v>91</v>
      </c>
      <c r="GHU222" s="40" t="s">
        <v>91</v>
      </c>
      <c r="GHV222" s="40" t="s">
        <v>91</v>
      </c>
      <c r="GHW222" s="40" t="s">
        <v>91</v>
      </c>
      <c r="GHX222" s="40" t="s">
        <v>91</v>
      </c>
      <c r="GHY222" s="40" t="s">
        <v>91</v>
      </c>
      <c r="GHZ222" s="40" t="s">
        <v>91</v>
      </c>
      <c r="GIA222" s="40" t="s">
        <v>91</v>
      </c>
      <c r="GIB222" s="40" t="s">
        <v>91</v>
      </c>
      <c r="GIC222" s="40" t="s">
        <v>91</v>
      </c>
      <c r="GID222" s="40" t="s">
        <v>91</v>
      </c>
      <c r="GIE222" s="40" t="s">
        <v>91</v>
      </c>
      <c r="GIF222" s="40" t="s">
        <v>91</v>
      </c>
      <c r="GIG222" s="40" t="s">
        <v>91</v>
      </c>
      <c r="GIH222" s="40" t="s">
        <v>91</v>
      </c>
      <c r="GII222" s="40" t="s">
        <v>91</v>
      </c>
      <c r="GIJ222" s="40" t="s">
        <v>91</v>
      </c>
      <c r="GIK222" s="40" t="s">
        <v>91</v>
      </c>
      <c r="GIL222" s="40" t="s">
        <v>91</v>
      </c>
      <c r="GIM222" s="40" t="s">
        <v>91</v>
      </c>
      <c r="GIN222" s="40" t="s">
        <v>91</v>
      </c>
      <c r="GIO222" s="40" t="s">
        <v>91</v>
      </c>
      <c r="GIP222" s="40" t="s">
        <v>91</v>
      </c>
      <c r="GIQ222" s="40" t="s">
        <v>91</v>
      </c>
      <c r="GIR222" s="40" t="s">
        <v>91</v>
      </c>
      <c r="GIS222" s="40" t="s">
        <v>91</v>
      </c>
      <c r="GIT222" s="40" t="s">
        <v>91</v>
      </c>
      <c r="GIU222" s="40" t="s">
        <v>91</v>
      </c>
      <c r="GIV222" s="40" t="s">
        <v>91</v>
      </c>
      <c r="GIW222" s="40" t="s">
        <v>91</v>
      </c>
      <c r="GIX222" s="40" t="s">
        <v>91</v>
      </c>
      <c r="GIY222" s="40" t="s">
        <v>91</v>
      </c>
      <c r="GIZ222" s="40" t="s">
        <v>91</v>
      </c>
      <c r="GJA222" s="40" t="s">
        <v>91</v>
      </c>
      <c r="GJB222" s="40" t="s">
        <v>91</v>
      </c>
      <c r="GJC222" s="40" t="s">
        <v>91</v>
      </c>
      <c r="GJD222" s="40" t="s">
        <v>91</v>
      </c>
      <c r="GJE222" s="40" t="s">
        <v>91</v>
      </c>
      <c r="GJF222" s="40" t="s">
        <v>91</v>
      </c>
      <c r="GJG222" s="40" t="s">
        <v>91</v>
      </c>
      <c r="GJH222" s="40" t="s">
        <v>91</v>
      </c>
      <c r="GJI222" s="40" t="s">
        <v>91</v>
      </c>
      <c r="GJJ222" s="40" t="s">
        <v>91</v>
      </c>
      <c r="GJK222" s="40" t="s">
        <v>91</v>
      </c>
      <c r="GJL222" s="40" t="s">
        <v>91</v>
      </c>
      <c r="GJM222" s="40" t="s">
        <v>91</v>
      </c>
      <c r="GJN222" s="40" t="s">
        <v>91</v>
      </c>
      <c r="GJO222" s="40" t="s">
        <v>91</v>
      </c>
      <c r="GJP222" s="40" t="s">
        <v>91</v>
      </c>
      <c r="GJQ222" s="40" t="s">
        <v>91</v>
      </c>
      <c r="GJR222" s="40" t="s">
        <v>91</v>
      </c>
      <c r="GJS222" s="40" t="s">
        <v>91</v>
      </c>
      <c r="GJT222" s="40" t="s">
        <v>91</v>
      </c>
      <c r="GJU222" s="40" t="s">
        <v>91</v>
      </c>
      <c r="GJV222" s="40" t="s">
        <v>91</v>
      </c>
      <c r="GJW222" s="40" t="s">
        <v>91</v>
      </c>
      <c r="GJX222" s="40" t="s">
        <v>91</v>
      </c>
      <c r="GJY222" s="40" t="s">
        <v>91</v>
      </c>
      <c r="GJZ222" s="40" t="s">
        <v>91</v>
      </c>
      <c r="GKA222" s="40" t="s">
        <v>91</v>
      </c>
      <c r="GKB222" s="40" t="s">
        <v>91</v>
      </c>
      <c r="GKC222" s="40" t="s">
        <v>91</v>
      </c>
      <c r="GKD222" s="40" t="s">
        <v>91</v>
      </c>
      <c r="GKE222" s="40" t="s">
        <v>91</v>
      </c>
      <c r="GKF222" s="40" t="s">
        <v>91</v>
      </c>
      <c r="GKG222" s="40" t="s">
        <v>91</v>
      </c>
      <c r="GKH222" s="40" t="s">
        <v>91</v>
      </c>
      <c r="GKI222" s="40" t="s">
        <v>91</v>
      </c>
      <c r="GKJ222" s="40" t="s">
        <v>91</v>
      </c>
      <c r="GKK222" s="40" t="s">
        <v>91</v>
      </c>
      <c r="GKL222" s="40" t="s">
        <v>91</v>
      </c>
      <c r="GKM222" s="40" t="s">
        <v>91</v>
      </c>
      <c r="GKN222" s="40" t="s">
        <v>91</v>
      </c>
      <c r="GKO222" s="40" t="s">
        <v>91</v>
      </c>
      <c r="GKP222" s="40" t="s">
        <v>91</v>
      </c>
      <c r="GKQ222" s="40" t="s">
        <v>91</v>
      </c>
      <c r="GKR222" s="40" t="s">
        <v>91</v>
      </c>
      <c r="GKS222" s="40" t="s">
        <v>91</v>
      </c>
      <c r="GKT222" s="40" t="s">
        <v>91</v>
      </c>
      <c r="GKU222" s="40" t="s">
        <v>91</v>
      </c>
      <c r="GKV222" s="40" t="s">
        <v>91</v>
      </c>
      <c r="GKW222" s="40" t="s">
        <v>91</v>
      </c>
      <c r="GKX222" s="40" t="s">
        <v>91</v>
      </c>
      <c r="GKY222" s="40" t="s">
        <v>91</v>
      </c>
      <c r="GKZ222" s="40" t="s">
        <v>91</v>
      </c>
      <c r="GLA222" s="40" t="s">
        <v>91</v>
      </c>
      <c r="GLB222" s="40" t="s">
        <v>91</v>
      </c>
      <c r="GLC222" s="40" t="s">
        <v>91</v>
      </c>
      <c r="GLD222" s="40" t="s">
        <v>91</v>
      </c>
      <c r="GLE222" s="40" t="s">
        <v>91</v>
      </c>
      <c r="GLF222" s="40" t="s">
        <v>91</v>
      </c>
      <c r="GLG222" s="40" t="s">
        <v>91</v>
      </c>
      <c r="GLH222" s="40" t="s">
        <v>91</v>
      </c>
      <c r="GLI222" s="40" t="s">
        <v>91</v>
      </c>
      <c r="GLJ222" s="40" t="s">
        <v>91</v>
      </c>
      <c r="GLK222" s="40" t="s">
        <v>91</v>
      </c>
      <c r="GLL222" s="40" t="s">
        <v>91</v>
      </c>
      <c r="GLM222" s="40" t="s">
        <v>91</v>
      </c>
      <c r="GLN222" s="40" t="s">
        <v>91</v>
      </c>
      <c r="GLO222" s="40" t="s">
        <v>91</v>
      </c>
      <c r="GLP222" s="40" t="s">
        <v>91</v>
      </c>
      <c r="GLQ222" s="40" t="s">
        <v>91</v>
      </c>
      <c r="GLR222" s="40" t="s">
        <v>91</v>
      </c>
      <c r="GLS222" s="40" t="s">
        <v>91</v>
      </c>
      <c r="GLT222" s="40" t="s">
        <v>91</v>
      </c>
      <c r="GLU222" s="40" t="s">
        <v>91</v>
      </c>
      <c r="GLV222" s="40" t="s">
        <v>91</v>
      </c>
      <c r="GLW222" s="40" t="s">
        <v>91</v>
      </c>
      <c r="GLX222" s="40" t="s">
        <v>91</v>
      </c>
      <c r="GLY222" s="40" t="s">
        <v>91</v>
      </c>
      <c r="GLZ222" s="40" t="s">
        <v>91</v>
      </c>
      <c r="GMA222" s="40" t="s">
        <v>91</v>
      </c>
      <c r="GMB222" s="40" t="s">
        <v>91</v>
      </c>
      <c r="GMC222" s="40" t="s">
        <v>91</v>
      </c>
      <c r="GMD222" s="40" t="s">
        <v>91</v>
      </c>
      <c r="GME222" s="40" t="s">
        <v>91</v>
      </c>
      <c r="GMF222" s="40" t="s">
        <v>91</v>
      </c>
      <c r="GMG222" s="40" t="s">
        <v>91</v>
      </c>
      <c r="GMH222" s="40" t="s">
        <v>91</v>
      </c>
      <c r="GMI222" s="40" t="s">
        <v>91</v>
      </c>
      <c r="GMJ222" s="40" t="s">
        <v>91</v>
      </c>
      <c r="GMK222" s="40" t="s">
        <v>91</v>
      </c>
      <c r="GML222" s="40" t="s">
        <v>91</v>
      </c>
      <c r="GMM222" s="40" t="s">
        <v>91</v>
      </c>
      <c r="GMN222" s="40" t="s">
        <v>91</v>
      </c>
      <c r="GMO222" s="40" t="s">
        <v>91</v>
      </c>
      <c r="GMP222" s="40" t="s">
        <v>91</v>
      </c>
      <c r="GMQ222" s="40" t="s">
        <v>91</v>
      </c>
      <c r="GMR222" s="40" t="s">
        <v>91</v>
      </c>
      <c r="GMS222" s="40" t="s">
        <v>91</v>
      </c>
      <c r="GMT222" s="40" t="s">
        <v>91</v>
      </c>
      <c r="GMU222" s="40" t="s">
        <v>91</v>
      </c>
      <c r="GMV222" s="40" t="s">
        <v>91</v>
      </c>
      <c r="GMW222" s="40" t="s">
        <v>91</v>
      </c>
      <c r="GMX222" s="40" t="s">
        <v>91</v>
      </c>
      <c r="GMY222" s="40" t="s">
        <v>91</v>
      </c>
      <c r="GMZ222" s="40" t="s">
        <v>91</v>
      </c>
      <c r="GNA222" s="40" t="s">
        <v>91</v>
      </c>
      <c r="GNB222" s="40" t="s">
        <v>91</v>
      </c>
      <c r="GNC222" s="40" t="s">
        <v>91</v>
      </c>
      <c r="GND222" s="40" t="s">
        <v>91</v>
      </c>
      <c r="GNE222" s="40" t="s">
        <v>91</v>
      </c>
      <c r="GNF222" s="40" t="s">
        <v>91</v>
      </c>
      <c r="GNG222" s="40" t="s">
        <v>91</v>
      </c>
      <c r="GNH222" s="40" t="s">
        <v>91</v>
      </c>
      <c r="GNI222" s="40" t="s">
        <v>91</v>
      </c>
      <c r="GNJ222" s="40" t="s">
        <v>91</v>
      </c>
      <c r="GNK222" s="40" t="s">
        <v>91</v>
      </c>
      <c r="GNL222" s="40" t="s">
        <v>91</v>
      </c>
      <c r="GNM222" s="40" t="s">
        <v>91</v>
      </c>
      <c r="GNN222" s="40" t="s">
        <v>91</v>
      </c>
      <c r="GNO222" s="40" t="s">
        <v>91</v>
      </c>
      <c r="GNP222" s="40" t="s">
        <v>91</v>
      </c>
      <c r="GNQ222" s="40" t="s">
        <v>91</v>
      </c>
      <c r="GNR222" s="40" t="s">
        <v>91</v>
      </c>
      <c r="GNS222" s="40" t="s">
        <v>91</v>
      </c>
      <c r="GNT222" s="40" t="s">
        <v>91</v>
      </c>
      <c r="GNU222" s="40" t="s">
        <v>91</v>
      </c>
      <c r="GNV222" s="40" t="s">
        <v>91</v>
      </c>
      <c r="GNW222" s="40" t="s">
        <v>91</v>
      </c>
      <c r="GNX222" s="40" t="s">
        <v>91</v>
      </c>
      <c r="GNY222" s="40" t="s">
        <v>91</v>
      </c>
      <c r="GNZ222" s="40" t="s">
        <v>91</v>
      </c>
      <c r="GOA222" s="40" t="s">
        <v>91</v>
      </c>
      <c r="GOB222" s="40" t="s">
        <v>91</v>
      </c>
      <c r="GOC222" s="40" t="s">
        <v>91</v>
      </c>
      <c r="GOD222" s="40" t="s">
        <v>91</v>
      </c>
      <c r="GOE222" s="40" t="s">
        <v>91</v>
      </c>
      <c r="GOF222" s="40" t="s">
        <v>91</v>
      </c>
      <c r="GOG222" s="40" t="s">
        <v>91</v>
      </c>
      <c r="GOH222" s="40" t="s">
        <v>91</v>
      </c>
      <c r="GOI222" s="40" t="s">
        <v>91</v>
      </c>
      <c r="GOJ222" s="40" t="s">
        <v>91</v>
      </c>
      <c r="GOK222" s="40" t="s">
        <v>91</v>
      </c>
      <c r="GOL222" s="40" t="s">
        <v>91</v>
      </c>
      <c r="GOM222" s="40" t="s">
        <v>91</v>
      </c>
      <c r="GON222" s="40" t="s">
        <v>91</v>
      </c>
      <c r="GOO222" s="40" t="s">
        <v>91</v>
      </c>
      <c r="GOP222" s="40" t="s">
        <v>91</v>
      </c>
      <c r="GOQ222" s="40" t="s">
        <v>91</v>
      </c>
      <c r="GOR222" s="40" t="s">
        <v>91</v>
      </c>
      <c r="GOS222" s="40" t="s">
        <v>91</v>
      </c>
      <c r="GOT222" s="40" t="s">
        <v>91</v>
      </c>
      <c r="GOU222" s="40" t="s">
        <v>91</v>
      </c>
      <c r="GOV222" s="40" t="s">
        <v>91</v>
      </c>
      <c r="GOW222" s="40" t="s">
        <v>91</v>
      </c>
      <c r="GOX222" s="40" t="s">
        <v>91</v>
      </c>
      <c r="GOY222" s="40" t="s">
        <v>91</v>
      </c>
      <c r="GOZ222" s="40" t="s">
        <v>91</v>
      </c>
      <c r="GPA222" s="40" t="s">
        <v>91</v>
      </c>
      <c r="GPB222" s="40" t="s">
        <v>91</v>
      </c>
      <c r="GPC222" s="40" t="s">
        <v>91</v>
      </c>
      <c r="GPD222" s="40" t="s">
        <v>91</v>
      </c>
      <c r="GPE222" s="40" t="s">
        <v>91</v>
      </c>
      <c r="GPF222" s="40" t="s">
        <v>91</v>
      </c>
      <c r="GPG222" s="40" t="s">
        <v>91</v>
      </c>
      <c r="GPH222" s="40" t="s">
        <v>91</v>
      </c>
      <c r="GPI222" s="40" t="s">
        <v>91</v>
      </c>
      <c r="GPJ222" s="40" t="s">
        <v>91</v>
      </c>
      <c r="GPK222" s="40" t="s">
        <v>91</v>
      </c>
      <c r="GPL222" s="40" t="s">
        <v>91</v>
      </c>
      <c r="GPM222" s="40" t="s">
        <v>91</v>
      </c>
      <c r="GPN222" s="40" t="s">
        <v>91</v>
      </c>
      <c r="GPO222" s="40" t="s">
        <v>91</v>
      </c>
      <c r="GPP222" s="40" t="s">
        <v>91</v>
      </c>
      <c r="GPQ222" s="40" t="s">
        <v>91</v>
      </c>
      <c r="GPR222" s="40" t="s">
        <v>91</v>
      </c>
      <c r="GPS222" s="40" t="s">
        <v>91</v>
      </c>
      <c r="GPT222" s="40" t="s">
        <v>91</v>
      </c>
      <c r="GPU222" s="40" t="s">
        <v>91</v>
      </c>
      <c r="GPV222" s="40" t="s">
        <v>91</v>
      </c>
      <c r="GPW222" s="40" t="s">
        <v>91</v>
      </c>
      <c r="GPX222" s="40" t="s">
        <v>91</v>
      </c>
      <c r="GPY222" s="40" t="s">
        <v>91</v>
      </c>
      <c r="GPZ222" s="40" t="s">
        <v>91</v>
      </c>
      <c r="GQA222" s="40" t="s">
        <v>91</v>
      </c>
      <c r="GQB222" s="40" t="s">
        <v>91</v>
      </c>
      <c r="GQC222" s="40" t="s">
        <v>91</v>
      </c>
      <c r="GQD222" s="40" t="s">
        <v>91</v>
      </c>
      <c r="GQE222" s="40" t="s">
        <v>91</v>
      </c>
      <c r="GQF222" s="40" t="s">
        <v>91</v>
      </c>
      <c r="GQG222" s="40" t="s">
        <v>91</v>
      </c>
      <c r="GQH222" s="40" t="s">
        <v>91</v>
      </c>
      <c r="GQI222" s="40" t="s">
        <v>91</v>
      </c>
      <c r="GQJ222" s="40" t="s">
        <v>91</v>
      </c>
      <c r="GQK222" s="40" t="s">
        <v>91</v>
      </c>
      <c r="GQL222" s="40" t="s">
        <v>91</v>
      </c>
      <c r="GQM222" s="40" t="s">
        <v>91</v>
      </c>
      <c r="GQN222" s="40" t="s">
        <v>91</v>
      </c>
      <c r="GQO222" s="40" t="s">
        <v>91</v>
      </c>
      <c r="GQP222" s="40" t="s">
        <v>91</v>
      </c>
      <c r="GQQ222" s="40" t="s">
        <v>91</v>
      </c>
      <c r="GQR222" s="40" t="s">
        <v>91</v>
      </c>
      <c r="GQS222" s="40" t="s">
        <v>91</v>
      </c>
      <c r="GQT222" s="40" t="s">
        <v>91</v>
      </c>
      <c r="GQU222" s="40" t="s">
        <v>91</v>
      </c>
      <c r="GQV222" s="40" t="s">
        <v>91</v>
      </c>
      <c r="GQW222" s="40" t="s">
        <v>91</v>
      </c>
      <c r="GQX222" s="40" t="s">
        <v>91</v>
      </c>
      <c r="GQY222" s="40" t="s">
        <v>91</v>
      </c>
      <c r="GQZ222" s="40" t="s">
        <v>91</v>
      </c>
      <c r="GRA222" s="40" t="s">
        <v>91</v>
      </c>
      <c r="GRB222" s="40" t="s">
        <v>91</v>
      </c>
      <c r="GRC222" s="40" t="s">
        <v>91</v>
      </c>
      <c r="GRD222" s="40" t="s">
        <v>91</v>
      </c>
      <c r="GRE222" s="40" t="s">
        <v>91</v>
      </c>
      <c r="GRF222" s="40" t="s">
        <v>91</v>
      </c>
      <c r="GRG222" s="40" t="s">
        <v>91</v>
      </c>
      <c r="GRH222" s="40" t="s">
        <v>91</v>
      </c>
      <c r="GRI222" s="40" t="s">
        <v>91</v>
      </c>
      <c r="GRJ222" s="40" t="s">
        <v>91</v>
      </c>
      <c r="GRK222" s="40" t="s">
        <v>91</v>
      </c>
      <c r="GRL222" s="40" t="s">
        <v>91</v>
      </c>
      <c r="GRM222" s="40" t="s">
        <v>91</v>
      </c>
      <c r="GRN222" s="40" t="s">
        <v>91</v>
      </c>
      <c r="GRO222" s="40" t="s">
        <v>91</v>
      </c>
      <c r="GRP222" s="40" t="s">
        <v>91</v>
      </c>
      <c r="GRQ222" s="40" t="s">
        <v>91</v>
      </c>
      <c r="GRR222" s="40" t="s">
        <v>91</v>
      </c>
      <c r="GRS222" s="40" t="s">
        <v>91</v>
      </c>
      <c r="GRT222" s="40" t="s">
        <v>91</v>
      </c>
      <c r="GRU222" s="40" t="s">
        <v>91</v>
      </c>
      <c r="GRV222" s="40" t="s">
        <v>91</v>
      </c>
      <c r="GRW222" s="40" t="s">
        <v>91</v>
      </c>
      <c r="GRX222" s="40" t="s">
        <v>91</v>
      </c>
      <c r="GRY222" s="40" t="s">
        <v>91</v>
      </c>
      <c r="GRZ222" s="40" t="s">
        <v>91</v>
      </c>
      <c r="GSA222" s="40" t="s">
        <v>91</v>
      </c>
      <c r="GSB222" s="40" t="s">
        <v>91</v>
      </c>
      <c r="GSC222" s="40" t="s">
        <v>91</v>
      </c>
      <c r="GSD222" s="40" t="s">
        <v>91</v>
      </c>
      <c r="GSE222" s="40" t="s">
        <v>91</v>
      </c>
      <c r="GSF222" s="40" t="s">
        <v>91</v>
      </c>
      <c r="GSG222" s="40" t="s">
        <v>91</v>
      </c>
      <c r="GSH222" s="40" t="s">
        <v>91</v>
      </c>
      <c r="GSI222" s="40" t="s">
        <v>91</v>
      </c>
      <c r="GSJ222" s="40" t="s">
        <v>91</v>
      </c>
      <c r="GSK222" s="40" t="s">
        <v>91</v>
      </c>
      <c r="GSL222" s="40" t="s">
        <v>91</v>
      </c>
      <c r="GSM222" s="40" t="s">
        <v>91</v>
      </c>
      <c r="GSN222" s="40" t="s">
        <v>91</v>
      </c>
      <c r="GSO222" s="40" t="s">
        <v>91</v>
      </c>
      <c r="GSP222" s="40" t="s">
        <v>91</v>
      </c>
      <c r="GSQ222" s="40" t="s">
        <v>91</v>
      </c>
      <c r="GSR222" s="40" t="s">
        <v>91</v>
      </c>
      <c r="GSS222" s="40" t="s">
        <v>91</v>
      </c>
      <c r="GST222" s="40" t="s">
        <v>91</v>
      </c>
      <c r="GSU222" s="40" t="s">
        <v>91</v>
      </c>
      <c r="GSV222" s="40" t="s">
        <v>91</v>
      </c>
      <c r="GSW222" s="40" t="s">
        <v>91</v>
      </c>
      <c r="GSX222" s="40" t="s">
        <v>91</v>
      </c>
      <c r="GSY222" s="40" t="s">
        <v>91</v>
      </c>
      <c r="GSZ222" s="40" t="s">
        <v>91</v>
      </c>
      <c r="GTA222" s="40" t="s">
        <v>91</v>
      </c>
      <c r="GTB222" s="40" t="s">
        <v>91</v>
      </c>
      <c r="GTC222" s="40" t="s">
        <v>91</v>
      </c>
      <c r="GTD222" s="40" t="s">
        <v>91</v>
      </c>
      <c r="GTE222" s="40" t="s">
        <v>91</v>
      </c>
      <c r="GTF222" s="40" t="s">
        <v>91</v>
      </c>
      <c r="GTG222" s="40" t="s">
        <v>91</v>
      </c>
      <c r="GTH222" s="40" t="s">
        <v>91</v>
      </c>
      <c r="GTI222" s="40" t="s">
        <v>91</v>
      </c>
      <c r="GTJ222" s="40" t="s">
        <v>91</v>
      </c>
      <c r="GTK222" s="40" t="s">
        <v>91</v>
      </c>
      <c r="GTL222" s="40" t="s">
        <v>91</v>
      </c>
      <c r="GTM222" s="40" t="s">
        <v>91</v>
      </c>
      <c r="GTN222" s="40" t="s">
        <v>91</v>
      </c>
      <c r="GTO222" s="40" t="s">
        <v>91</v>
      </c>
      <c r="GTP222" s="40" t="s">
        <v>91</v>
      </c>
      <c r="GTQ222" s="40" t="s">
        <v>91</v>
      </c>
      <c r="GTR222" s="40" t="s">
        <v>91</v>
      </c>
      <c r="GTS222" s="40" t="s">
        <v>91</v>
      </c>
      <c r="GTT222" s="40" t="s">
        <v>91</v>
      </c>
      <c r="GTU222" s="40" t="s">
        <v>91</v>
      </c>
      <c r="GTV222" s="40" t="s">
        <v>91</v>
      </c>
      <c r="GTW222" s="40" t="s">
        <v>91</v>
      </c>
      <c r="GTX222" s="40" t="s">
        <v>91</v>
      </c>
      <c r="GTY222" s="40" t="s">
        <v>91</v>
      </c>
      <c r="GTZ222" s="40" t="s">
        <v>91</v>
      </c>
      <c r="GUA222" s="40" t="s">
        <v>91</v>
      </c>
      <c r="GUB222" s="40" t="s">
        <v>91</v>
      </c>
      <c r="GUC222" s="40" t="s">
        <v>91</v>
      </c>
      <c r="GUD222" s="40" t="s">
        <v>91</v>
      </c>
      <c r="GUE222" s="40" t="s">
        <v>91</v>
      </c>
      <c r="GUF222" s="40" t="s">
        <v>91</v>
      </c>
      <c r="GUG222" s="40" t="s">
        <v>91</v>
      </c>
      <c r="GUH222" s="40" t="s">
        <v>91</v>
      </c>
      <c r="GUI222" s="40" t="s">
        <v>91</v>
      </c>
      <c r="GUJ222" s="40" t="s">
        <v>91</v>
      </c>
      <c r="GUK222" s="40" t="s">
        <v>91</v>
      </c>
      <c r="GUL222" s="40" t="s">
        <v>91</v>
      </c>
      <c r="GUM222" s="40" t="s">
        <v>91</v>
      </c>
      <c r="GUN222" s="40" t="s">
        <v>91</v>
      </c>
      <c r="GUO222" s="40" t="s">
        <v>91</v>
      </c>
      <c r="GUP222" s="40" t="s">
        <v>91</v>
      </c>
      <c r="GUQ222" s="40" t="s">
        <v>91</v>
      </c>
      <c r="GUR222" s="40" t="s">
        <v>91</v>
      </c>
      <c r="GUS222" s="40" t="s">
        <v>91</v>
      </c>
      <c r="GUT222" s="40" t="s">
        <v>91</v>
      </c>
      <c r="GUU222" s="40" t="s">
        <v>91</v>
      </c>
      <c r="GUV222" s="40" t="s">
        <v>91</v>
      </c>
      <c r="GUW222" s="40" t="s">
        <v>91</v>
      </c>
      <c r="GUX222" s="40" t="s">
        <v>91</v>
      </c>
      <c r="GUY222" s="40" t="s">
        <v>91</v>
      </c>
      <c r="GUZ222" s="40" t="s">
        <v>91</v>
      </c>
      <c r="GVA222" s="40" t="s">
        <v>91</v>
      </c>
      <c r="GVB222" s="40" t="s">
        <v>91</v>
      </c>
      <c r="GVC222" s="40" t="s">
        <v>91</v>
      </c>
      <c r="GVD222" s="40" t="s">
        <v>91</v>
      </c>
      <c r="GVE222" s="40" t="s">
        <v>91</v>
      </c>
      <c r="GVF222" s="40" t="s">
        <v>91</v>
      </c>
      <c r="GVG222" s="40" t="s">
        <v>91</v>
      </c>
      <c r="GVH222" s="40" t="s">
        <v>91</v>
      </c>
      <c r="GVI222" s="40" t="s">
        <v>91</v>
      </c>
      <c r="GVJ222" s="40" t="s">
        <v>91</v>
      </c>
      <c r="GVK222" s="40" t="s">
        <v>91</v>
      </c>
      <c r="GVL222" s="40" t="s">
        <v>91</v>
      </c>
      <c r="GVM222" s="40" t="s">
        <v>91</v>
      </c>
      <c r="GVN222" s="40" t="s">
        <v>91</v>
      </c>
      <c r="GVO222" s="40" t="s">
        <v>91</v>
      </c>
      <c r="GVP222" s="40" t="s">
        <v>91</v>
      </c>
      <c r="GVQ222" s="40" t="s">
        <v>91</v>
      </c>
      <c r="GVR222" s="40" t="s">
        <v>91</v>
      </c>
      <c r="GVS222" s="40" t="s">
        <v>91</v>
      </c>
      <c r="GVT222" s="40" t="s">
        <v>91</v>
      </c>
      <c r="GVU222" s="40" t="s">
        <v>91</v>
      </c>
      <c r="GVV222" s="40" t="s">
        <v>91</v>
      </c>
      <c r="GVW222" s="40" t="s">
        <v>91</v>
      </c>
      <c r="GVX222" s="40" t="s">
        <v>91</v>
      </c>
      <c r="GVY222" s="40" t="s">
        <v>91</v>
      </c>
      <c r="GVZ222" s="40" t="s">
        <v>91</v>
      </c>
      <c r="GWA222" s="40" t="s">
        <v>91</v>
      </c>
      <c r="GWB222" s="40" t="s">
        <v>91</v>
      </c>
      <c r="GWC222" s="40" t="s">
        <v>91</v>
      </c>
      <c r="GWD222" s="40" t="s">
        <v>91</v>
      </c>
      <c r="GWE222" s="40" t="s">
        <v>91</v>
      </c>
      <c r="GWF222" s="40" t="s">
        <v>91</v>
      </c>
      <c r="GWG222" s="40" t="s">
        <v>91</v>
      </c>
      <c r="GWH222" s="40" t="s">
        <v>91</v>
      </c>
      <c r="GWI222" s="40" t="s">
        <v>91</v>
      </c>
      <c r="GWJ222" s="40" t="s">
        <v>91</v>
      </c>
      <c r="GWK222" s="40" t="s">
        <v>91</v>
      </c>
      <c r="GWL222" s="40" t="s">
        <v>91</v>
      </c>
      <c r="GWM222" s="40" t="s">
        <v>91</v>
      </c>
      <c r="GWN222" s="40" t="s">
        <v>91</v>
      </c>
      <c r="GWO222" s="40" t="s">
        <v>91</v>
      </c>
      <c r="GWP222" s="40" t="s">
        <v>91</v>
      </c>
      <c r="GWQ222" s="40" t="s">
        <v>91</v>
      </c>
      <c r="GWR222" s="40" t="s">
        <v>91</v>
      </c>
      <c r="GWS222" s="40" t="s">
        <v>91</v>
      </c>
      <c r="GWT222" s="40" t="s">
        <v>91</v>
      </c>
      <c r="GWU222" s="40" t="s">
        <v>91</v>
      </c>
      <c r="GWV222" s="40" t="s">
        <v>91</v>
      </c>
      <c r="GWW222" s="40" t="s">
        <v>91</v>
      </c>
      <c r="GWX222" s="40" t="s">
        <v>91</v>
      </c>
      <c r="GWY222" s="40" t="s">
        <v>91</v>
      </c>
      <c r="GWZ222" s="40" t="s">
        <v>91</v>
      </c>
      <c r="GXA222" s="40" t="s">
        <v>91</v>
      </c>
      <c r="GXB222" s="40" t="s">
        <v>91</v>
      </c>
      <c r="GXC222" s="40" t="s">
        <v>91</v>
      </c>
      <c r="GXD222" s="40" t="s">
        <v>91</v>
      </c>
      <c r="GXE222" s="40" t="s">
        <v>91</v>
      </c>
      <c r="GXF222" s="40" t="s">
        <v>91</v>
      </c>
      <c r="GXG222" s="40" t="s">
        <v>91</v>
      </c>
      <c r="GXH222" s="40" t="s">
        <v>91</v>
      </c>
      <c r="GXI222" s="40" t="s">
        <v>91</v>
      </c>
      <c r="GXJ222" s="40" t="s">
        <v>91</v>
      </c>
      <c r="GXK222" s="40" t="s">
        <v>91</v>
      </c>
      <c r="GXL222" s="40" t="s">
        <v>91</v>
      </c>
      <c r="GXM222" s="40" t="s">
        <v>91</v>
      </c>
      <c r="GXN222" s="40" t="s">
        <v>91</v>
      </c>
      <c r="GXO222" s="40" t="s">
        <v>91</v>
      </c>
      <c r="GXP222" s="40" t="s">
        <v>91</v>
      </c>
      <c r="GXQ222" s="40" t="s">
        <v>91</v>
      </c>
      <c r="GXR222" s="40" t="s">
        <v>91</v>
      </c>
      <c r="GXS222" s="40" t="s">
        <v>91</v>
      </c>
      <c r="GXT222" s="40" t="s">
        <v>91</v>
      </c>
      <c r="GXU222" s="40" t="s">
        <v>91</v>
      </c>
      <c r="GXV222" s="40" t="s">
        <v>91</v>
      </c>
      <c r="GXW222" s="40" t="s">
        <v>91</v>
      </c>
      <c r="GXX222" s="40" t="s">
        <v>91</v>
      </c>
      <c r="GXY222" s="40" t="s">
        <v>91</v>
      </c>
      <c r="GXZ222" s="40" t="s">
        <v>91</v>
      </c>
      <c r="GYA222" s="40" t="s">
        <v>91</v>
      </c>
      <c r="GYB222" s="40" t="s">
        <v>91</v>
      </c>
      <c r="GYC222" s="40" t="s">
        <v>91</v>
      </c>
      <c r="GYD222" s="40" t="s">
        <v>91</v>
      </c>
      <c r="GYE222" s="40" t="s">
        <v>91</v>
      </c>
      <c r="GYF222" s="40" t="s">
        <v>91</v>
      </c>
      <c r="GYG222" s="40" t="s">
        <v>91</v>
      </c>
      <c r="GYH222" s="40" t="s">
        <v>91</v>
      </c>
      <c r="GYI222" s="40" t="s">
        <v>91</v>
      </c>
      <c r="GYJ222" s="40" t="s">
        <v>91</v>
      </c>
      <c r="GYK222" s="40" t="s">
        <v>91</v>
      </c>
      <c r="GYL222" s="40" t="s">
        <v>91</v>
      </c>
      <c r="GYM222" s="40" t="s">
        <v>91</v>
      </c>
      <c r="GYN222" s="40" t="s">
        <v>91</v>
      </c>
      <c r="GYO222" s="40" t="s">
        <v>91</v>
      </c>
      <c r="GYP222" s="40" t="s">
        <v>91</v>
      </c>
      <c r="GYQ222" s="40" t="s">
        <v>91</v>
      </c>
      <c r="GYR222" s="40" t="s">
        <v>91</v>
      </c>
      <c r="GYS222" s="40" t="s">
        <v>91</v>
      </c>
      <c r="GYT222" s="40" t="s">
        <v>91</v>
      </c>
      <c r="GYU222" s="40" t="s">
        <v>91</v>
      </c>
      <c r="GYV222" s="40" t="s">
        <v>91</v>
      </c>
      <c r="GYW222" s="40" t="s">
        <v>91</v>
      </c>
      <c r="GYX222" s="40" t="s">
        <v>91</v>
      </c>
      <c r="GYY222" s="40" t="s">
        <v>91</v>
      </c>
      <c r="GYZ222" s="40" t="s">
        <v>91</v>
      </c>
      <c r="GZA222" s="40" t="s">
        <v>91</v>
      </c>
      <c r="GZB222" s="40" t="s">
        <v>91</v>
      </c>
      <c r="GZC222" s="40" t="s">
        <v>91</v>
      </c>
      <c r="GZD222" s="40" t="s">
        <v>91</v>
      </c>
      <c r="GZE222" s="40" t="s">
        <v>91</v>
      </c>
      <c r="GZF222" s="40" t="s">
        <v>91</v>
      </c>
      <c r="GZG222" s="40" t="s">
        <v>91</v>
      </c>
      <c r="GZH222" s="40" t="s">
        <v>91</v>
      </c>
      <c r="GZI222" s="40" t="s">
        <v>91</v>
      </c>
      <c r="GZJ222" s="40" t="s">
        <v>91</v>
      </c>
      <c r="GZK222" s="40" t="s">
        <v>91</v>
      </c>
      <c r="GZL222" s="40" t="s">
        <v>91</v>
      </c>
      <c r="GZM222" s="40" t="s">
        <v>91</v>
      </c>
      <c r="GZN222" s="40" t="s">
        <v>91</v>
      </c>
      <c r="GZO222" s="40" t="s">
        <v>91</v>
      </c>
      <c r="GZP222" s="40" t="s">
        <v>91</v>
      </c>
      <c r="GZQ222" s="40" t="s">
        <v>91</v>
      </c>
      <c r="GZR222" s="40" t="s">
        <v>91</v>
      </c>
      <c r="GZS222" s="40" t="s">
        <v>91</v>
      </c>
      <c r="GZT222" s="40" t="s">
        <v>91</v>
      </c>
      <c r="GZU222" s="40" t="s">
        <v>91</v>
      </c>
      <c r="GZV222" s="40" t="s">
        <v>91</v>
      </c>
      <c r="GZW222" s="40" t="s">
        <v>91</v>
      </c>
      <c r="GZX222" s="40" t="s">
        <v>91</v>
      </c>
      <c r="GZY222" s="40" t="s">
        <v>91</v>
      </c>
      <c r="GZZ222" s="40" t="s">
        <v>91</v>
      </c>
      <c r="HAA222" s="40" t="s">
        <v>91</v>
      </c>
      <c r="HAB222" s="40" t="s">
        <v>91</v>
      </c>
      <c r="HAC222" s="40" t="s">
        <v>91</v>
      </c>
      <c r="HAD222" s="40" t="s">
        <v>91</v>
      </c>
      <c r="HAE222" s="40" t="s">
        <v>91</v>
      </c>
      <c r="HAF222" s="40" t="s">
        <v>91</v>
      </c>
      <c r="HAG222" s="40" t="s">
        <v>91</v>
      </c>
      <c r="HAH222" s="40" t="s">
        <v>91</v>
      </c>
      <c r="HAI222" s="40" t="s">
        <v>91</v>
      </c>
      <c r="HAJ222" s="40" t="s">
        <v>91</v>
      </c>
      <c r="HAK222" s="40" t="s">
        <v>91</v>
      </c>
      <c r="HAL222" s="40" t="s">
        <v>91</v>
      </c>
      <c r="HAM222" s="40" t="s">
        <v>91</v>
      </c>
      <c r="HAN222" s="40" t="s">
        <v>91</v>
      </c>
      <c r="HAO222" s="40" t="s">
        <v>91</v>
      </c>
      <c r="HAP222" s="40" t="s">
        <v>91</v>
      </c>
      <c r="HAQ222" s="40" t="s">
        <v>91</v>
      </c>
      <c r="HAR222" s="40" t="s">
        <v>91</v>
      </c>
      <c r="HAS222" s="40" t="s">
        <v>91</v>
      </c>
      <c r="HAT222" s="40" t="s">
        <v>91</v>
      </c>
      <c r="HAU222" s="40" t="s">
        <v>91</v>
      </c>
      <c r="HAV222" s="40" t="s">
        <v>91</v>
      </c>
      <c r="HAW222" s="40" t="s">
        <v>91</v>
      </c>
      <c r="HAX222" s="40" t="s">
        <v>91</v>
      </c>
      <c r="HAY222" s="40" t="s">
        <v>91</v>
      </c>
      <c r="HAZ222" s="40" t="s">
        <v>91</v>
      </c>
      <c r="HBA222" s="40" t="s">
        <v>91</v>
      </c>
      <c r="HBB222" s="40" t="s">
        <v>91</v>
      </c>
      <c r="HBC222" s="40" t="s">
        <v>91</v>
      </c>
      <c r="HBD222" s="40" t="s">
        <v>91</v>
      </c>
      <c r="HBE222" s="40" t="s">
        <v>91</v>
      </c>
      <c r="HBF222" s="40" t="s">
        <v>91</v>
      </c>
      <c r="HBG222" s="40" t="s">
        <v>91</v>
      </c>
      <c r="HBH222" s="40" t="s">
        <v>91</v>
      </c>
      <c r="HBI222" s="40" t="s">
        <v>91</v>
      </c>
      <c r="HBJ222" s="40" t="s">
        <v>91</v>
      </c>
      <c r="HBK222" s="40" t="s">
        <v>91</v>
      </c>
      <c r="HBL222" s="40" t="s">
        <v>91</v>
      </c>
      <c r="HBM222" s="40" t="s">
        <v>91</v>
      </c>
      <c r="HBN222" s="40" t="s">
        <v>91</v>
      </c>
      <c r="HBO222" s="40" t="s">
        <v>91</v>
      </c>
      <c r="HBP222" s="40" t="s">
        <v>91</v>
      </c>
      <c r="HBQ222" s="40" t="s">
        <v>91</v>
      </c>
      <c r="HBR222" s="40" t="s">
        <v>91</v>
      </c>
      <c r="HBS222" s="40" t="s">
        <v>91</v>
      </c>
      <c r="HBT222" s="40" t="s">
        <v>91</v>
      </c>
      <c r="HBU222" s="40" t="s">
        <v>91</v>
      </c>
      <c r="HBV222" s="40" t="s">
        <v>91</v>
      </c>
      <c r="HBW222" s="40" t="s">
        <v>91</v>
      </c>
      <c r="HBX222" s="40" t="s">
        <v>91</v>
      </c>
      <c r="HBY222" s="40" t="s">
        <v>91</v>
      </c>
      <c r="HBZ222" s="40" t="s">
        <v>91</v>
      </c>
      <c r="HCA222" s="40" t="s">
        <v>91</v>
      </c>
      <c r="HCB222" s="40" t="s">
        <v>91</v>
      </c>
      <c r="HCC222" s="40" t="s">
        <v>91</v>
      </c>
      <c r="HCD222" s="40" t="s">
        <v>91</v>
      </c>
      <c r="HCE222" s="40" t="s">
        <v>91</v>
      </c>
      <c r="HCF222" s="40" t="s">
        <v>91</v>
      </c>
      <c r="HCG222" s="40" t="s">
        <v>91</v>
      </c>
      <c r="HCH222" s="40" t="s">
        <v>91</v>
      </c>
      <c r="HCI222" s="40" t="s">
        <v>91</v>
      </c>
      <c r="HCJ222" s="40" t="s">
        <v>91</v>
      </c>
      <c r="HCK222" s="40" t="s">
        <v>91</v>
      </c>
      <c r="HCL222" s="40" t="s">
        <v>91</v>
      </c>
      <c r="HCM222" s="40" t="s">
        <v>91</v>
      </c>
      <c r="HCN222" s="40" t="s">
        <v>91</v>
      </c>
      <c r="HCO222" s="40" t="s">
        <v>91</v>
      </c>
      <c r="HCP222" s="40" t="s">
        <v>91</v>
      </c>
      <c r="HCQ222" s="40" t="s">
        <v>91</v>
      </c>
      <c r="HCR222" s="40" t="s">
        <v>91</v>
      </c>
      <c r="HCS222" s="40" t="s">
        <v>91</v>
      </c>
      <c r="HCT222" s="40" t="s">
        <v>91</v>
      </c>
      <c r="HCU222" s="40" t="s">
        <v>91</v>
      </c>
      <c r="HCV222" s="40" t="s">
        <v>91</v>
      </c>
      <c r="HCW222" s="40" t="s">
        <v>91</v>
      </c>
      <c r="HCX222" s="40" t="s">
        <v>91</v>
      </c>
      <c r="HCY222" s="40" t="s">
        <v>91</v>
      </c>
      <c r="HCZ222" s="40" t="s">
        <v>91</v>
      </c>
      <c r="HDA222" s="40" t="s">
        <v>91</v>
      </c>
      <c r="HDB222" s="40" t="s">
        <v>91</v>
      </c>
      <c r="HDC222" s="40" t="s">
        <v>91</v>
      </c>
      <c r="HDD222" s="40" t="s">
        <v>91</v>
      </c>
      <c r="HDE222" s="40" t="s">
        <v>91</v>
      </c>
      <c r="HDF222" s="40" t="s">
        <v>91</v>
      </c>
      <c r="HDG222" s="40" t="s">
        <v>91</v>
      </c>
      <c r="HDH222" s="40" t="s">
        <v>91</v>
      </c>
      <c r="HDI222" s="40" t="s">
        <v>91</v>
      </c>
      <c r="HDJ222" s="40" t="s">
        <v>91</v>
      </c>
      <c r="HDK222" s="40" t="s">
        <v>91</v>
      </c>
      <c r="HDL222" s="40" t="s">
        <v>91</v>
      </c>
      <c r="HDM222" s="40" t="s">
        <v>91</v>
      </c>
      <c r="HDN222" s="40" t="s">
        <v>91</v>
      </c>
      <c r="HDO222" s="40" t="s">
        <v>91</v>
      </c>
      <c r="HDP222" s="40" t="s">
        <v>91</v>
      </c>
      <c r="HDQ222" s="40" t="s">
        <v>91</v>
      </c>
      <c r="HDR222" s="40" t="s">
        <v>91</v>
      </c>
      <c r="HDS222" s="40" t="s">
        <v>91</v>
      </c>
      <c r="HDT222" s="40" t="s">
        <v>91</v>
      </c>
      <c r="HDU222" s="40" t="s">
        <v>91</v>
      </c>
      <c r="HDV222" s="40" t="s">
        <v>91</v>
      </c>
      <c r="HDW222" s="40" t="s">
        <v>91</v>
      </c>
      <c r="HDX222" s="40" t="s">
        <v>91</v>
      </c>
      <c r="HDY222" s="40" t="s">
        <v>91</v>
      </c>
      <c r="HDZ222" s="40" t="s">
        <v>91</v>
      </c>
      <c r="HEA222" s="40" t="s">
        <v>91</v>
      </c>
      <c r="HEB222" s="40" t="s">
        <v>91</v>
      </c>
      <c r="HEC222" s="40" t="s">
        <v>91</v>
      </c>
      <c r="HED222" s="40" t="s">
        <v>91</v>
      </c>
      <c r="HEE222" s="40" t="s">
        <v>91</v>
      </c>
      <c r="HEF222" s="40" t="s">
        <v>91</v>
      </c>
      <c r="HEG222" s="40" t="s">
        <v>91</v>
      </c>
      <c r="HEH222" s="40" t="s">
        <v>91</v>
      </c>
      <c r="HEI222" s="40" t="s">
        <v>91</v>
      </c>
      <c r="HEJ222" s="40" t="s">
        <v>91</v>
      </c>
      <c r="HEK222" s="40" t="s">
        <v>91</v>
      </c>
      <c r="HEL222" s="40" t="s">
        <v>91</v>
      </c>
      <c r="HEM222" s="40" t="s">
        <v>91</v>
      </c>
      <c r="HEN222" s="40" t="s">
        <v>91</v>
      </c>
      <c r="HEO222" s="40" t="s">
        <v>91</v>
      </c>
      <c r="HEP222" s="40" t="s">
        <v>91</v>
      </c>
      <c r="HEQ222" s="40" t="s">
        <v>91</v>
      </c>
      <c r="HER222" s="40" t="s">
        <v>91</v>
      </c>
      <c r="HES222" s="40" t="s">
        <v>91</v>
      </c>
      <c r="HET222" s="40" t="s">
        <v>91</v>
      </c>
      <c r="HEU222" s="40" t="s">
        <v>91</v>
      </c>
      <c r="HEV222" s="40" t="s">
        <v>91</v>
      </c>
      <c r="HEW222" s="40" t="s">
        <v>91</v>
      </c>
      <c r="HEX222" s="40" t="s">
        <v>91</v>
      </c>
      <c r="HEY222" s="40" t="s">
        <v>91</v>
      </c>
      <c r="HEZ222" s="40" t="s">
        <v>91</v>
      </c>
      <c r="HFA222" s="40" t="s">
        <v>91</v>
      </c>
      <c r="HFB222" s="40" t="s">
        <v>91</v>
      </c>
      <c r="HFC222" s="40" t="s">
        <v>91</v>
      </c>
      <c r="HFD222" s="40" t="s">
        <v>91</v>
      </c>
      <c r="HFE222" s="40" t="s">
        <v>91</v>
      </c>
      <c r="HFF222" s="40" t="s">
        <v>91</v>
      </c>
      <c r="HFG222" s="40" t="s">
        <v>91</v>
      </c>
      <c r="HFH222" s="40" t="s">
        <v>91</v>
      </c>
      <c r="HFI222" s="40" t="s">
        <v>91</v>
      </c>
      <c r="HFJ222" s="40" t="s">
        <v>91</v>
      </c>
      <c r="HFK222" s="40" t="s">
        <v>91</v>
      </c>
      <c r="HFL222" s="40" t="s">
        <v>91</v>
      </c>
      <c r="HFM222" s="40" t="s">
        <v>91</v>
      </c>
      <c r="HFN222" s="40" t="s">
        <v>91</v>
      </c>
      <c r="HFO222" s="40" t="s">
        <v>91</v>
      </c>
      <c r="HFP222" s="40" t="s">
        <v>91</v>
      </c>
      <c r="HFQ222" s="40" t="s">
        <v>91</v>
      </c>
      <c r="HFR222" s="40" t="s">
        <v>91</v>
      </c>
      <c r="HFS222" s="40" t="s">
        <v>91</v>
      </c>
      <c r="HFT222" s="40" t="s">
        <v>91</v>
      </c>
      <c r="HFU222" s="40" t="s">
        <v>91</v>
      </c>
      <c r="HFV222" s="40" t="s">
        <v>91</v>
      </c>
      <c r="HFW222" s="40" t="s">
        <v>91</v>
      </c>
      <c r="HFX222" s="40" t="s">
        <v>91</v>
      </c>
      <c r="HFY222" s="40" t="s">
        <v>91</v>
      </c>
      <c r="HFZ222" s="40" t="s">
        <v>91</v>
      </c>
      <c r="HGA222" s="40" t="s">
        <v>91</v>
      </c>
      <c r="HGB222" s="40" t="s">
        <v>91</v>
      </c>
      <c r="HGC222" s="40" t="s">
        <v>91</v>
      </c>
      <c r="HGD222" s="40" t="s">
        <v>91</v>
      </c>
      <c r="HGE222" s="40" t="s">
        <v>91</v>
      </c>
      <c r="HGF222" s="40" t="s">
        <v>91</v>
      </c>
      <c r="HGG222" s="40" t="s">
        <v>91</v>
      </c>
      <c r="HGH222" s="40" t="s">
        <v>91</v>
      </c>
      <c r="HGI222" s="40" t="s">
        <v>91</v>
      </c>
      <c r="HGJ222" s="40" t="s">
        <v>91</v>
      </c>
      <c r="HGK222" s="40" t="s">
        <v>91</v>
      </c>
      <c r="HGL222" s="40" t="s">
        <v>91</v>
      </c>
      <c r="HGM222" s="40" t="s">
        <v>91</v>
      </c>
      <c r="HGN222" s="40" t="s">
        <v>91</v>
      </c>
      <c r="HGO222" s="40" t="s">
        <v>91</v>
      </c>
      <c r="HGP222" s="40" t="s">
        <v>91</v>
      </c>
      <c r="HGQ222" s="40" t="s">
        <v>91</v>
      </c>
      <c r="HGR222" s="40" t="s">
        <v>91</v>
      </c>
      <c r="HGS222" s="40" t="s">
        <v>91</v>
      </c>
      <c r="HGT222" s="40" t="s">
        <v>91</v>
      </c>
      <c r="HGU222" s="40" t="s">
        <v>91</v>
      </c>
      <c r="HGV222" s="40" t="s">
        <v>91</v>
      </c>
      <c r="HGW222" s="40" t="s">
        <v>91</v>
      </c>
      <c r="HGX222" s="40" t="s">
        <v>91</v>
      </c>
      <c r="HGY222" s="40" t="s">
        <v>91</v>
      </c>
      <c r="HGZ222" s="40" t="s">
        <v>91</v>
      </c>
      <c r="HHA222" s="40" t="s">
        <v>91</v>
      </c>
      <c r="HHB222" s="40" t="s">
        <v>91</v>
      </c>
      <c r="HHC222" s="40" t="s">
        <v>91</v>
      </c>
      <c r="HHD222" s="40" t="s">
        <v>91</v>
      </c>
      <c r="HHE222" s="40" t="s">
        <v>91</v>
      </c>
      <c r="HHF222" s="40" t="s">
        <v>91</v>
      </c>
      <c r="HHG222" s="40" t="s">
        <v>91</v>
      </c>
      <c r="HHH222" s="40" t="s">
        <v>91</v>
      </c>
      <c r="HHI222" s="40" t="s">
        <v>91</v>
      </c>
      <c r="HHJ222" s="40" t="s">
        <v>91</v>
      </c>
      <c r="HHK222" s="40" t="s">
        <v>91</v>
      </c>
      <c r="HHL222" s="40" t="s">
        <v>91</v>
      </c>
      <c r="HHM222" s="40" t="s">
        <v>91</v>
      </c>
      <c r="HHN222" s="40" t="s">
        <v>91</v>
      </c>
      <c r="HHO222" s="40" t="s">
        <v>91</v>
      </c>
      <c r="HHP222" s="40" t="s">
        <v>91</v>
      </c>
      <c r="HHQ222" s="40" t="s">
        <v>91</v>
      </c>
      <c r="HHR222" s="40" t="s">
        <v>91</v>
      </c>
      <c r="HHS222" s="40" t="s">
        <v>91</v>
      </c>
      <c r="HHT222" s="40" t="s">
        <v>91</v>
      </c>
      <c r="HHU222" s="40" t="s">
        <v>91</v>
      </c>
      <c r="HHV222" s="40" t="s">
        <v>91</v>
      </c>
      <c r="HHW222" s="40" t="s">
        <v>91</v>
      </c>
      <c r="HHX222" s="40" t="s">
        <v>91</v>
      </c>
      <c r="HHY222" s="40" t="s">
        <v>91</v>
      </c>
      <c r="HHZ222" s="40" t="s">
        <v>91</v>
      </c>
      <c r="HIA222" s="40" t="s">
        <v>91</v>
      </c>
      <c r="HIB222" s="40" t="s">
        <v>91</v>
      </c>
      <c r="HIC222" s="40" t="s">
        <v>91</v>
      </c>
      <c r="HID222" s="40" t="s">
        <v>91</v>
      </c>
      <c r="HIE222" s="40" t="s">
        <v>91</v>
      </c>
      <c r="HIF222" s="40" t="s">
        <v>91</v>
      </c>
      <c r="HIG222" s="40" t="s">
        <v>91</v>
      </c>
      <c r="HIH222" s="40" t="s">
        <v>91</v>
      </c>
      <c r="HII222" s="40" t="s">
        <v>91</v>
      </c>
      <c r="HIJ222" s="40" t="s">
        <v>91</v>
      </c>
      <c r="HIK222" s="40" t="s">
        <v>91</v>
      </c>
      <c r="HIL222" s="40" t="s">
        <v>91</v>
      </c>
      <c r="HIM222" s="40" t="s">
        <v>91</v>
      </c>
      <c r="HIN222" s="40" t="s">
        <v>91</v>
      </c>
      <c r="HIO222" s="40" t="s">
        <v>91</v>
      </c>
      <c r="HIP222" s="40" t="s">
        <v>91</v>
      </c>
      <c r="HIQ222" s="40" t="s">
        <v>91</v>
      </c>
      <c r="HIR222" s="40" t="s">
        <v>91</v>
      </c>
      <c r="HIS222" s="40" t="s">
        <v>91</v>
      </c>
      <c r="HIT222" s="40" t="s">
        <v>91</v>
      </c>
      <c r="HIU222" s="40" t="s">
        <v>91</v>
      </c>
      <c r="HIV222" s="40" t="s">
        <v>91</v>
      </c>
      <c r="HIW222" s="40" t="s">
        <v>91</v>
      </c>
      <c r="HIX222" s="40" t="s">
        <v>91</v>
      </c>
      <c r="HIY222" s="40" t="s">
        <v>91</v>
      </c>
      <c r="HIZ222" s="40" t="s">
        <v>91</v>
      </c>
      <c r="HJA222" s="40" t="s">
        <v>91</v>
      </c>
      <c r="HJB222" s="40" t="s">
        <v>91</v>
      </c>
      <c r="HJC222" s="40" t="s">
        <v>91</v>
      </c>
      <c r="HJD222" s="40" t="s">
        <v>91</v>
      </c>
      <c r="HJE222" s="40" t="s">
        <v>91</v>
      </c>
      <c r="HJF222" s="40" t="s">
        <v>91</v>
      </c>
      <c r="HJG222" s="40" t="s">
        <v>91</v>
      </c>
      <c r="HJH222" s="40" t="s">
        <v>91</v>
      </c>
      <c r="HJI222" s="40" t="s">
        <v>91</v>
      </c>
      <c r="HJJ222" s="40" t="s">
        <v>91</v>
      </c>
      <c r="HJK222" s="40" t="s">
        <v>91</v>
      </c>
      <c r="HJL222" s="40" t="s">
        <v>91</v>
      </c>
      <c r="HJM222" s="40" t="s">
        <v>91</v>
      </c>
      <c r="HJN222" s="40" t="s">
        <v>91</v>
      </c>
      <c r="HJO222" s="40" t="s">
        <v>91</v>
      </c>
      <c r="HJP222" s="40" t="s">
        <v>91</v>
      </c>
      <c r="HJQ222" s="40" t="s">
        <v>91</v>
      </c>
      <c r="HJR222" s="40" t="s">
        <v>91</v>
      </c>
      <c r="HJS222" s="40" t="s">
        <v>91</v>
      </c>
      <c r="HJT222" s="40" t="s">
        <v>91</v>
      </c>
      <c r="HJU222" s="40" t="s">
        <v>91</v>
      </c>
      <c r="HJV222" s="40" t="s">
        <v>91</v>
      </c>
      <c r="HJW222" s="40" t="s">
        <v>91</v>
      </c>
      <c r="HJX222" s="40" t="s">
        <v>91</v>
      </c>
      <c r="HJY222" s="40" t="s">
        <v>91</v>
      </c>
      <c r="HJZ222" s="40" t="s">
        <v>91</v>
      </c>
      <c r="HKA222" s="40" t="s">
        <v>91</v>
      </c>
      <c r="HKB222" s="40" t="s">
        <v>91</v>
      </c>
      <c r="HKC222" s="40" t="s">
        <v>91</v>
      </c>
      <c r="HKD222" s="40" t="s">
        <v>91</v>
      </c>
      <c r="HKE222" s="40" t="s">
        <v>91</v>
      </c>
      <c r="HKF222" s="40" t="s">
        <v>91</v>
      </c>
      <c r="HKG222" s="40" t="s">
        <v>91</v>
      </c>
      <c r="HKH222" s="40" t="s">
        <v>91</v>
      </c>
      <c r="HKI222" s="40" t="s">
        <v>91</v>
      </c>
      <c r="HKJ222" s="40" t="s">
        <v>91</v>
      </c>
      <c r="HKK222" s="40" t="s">
        <v>91</v>
      </c>
      <c r="HKL222" s="40" t="s">
        <v>91</v>
      </c>
      <c r="HKM222" s="40" t="s">
        <v>91</v>
      </c>
      <c r="HKN222" s="40" t="s">
        <v>91</v>
      </c>
      <c r="HKO222" s="40" t="s">
        <v>91</v>
      </c>
      <c r="HKP222" s="40" t="s">
        <v>91</v>
      </c>
      <c r="HKQ222" s="40" t="s">
        <v>91</v>
      </c>
      <c r="HKR222" s="40" t="s">
        <v>91</v>
      </c>
      <c r="HKS222" s="40" t="s">
        <v>91</v>
      </c>
      <c r="HKT222" s="40" t="s">
        <v>91</v>
      </c>
      <c r="HKU222" s="40" t="s">
        <v>91</v>
      </c>
      <c r="HKV222" s="40" t="s">
        <v>91</v>
      </c>
      <c r="HKW222" s="40" t="s">
        <v>91</v>
      </c>
      <c r="HKX222" s="40" t="s">
        <v>91</v>
      </c>
      <c r="HKY222" s="40" t="s">
        <v>91</v>
      </c>
      <c r="HKZ222" s="40" t="s">
        <v>91</v>
      </c>
      <c r="HLA222" s="40" t="s">
        <v>91</v>
      </c>
      <c r="HLB222" s="40" t="s">
        <v>91</v>
      </c>
      <c r="HLC222" s="40" t="s">
        <v>91</v>
      </c>
      <c r="HLD222" s="40" t="s">
        <v>91</v>
      </c>
      <c r="HLE222" s="40" t="s">
        <v>91</v>
      </c>
      <c r="HLF222" s="40" t="s">
        <v>91</v>
      </c>
      <c r="HLG222" s="40" t="s">
        <v>91</v>
      </c>
      <c r="HLH222" s="40" t="s">
        <v>91</v>
      </c>
      <c r="HLI222" s="40" t="s">
        <v>91</v>
      </c>
      <c r="HLJ222" s="40" t="s">
        <v>91</v>
      </c>
      <c r="HLK222" s="40" t="s">
        <v>91</v>
      </c>
      <c r="HLL222" s="40" t="s">
        <v>91</v>
      </c>
      <c r="HLM222" s="40" t="s">
        <v>91</v>
      </c>
      <c r="HLN222" s="40" t="s">
        <v>91</v>
      </c>
      <c r="HLO222" s="40" t="s">
        <v>91</v>
      </c>
      <c r="HLP222" s="40" t="s">
        <v>91</v>
      </c>
      <c r="HLQ222" s="40" t="s">
        <v>91</v>
      </c>
      <c r="HLR222" s="40" t="s">
        <v>91</v>
      </c>
      <c r="HLS222" s="40" t="s">
        <v>91</v>
      </c>
      <c r="HLT222" s="40" t="s">
        <v>91</v>
      </c>
      <c r="HLU222" s="40" t="s">
        <v>91</v>
      </c>
      <c r="HLV222" s="40" t="s">
        <v>91</v>
      </c>
      <c r="HLW222" s="40" t="s">
        <v>91</v>
      </c>
      <c r="HLX222" s="40" t="s">
        <v>91</v>
      </c>
      <c r="HLY222" s="40" t="s">
        <v>91</v>
      </c>
      <c r="HLZ222" s="40" t="s">
        <v>91</v>
      </c>
      <c r="HMA222" s="40" t="s">
        <v>91</v>
      </c>
      <c r="HMB222" s="40" t="s">
        <v>91</v>
      </c>
      <c r="HMC222" s="40" t="s">
        <v>91</v>
      </c>
      <c r="HMD222" s="40" t="s">
        <v>91</v>
      </c>
      <c r="HME222" s="40" t="s">
        <v>91</v>
      </c>
      <c r="HMF222" s="40" t="s">
        <v>91</v>
      </c>
      <c r="HMG222" s="40" t="s">
        <v>91</v>
      </c>
      <c r="HMH222" s="40" t="s">
        <v>91</v>
      </c>
      <c r="HMI222" s="40" t="s">
        <v>91</v>
      </c>
      <c r="HMJ222" s="40" t="s">
        <v>91</v>
      </c>
      <c r="HMK222" s="40" t="s">
        <v>91</v>
      </c>
      <c r="HML222" s="40" t="s">
        <v>91</v>
      </c>
      <c r="HMM222" s="40" t="s">
        <v>91</v>
      </c>
      <c r="HMN222" s="40" t="s">
        <v>91</v>
      </c>
      <c r="HMO222" s="40" t="s">
        <v>91</v>
      </c>
      <c r="HMP222" s="40" t="s">
        <v>91</v>
      </c>
      <c r="HMQ222" s="40" t="s">
        <v>91</v>
      </c>
      <c r="HMR222" s="40" t="s">
        <v>91</v>
      </c>
      <c r="HMS222" s="40" t="s">
        <v>91</v>
      </c>
      <c r="HMT222" s="40" t="s">
        <v>91</v>
      </c>
      <c r="HMU222" s="40" t="s">
        <v>91</v>
      </c>
      <c r="HMV222" s="40" t="s">
        <v>91</v>
      </c>
      <c r="HMW222" s="40" t="s">
        <v>91</v>
      </c>
      <c r="HMX222" s="40" t="s">
        <v>91</v>
      </c>
      <c r="HMY222" s="40" t="s">
        <v>91</v>
      </c>
      <c r="HMZ222" s="40" t="s">
        <v>91</v>
      </c>
      <c r="HNA222" s="40" t="s">
        <v>91</v>
      </c>
      <c r="HNB222" s="40" t="s">
        <v>91</v>
      </c>
      <c r="HNC222" s="40" t="s">
        <v>91</v>
      </c>
      <c r="HND222" s="40" t="s">
        <v>91</v>
      </c>
      <c r="HNE222" s="40" t="s">
        <v>91</v>
      </c>
      <c r="HNF222" s="40" t="s">
        <v>91</v>
      </c>
      <c r="HNG222" s="40" t="s">
        <v>91</v>
      </c>
      <c r="HNH222" s="40" t="s">
        <v>91</v>
      </c>
      <c r="HNI222" s="40" t="s">
        <v>91</v>
      </c>
      <c r="HNJ222" s="40" t="s">
        <v>91</v>
      </c>
      <c r="HNK222" s="40" t="s">
        <v>91</v>
      </c>
      <c r="HNL222" s="40" t="s">
        <v>91</v>
      </c>
      <c r="HNM222" s="40" t="s">
        <v>91</v>
      </c>
      <c r="HNN222" s="40" t="s">
        <v>91</v>
      </c>
      <c r="HNO222" s="40" t="s">
        <v>91</v>
      </c>
      <c r="HNP222" s="40" t="s">
        <v>91</v>
      </c>
      <c r="HNQ222" s="40" t="s">
        <v>91</v>
      </c>
      <c r="HNR222" s="40" t="s">
        <v>91</v>
      </c>
      <c r="HNS222" s="40" t="s">
        <v>91</v>
      </c>
      <c r="HNT222" s="40" t="s">
        <v>91</v>
      </c>
      <c r="HNU222" s="40" t="s">
        <v>91</v>
      </c>
      <c r="HNV222" s="40" t="s">
        <v>91</v>
      </c>
      <c r="HNW222" s="40" t="s">
        <v>91</v>
      </c>
      <c r="HNX222" s="40" t="s">
        <v>91</v>
      </c>
      <c r="HNY222" s="40" t="s">
        <v>91</v>
      </c>
      <c r="HNZ222" s="40" t="s">
        <v>91</v>
      </c>
      <c r="HOA222" s="40" t="s">
        <v>91</v>
      </c>
      <c r="HOB222" s="40" t="s">
        <v>91</v>
      </c>
      <c r="HOC222" s="40" t="s">
        <v>91</v>
      </c>
      <c r="HOD222" s="40" t="s">
        <v>91</v>
      </c>
      <c r="HOE222" s="40" t="s">
        <v>91</v>
      </c>
      <c r="HOF222" s="40" t="s">
        <v>91</v>
      </c>
      <c r="HOG222" s="40" t="s">
        <v>91</v>
      </c>
      <c r="HOH222" s="40" t="s">
        <v>91</v>
      </c>
      <c r="HOI222" s="40" t="s">
        <v>91</v>
      </c>
      <c r="HOJ222" s="40" t="s">
        <v>91</v>
      </c>
      <c r="HOK222" s="40" t="s">
        <v>91</v>
      </c>
      <c r="HOL222" s="40" t="s">
        <v>91</v>
      </c>
      <c r="HOM222" s="40" t="s">
        <v>91</v>
      </c>
      <c r="HON222" s="40" t="s">
        <v>91</v>
      </c>
      <c r="HOO222" s="40" t="s">
        <v>91</v>
      </c>
      <c r="HOP222" s="40" t="s">
        <v>91</v>
      </c>
      <c r="HOQ222" s="40" t="s">
        <v>91</v>
      </c>
      <c r="HOR222" s="40" t="s">
        <v>91</v>
      </c>
      <c r="HOS222" s="40" t="s">
        <v>91</v>
      </c>
      <c r="HOT222" s="40" t="s">
        <v>91</v>
      </c>
      <c r="HOU222" s="40" t="s">
        <v>91</v>
      </c>
      <c r="HOV222" s="40" t="s">
        <v>91</v>
      </c>
      <c r="HOW222" s="40" t="s">
        <v>91</v>
      </c>
      <c r="HOX222" s="40" t="s">
        <v>91</v>
      </c>
      <c r="HOY222" s="40" t="s">
        <v>91</v>
      </c>
      <c r="HOZ222" s="40" t="s">
        <v>91</v>
      </c>
      <c r="HPA222" s="40" t="s">
        <v>91</v>
      </c>
      <c r="HPB222" s="40" t="s">
        <v>91</v>
      </c>
      <c r="HPC222" s="40" t="s">
        <v>91</v>
      </c>
      <c r="HPD222" s="40" t="s">
        <v>91</v>
      </c>
      <c r="HPE222" s="40" t="s">
        <v>91</v>
      </c>
      <c r="HPF222" s="40" t="s">
        <v>91</v>
      </c>
      <c r="HPG222" s="40" t="s">
        <v>91</v>
      </c>
      <c r="HPH222" s="40" t="s">
        <v>91</v>
      </c>
      <c r="HPI222" s="40" t="s">
        <v>91</v>
      </c>
      <c r="HPJ222" s="40" t="s">
        <v>91</v>
      </c>
      <c r="HPK222" s="40" t="s">
        <v>91</v>
      </c>
      <c r="HPL222" s="40" t="s">
        <v>91</v>
      </c>
      <c r="HPM222" s="40" t="s">
        <v>91</v>
      </c>
      <c r="HPN222" s="40" t="s">
        <v>91</v>
      </c>
      <c r="HPO222" s="40" t="s">
        <v>91</v>
      </c>
      <c r="HPP222" s="40" t="s">
        <v>91</v>
      </c>
      <c r="HPQ222" s="40" t="s">
        <v>91</v>
      </c>
      <c r="HPR222" s="40" t="s">
        <v>91</v>
      </c>
      <c r="HPS222" s="40" t="s">
        <v>91</v>
      </c>
      <c r="HPT222" s="40" t="s">
        <v>91</v>
      </c>
      <c r="HPU222" s="40" t="s">
        <v>91</v>
      </c>
      <c r="HPV222" s="40" t="s">
        <v>91</v>
      </c>
      <c r="HPW222" s="40" t="s">
        <v>91</v>
      </c>
      <c r="HPX222" s="40" t="s">
        <v>91</v>
      </c>
      <c r="HPY222" s="40" t="s">
        <v>91</v>
      </c>
      <c r="HPZ222" s="40" t="s">
        <v>91</v>
      </c>
      <c r="HQA222" s="40" t="s">
        <v>91</v>
      </c>
      <c r="HQB222" s="40" t="s">
        <v>91</v>
      </c>
      <c r="HQC222" s="40" t="s">
        <v>91</v>
      </c>
      <c r="HQD222" s="40" t="s">
        <v>91</v>
      </c>
      <c r="HQE222" s="40" t="s">
        <v>91</v>
      </c>
      <c r="HQF222" s="40" t="s">
        <v>91</v>
      </c>
      <c r="HQG222" s="40" t="s">
        <v>91</v>
      </c>
      <c r="HQH222" s="40" t="s">
        <v>91</v>
      </c>
      <c r="HQI222" s="40" t="s">
        <v>91</v>
      </c>
      <c r="HQJ222" s="40" t="s">
        <v>91</v>
      </c>
      <c r="HQK222" s="40" t="s">
        <v>91</v>
      </c>
      <c r="HQL222" s="40" t="s">
        <v>91</v>
      </c>
      <c r="HQM222" s="40" t="s">
        <v>91</v>
      </c>
      <c r="HQN222" s="40" t="s">
        <v>91</v>
      </c>
      <c r="HQO222" s="40" t="s">
        <v>91</v>
      </c>
      <c r="HQP222" s="40" t="s">
        <v>91</v>
      </c>
      <c r="HQQ222" s="40" t="s">
        <v>91</v>
      </c>
      <c r="HQR222" s="40" t="s">
        <v>91</v>
      </c>
      <c r="HQS222" s="40" t="s">
        <v>91</v>
      </c>
      <c r="HQT222" s="40" t="s">
        <v>91</v>
      </c>
      <c r="HQU222" s="40" t="s">
        <v>91</v>
      </c>
      <c r="HQV222" s="40" t="s">
        <v>91</v>
      </c>
      <c r="HQW222" s="40" t="s">
        <v>91</v>
      </c>
      <c r="HQX222" s="40" t="s">
        <v>91</v>
      </c>
      <c r="HQY222" s="40" t="s">
        <v>91</v>
      </c>
      <c r="HQZ222" s="40" t="s">
        <v>91</v>
      </c>
      <c r="HRA222" s="40" t="s">
        <v>91</v>
      </c>
      <c r="HRB222" s="40" t="s">
        <v>91</v>
      </c>
      <c r="HRC222" s="40" t="s">
        <v>91</v>
      </c>
      <c r="HRD222" s="40" t="s">
        <v>91</v>
      </c>
      <c r="HRE222" s="40" t="s">
        <v>91</v>
      </c>
      <c r="HRF222" s="40" t="s">
        <v>91</v>
      </c>
      <c r="HRG222" s="40" t="s">
        <v>91</v>
      </c>
      <c r="HRH222" s="40" t="s">
        <v>91</v>
      </c>
      <c r="HRI222" s="40" t="s">
        <v>91</v>
      </c>
      <c r="HRJ222" s="40" t="s">
        <v>91</v>
      </c>
      <c r="HRK222" s="40" t="s">
        <v>91</v>
      </c>
      <c r="HRL222" s="40" t="s">
        <v>91</v>
      </c>
      <c r="HRM222" s="40" t="s">
        <v>91</v>
      </c>
      <c r="HRN222" s="40" t="s">
        <v>91</v>
      </c>
      <c r="HRO222" s="40" t="s">
        <v>91</v>
      </c>
      <c r="HRP222" s="40" t="s">
        <v>91</v>
      </c>
      <c r="HRQ222" s="40" t="s">
        <v>91</v>
      </c>
      <c r="HRR222" s="40" t="s">
        <v>91</v>
      </c>
      <c r="HRS222" s="40" t="s">
        <v>91</v>
      </c>
      <c r="HRT222" s="40" t="s">
        <v>91</v>
      </c>
      <c r="HRU222" s="40" t="s">
        <v>91</v>
      </c>
      <c r="HRV222" s="40" t="s">
        <v>91</v>
      </c>
      <c r="HRW222" s="40" t="s">
        <v>91</v>
      </c>
      <c r="HRX222" s="40" t="s">
        <v>91</v>
      </c>
      <c r="HRY222" s="40" t="s">
        <v>91</v>
      </c>
      <c r="HRZ222" s="40" t="s">
        <v>91</v>
      </c>
      <c r="HSA222" s="40" t="s">
        <v>91</v>
      </c>
      <c r="HSB222" s="40" t="s">
        <v>91</v>
      </c>
      <c r="HSC222" s="40" t="s">
        <v>91</v>
      </c>
      <c r="HSD222" s="40" t="s">
        <v>91</v>
      </c>
      <c r="HSE222" s="40" t="s">
        <v>91</v>
      </c>
      <c r="HSF222" s="40" t="s">
        <v>91</v>
      </c>
      <c r="HSG222" s="40" t="s">
        <v>91</v>
      </c>
      <c r="HSH222" s="40" t="s">
        <v>91</v>
      </c>
      <c r="HSI222" s="40" t="s">
        <v>91</v>
      </c>
      <c r="HSJ222" s="40" t="s">
        <v>91</v>
      </c>
      <c r="HSK222" s="40" t="s">
        <v>91</v>
      </c>
      <c r="HSL222" s="40" t="s">
        <v>91</v>
      </c>
      <c r="HSM222" s="40" t="s">
        <v>91</v>
      </c>
      <c r="HSN222" s="40" t="s">
        <v>91</v>
      </c>
      <c r="HSO222" s="40" t="s">
        <v>91</v>
      </c>
      <c r="HSP222" s="40" t="s">
        <v>91</v>
      </c>
      <c r="HSQ222" s="40" t="s">
        <v>91</v>
      </c>
      <c r="HSR222" s="40" t="s">
        <v>91</v>
      </c>
      <c r="HSS222" s="40" t="s">
        <v>91</v>
      </c>
      <c r="HST222" s="40" t="s">
        <v>91</v>
      </c>
      <c r="HSU222" s="40" t="s">
        <v>91</v>
      </c>
      <c r="HSV222" s="40" t="s">
        <v>91</v>
      </c>
      <c r="HSW222" s="40" t="s">
        <v>91</v>
      </c>
      <c r="HSX222" s="40" t="s">
        <v>91</v>
      </c>
      <c r="HSY222" s="40" t="s">
        <v>91</v>
      </c>
      <c r="HSZ222" s="40" t="s">
        <v>91</v>
      </c>
      <c r="HTA222" s="40" t="s">
        <v>91</v>
      </c>
      <c r="HTB222" s="40" t="s">
        <v>91</v>
      </c>
      <c r="HTC222" s="40" t="s">
        <v>91</v>
      </c>
      <c r="HTD222" s="40" t="s">
        <v>91</v>
      </c>
      <c r="HTE222" s="40" t="s">
        <v>91</v>
      </c>
      <c r="HTF222" s="40" t="s">
        <v>91</v>
      </c>
      <c r="HTG222" s="40" t="s">
        <v>91</v>
      </c>
      <c r="HTH222" s="40" t="s">
        <v>91</v>
      </c>
      <c r="HTI222" s="40" t="s">
        <v>91</v>
      </c>
      <c r="HTJ222" s="40" t="s">
        <v>91</v>
      </c>
      <c r="HTK222" s="40" t="s">
        <v>91</v>
      </c>
      <c r="HTL222" s="40" t="s">
        <v>91</v>
      </c>
      <c r="HTM222" s="40" t="s">
        <v>91</v>
      </c>
      <c r="HTN222" s="40" t="s">
        <v>91</v>
      </c>
      <c r="HTO222" s="40" t="s">
        <v>91</v>
      </c>
      <c r="HTP222" s="40" t="s">
        <v>91</v>
      </c>
      <c r="HTQ222" s="40" t="s">
        <v>91</v>
      </c>
      <c r="HTR222" s="40" t="s">
        <v>91</v>
      </c>
      <c r="HTS222" s="40" t="s">
        <v>91</v>
      </c>
      <c r="HTT222" s="40" t="s">
        <v>91</v>
      </c>
      <c r="HTU222" s="40" t="s">
        <v>91</v>
      </c>
      <c r="HTV222" s="40" t="s">
        <v>91</v>
      </c>
      <c r="HTW222" s="40" t="s">
        <v>91</v>
      </c>
      <c r="HTX222" s="40" t="s">
        <v>91</v>
      </c>
      <c r="HTY222" s="40" t="s">
        <v>91</v>
      </c>
      <c r="HTZ222" s="40" t="s">
        <v>91</v>
      </c>
      <c r="HUA222" s="40" t="s">
        <v>91</v>
      </c>
      <c r="HUB222" s="40" t="s">
        <v>91</v>
      </c>
      <c r="HUC222" s="40" t="s">
        <v>91</v>
      </c>
      <c r="HUD222" s="40" t="s">
        <v>91</v>
      </c>
      <c r="HUE222" s="40" t="s">
        <v>91</v>
      </c>
      <c r="HUF222" s="40" t="s">
        <v>91</v>
      </c>
      <c r="HUG222" s="40" t="s">
        <v>91</v>
      </c>
      <c r="HUH222" s="40" t="s">
        <v>91</v>
      </c>
      <c r="HUI222" s="40" t="s">
        <v>91</v>
      </c>
      <c r="HUJ222" s="40" t="s">
        <v>91</v>
      </c>
      <c r="HUK222" s="40" t="s">
        <v>91</v>
      </c>
      <c r="HUL222" s="40" t="s">
        <v>91</v>
      </c>
      <c r="HUM222" s="40" t="s">
        <v>91</v>
      </c>
      <c r="HUN222" s="40" t="s">
        <v>91</v>
      </c>
      <c r="HUO222" s="40" t="s">
        <v>91</v>
      </c>
      <c r="HUP222" s="40" t="s">
        <v>91</v>
      </c>
      <c r="HUQ222" s="40" t="s">
        <v>91</v>
      </c>
      <c r="HUR222" s="40" t="s">
        <v>91</v>
      </c>
      <c r="HUS222" s="40" t="s">
        <v>91</v>
      </c>
      <c r="HUT222" s="40" t="s">
        <v>91</v>
      </c>
      <c r="HUU222" s="40" t="s">
        <v>91</v>
      </c>
      <c r="HUV222" s="40" t="s">
        <v>91</v>
      </c>
      <c r="HUW222" s="40" t="s">
        <v>91</v>
      </c>
      <c r="HUX222" s="40" t="s">
        <v>91</v>
      </c>
      <c r="HUY222" s="40" t="s">
        <v>91</v>
      </c>
      <c r="HUZ222" s="40" t="s">
        <v>91</v>
      </c>
      <c r="HVA222" s="40" t="s">
        <v>91</v>
      </c>
      <c r="HVB222" s="40" t="s">
        <v>91</v>
      </c>
      <c r="HVC222" s="40" t="s">
        <v>91</v>
      </c>
      <c r="HVD222" s="40" t="s">
        <v>91</v>
      </c>
      <c r="HVE222" s="40" t="s">
        <v>91</v>
      </c>
      <c r="HVF222" s="40" t="s">
        <v>91</v>
      </c>
      <c r="HVG222" s="40" t="s">
        <v>91</v>
      </c>
      <c r="HVH222" s="40" t="s">
        <v>91</v>
      </c>
      <c r="HVI222" s="40" t="s">
        <v>91</v>
      </c>
      <c r="HVJ222" s="40" t="s">
        <v>91</v>
      </c>
      <c r="HVK222" s="40" t="s">
        <v>91</v>
      </c>
      <c r="HVL222" s="40" t="s">
        <v>91</v>
      </c>
      <c r="HVM222" s="40" t="s">
        <v>91</v>
      </c>
      <c r="HVN222" s="40" t="s">
        <v>91</v>
      </c>
      <c r="HVO222" s="40" t="s">
        <v>91</v>
      </c>
      <c r="HVP222" s="40" t="s">
        <v>91</v>
      </c>
      <c r="HVQ222" s="40" t="s">
        <v>91</v>
      </c>
      <c r="HVR222" s="40" t="s">
        <v>91</v>
      </c>
      <c r="HVS222" s="40" t="s">
        <v>91</v>
      </c>
      <c r="HVT222" s="40" t="s">
        <v>91</v>
      </c>
      <c r="HVU222" s="40" t="s">
        <v>91</v>
      </c>
      <c r="HVV222" s="40" t="s">
        <v>91</v>
      </c>
      <c r="HVW222" s="40" t="s">
        <v>91</v>
      </c>
      <c r="HVX222" s="40" t="s">
        <v>91</v>
      </c>
      <c r="HVY222" s="40" t="s">
        <v>91</v>
      </c>
      <c r="HVZ222" s="40" t="s">
        <v>91</v>
      </c>
      <c r="HWA222" s="40" t="s">
        <v>91</v>
      </c>
      <c r="HWB222" s="40" t="s">
        <v>91</v>
      </c>
      <c r="HWC222" s="40" t="s">
        <v>91</v>
      </c>
      <c r="HWD222" s="40" t="s">
        <v>91</v>
      </c>
      <c r="HWE222" s="40" t="s">
        <v>91</v>
      </c>
      <c r="HWF222" s="40" t="s">
        <v>91</v>
      </c>
      <c r="HWG222" s="40" t="s">
        <v>91</v>
      </c>
      <c r="HWH222" s="40" t="s">
        <v>91</v>
      </c>
      <c r="HWI222" s="40" t="s">
        <v>91</v>
      </c>
      <c r="HWJ222" s="40" t="s">
        <v>91</v>
      </c>
      <c r="HWK222" s="40" t="s">
        <v>91</v>
      </c>
      <c r="HWL222" s="40" t="s">
        <v>91</v>
      </c>
      <c r="HWM222" s="40" t="s">
        <v>91</v>
      </c>
      <c r="HWN222" s="40" t="s">
        <v>91</v>
      </c>
      <c r="HWO222" s="40" t="s">
        <v>91</v>
      </c>
      <c r="HWP222" s="40" t="s">
        <v>91</v>
      </c>
      <c r="HWQ222" s="40" t="s">
        <v>91</v>
      </c>
      <c r="HWR222" s="40" t="s">
        <v>91</v>
      </c>
      <c r="HWS222" s="40" t="s">
        <v>91</v>
      </c>
      <c r="HWT222" s="40" t="s">
        <v>91</v>
      </c>
      <c r="HWU222" s="40" t="s">
        <v>91</v>
      </c>
      <c r="HWV222" s="40" t="s">
        <v>91</v>
      </c>
      <c r="HWW222" s="40" t="s">
        <v>91</v>
      </c>
      <c r="HWX222" s="40" t="s">
        <v>91</v>
      </c>
      <c r="HWY222" s="40" t="s">
        <v>91</v>
      </c>
      <c r="HWZ222" s="40" t="s">
        <v>91</v>
      </c>
      <c r="HXA222" s="40" t="s">
        <v>91</v>
      </c>
      <c r="HXB222" s="40" t="s">
        <v>91</v>
      </c>
      <c r="HXC222" s="40" t="s">
        <v>91</v>
      </c>
      <c r="HXD222" s="40" t="s">
        <v>91</v>
      </c>
      <c r="HXE222" s="40" t="s">
        <v>91</v>
      </c>
      <c r="HXF222" s="40" t="s">
        <v>91</v>
      </c>
      <c r="HXG222" s="40" t="s">
        <v>91</v>
      </c>
      <c r="HXH222" s="40" t="s">
        <v>91</v>
      </c>
      <c r="HXI222" s="40" t="s">
        <v>91</v>
      </c>
      <c r="HXJ222" s="40" t="s">
        <v>91</v>
      </c>
      <c r="HXK222" s="40" t="s">
        <v>91</v>
      </c>
      <c r="HXL222" s="40" t="s">
        <v>91</v>
      </c>
      <c r="HXM222" s="40" t="s">
        <v>91</v>
      </c>
      <c r="HXN222" s="40" t="s">
        <v>91</v>
      </c>
      <c r="HXO222" s="40" t="s">
        <v>91</v>
      </c>
      <c r="HXP222" s="40" t="s">
        <v>91</v>
      </c>
      <c r="HXQ222" s="40" t="s">
        <v>91</v>
      </c>
      <c r="HXR222" s="40" t="s">
        <v>91</v>
      </c>
      <c r="HXS222" s="40" t="s">
        <v>91</v>
      </c>
      <c r="HXT222" s="40" t="s">
        <v>91</v>
      </c>
      <c r="HXU222" s="40" t="s">
        <v>91</v>
      </c>
      <c r="HXV222" s="40" t="s">
        <v>91</v>
      </c>
      <c r="HXW222" s="40" t="s">
        <v>91</v>
      </c>
      <c r="HXX222" s="40" t="s">
        <v>91</v>
      </c>
      <c r="HXY222" s="40" t="s">
        <v>91</v>
      </c>
      <c r="HXZ222" s="40" t="s">
        <v>91</v>
      </c>
      <c r="HYA222" s="40" t="s">
        <v>91</v>
      </c>
      <c r="HYB222" s="40" t="s">
        <v>91</v>
      </c>
      <c r="HYC222" s="40" t="s">
        <v>91</v>
      </c>
      <c r="HYD222" s="40" t="s">
        <v>91</v>
      </c>
      <c r="HYE222" s="40" t="s">
        <v>91</v>
      </c>
      <c r="HYF222" s="40" t="s">
        <v>91</v>
      </c>
      <c r="HYG222" s="40" t="s">
        <v>91</v>
      </c>
      <c r="HYH222" s="40" t="s">
        <v>91</v>
      </c>
      <c r="HYI222" s="40" t="s">
        <v>91</v>
      </c>
      <c r="HYJ222" s="40" t="s">
        <v>91</v>
      </c>
      <c r="HYK222" s="40" t="s">
        <v>91</v>
      </c>
      <c r="HYL222" s="40" t="s">
        <v>91</v>
      </c>
      <c r="HYM222" s="40" t="s">
        <v>91</v>
      </c>
      <c r="HYN222" s="40" t="s">
        <v>91</v>
      </c>
      <c r="HYO222" s="40" t="s">
        <v>91</v>
      </c>
      <c r="HYP222" s="40" t="s">
        <v>91</v>
      </c>
      <c r="HYQ222" s="40" t="s">
        <v>91</v>
      </c>
      <c r="HYR222" s="40" t="s">
        <v>91</v>
      </c>
      <c r="HYS222" s="40" t="s">
        <v>91</v>
      </c>
      <c r="HYT222" s="40" t="s">
        <v>91</v>
      </c>
      <c r="HYU222" s="40" t="s">
        <v>91</v>
      </c>
      <c r="HYV222" s="40" t="s">
        <v>91</v>
      </c>
      <c r="HYW222" s="40" t="s">
        <v>91</v>
      </c>
      <c r="HYX222" s="40" t="s">
        <v>91</v>
      </c>
      <c r="HYY222" s="40" t="s">
        <v>91</v>
      </c>
      <c r="HYZ222" s="40" t="s">
        <v>91</v>
      </c>
      <c r="HZA222" s="40" t="s">
        <v>91</v>
      </c>
      <c r="HZB222" s="40" t="s">
        <v>91</v>
      </c>
      <c r="HZC222" s="40" t="s">
        <v>91</v>
      </c>
      <c r="HZD222" s="40" t="s">
        <v>91</v>
      </c>
      <c r="HZE222" s="40" t="s">
        <v>91</v>
      </c>
      <c r="HZF222" s="40" t="s">
        <v>91</v>
      </c>
      <c r="HZG222" s="40" t="s">
        <v>91</v>
      </c>
      <c r="HZH222" s="40" t="s">
        <v>91</v>
      </c>
      <c r="HZI222" s="40" t="s">
        <v>91</v>
      </c>
      <c r="HZJ222" s="40" t="s">
        <v>91</v>
      </c>
      <c r="HZK222" s="40" t="s">
        <v>91</v>
      </c>
      <c r="HZL222" s="40" t="s">
        <v>91</v>
      </c>
      <c r="HZM222" s="40" t="s">
        <v>91</v>
      </c>
      <c r="HZN222" s="40" t="s">
        <v>91</v>
      </c>
      <c r="HZO222" s="40" t="s">
        <v>91</v>
      </c>
      <c r="HZP222" s="40" t="s">
        <v>91</v>
      </c>
      <c r="HZQ222" s="40" t="s">
        <v>91</v>
      </c>
      <c r="HZR222" s="40" t="s">
        <v>91</v>
      </c>
      <c r="HZS222" s="40" t="s">
        <v>91</v>
      </c>
      <c r="HZT222" s="40" t="s">
        <v>91</v>
      </c>
      <c r="HZU222" s="40" t="s">
        <v>91</v>
      </c>
      <c r="HZV222" s="40" t="s">
        <v>91</v>
      </c>
      <c r="HZW222" s="40" t="s">
        <v>91</v>
      </c>
      <c r="HZX222" s="40" t="s">
        <v>91</v>
      </c>
      <c r="HZY222" s="40" t="s">
        <v>91</v>
      </c>
      <c r="HZZ222" s="40" t="s">
        <v>91</v>
      </c>
      <c r="IAA222" s="40" t="s">
        <v>91</v>
      </c>
      <c r="IAB222" s="40" t="s">
        <v>91</v>
      </c>
      <c r="IAC222" s="40" t="s">
        <v>91</v>
      </c>
      <c r="IAD222" s="40" t="s">
        <v>91</v>
      </c>
      <c r="IAE222" s="40" t="s">
        <v>91</v>
      </c>
      <c r="IAF222" s="40" t="s">
        <v>91</v>
      </c>
      <c r="IAG222" s="40" t="s">
        <v>91</v>
      </c>
      <c r="IAH222" s="40" t="s">
        <v>91</v>
      </c>
      <c r="IAI222" s="40" t="s">
        <v>91</v>
      </c>
      <c r="IAJ222" s="40" t="s">
        <v>91</v>
      </c>
      <c r="IAK222" s="40" t="s">
        <v>91</v>
      </c>
      <c r="IAL222" s="40" t="s">
        <v>91</v>
      </c>
      <c r="IAM222" s="40" t="s">
        <v>91</v>
      </c>
      <c r="IAN222" s="40" t="s">
        <v>91</v>
      </c>
      <c r="IAO222" s="40" t="s">
        <v>91</v>
      </c>
      <c r="IAP222" s="40" t="s">
        <v>91</v>
      </c>
      <c r="IAQ222" s="40" t="s">
        <v>91</v>
      </c>
      <c r="IAR222" s="40" t="s">
        <v>91</v>
      </c>
      <c r="IAS222" s="40" t="s">
        <v>91</v>
      </c>
      <c r="IAT222" s="40" t="s">
        <v>91</v>
      </c>
      <c r="IAU222" s="40" t="s">
        <v>91</v>
      </c>
      <c r="IAV222" s="40" t="s">
        <v>91</v>
      </c>
      <c r="IAW222" s="40" t="s">
        <v>91</v>
      </c>
      <c r="IAX222" s="40" t="s">
        <v>91</v>
      </c>
      <c r="IAY222" s="40" t="s">
        <v>91</v>
      </c>
      <c r="IAZ222" s="40" t="s">
        <v>91</v>
      </c>
      <c r="IBA222" s="40" t="s">
        <v>91</v>
      </c>
      <c r="IBB222" s="40" t="s">
        <v>91</v>
      </c>
      <c r="IBC222" s="40" t="s">
        <v>91</v>
      </c>
      <c r="IBD222" s="40" t="s">
        <v>91</v>
      </c>
      <c r="IBE222" s="40" t="s">
        <v>91</v>
      </c>
      <c r="IBF222" s="40" t="s">
        <v>91</v>
      </c>
      <c r="IBG222" s="40" t="s">
        <v>91</v>
      </c>
      <c r="IBH222" s="40" t="s">
        <v>91</v>
      </c>
      <c r="IBI222" s="40" t="s">
        <v>91</v>
      </c>
      <c r="IBJ222" s="40" t="s">
        <v>91</v>
      </c>
      <c r="IBK222" s="40" t="s">
        <v>91</v>
      </c>
      <c r="IBL222" s="40" t="s">
        <v>91</v>
      </c>
      <c r="IBM222" s="40" t="s">
        <v>91</v>
      </c>
      <c r="IBN222" s="40" t="s">
        <v>91</v>
      </c>
      <c r="IBO222" s="40" t="s">
        <v>91</v>
      </c>
      <c r="IBP222" s="40" t="s">
        <v>91</v>
      </c>
      <c r="IBQ222" s="40" t="s">
        <v>91</v>
      </c>
      <c r="IBR222" s="40" t="s">
        <v>91</v>
      </c>
      <c r="IBS222" s="40" t="s">
        <v>91</v>
      </c>
      <c r="IBT222" s="40" t="s">
        <v>91</v>
      </c>
      <c r="IBU222" s="40" t="s">
        <v>91</v>
      </c>
      <c r="IBV222" s="40" t="s">
        <v>91</v>
      </c>
      <c r="IBW222" s="40" t="s">
        <v>91</v>
      </c>
      <c r="IBX222" s="40" t="s">
        <v>91</v>
      </c>
      <c r="IBY222" s="40" t="s">
        <v>91</v>
      </c>
      <c r="IBZ222" s="40" t="s">
        <v>91</v>
      </c>
      <c r="ICA222" s="40" t="s">
        <v>91</v>
      </c>
      <c r="ICB222" s="40" t="s">
        <v>91</v>
      </c>
      <c r="ICC222" s="40" t="s">
        <v>91</v>
      </c>
      <c r="ICD222" s="40" t="s">
        <v>91</v>
      </c>
      <c r="ICE222" s="40" t="s">
        <v>91</v>
      </c>
      <c r="ICF222" s="40" t="s">
        <v>91</v>
      </c>
      <c r="ICG222" s="40" t="s">
        <v>91</v>
      </c>
      <c r="ICH222" s="40" t="s">
        <v>91</v>
      </c>
      <c r="ICI222" s="40" t="s">
        <v>91</v>
      </c>
      <c r="ICJ222" s="40" t="s">
        <v>91</v>
      </c>
      <c r="ICK222" s="40" t="s">
        <v>91</v>
      </c>
      <c r="ICL222" s="40" t="s">
        <v>91</v>
      </c>
      <c r="ICM222" s="40" t="s">
        <v>91</v>
      </c>
      <c r="ICN222" s="40" t="s">
        <v>91</v>
      </c>
      <c r="ICO222" s="40" t="s">
        <v>91</v>
      </c>
      <c r="ICP222" s="40" t="s">
        <v>91</v>
      </c>
      <c r="ICQ222" s="40" t="s">
        <v>91</v>
      </c>
      <c r="ICR222" s="40" t="s">
        <v>91</v>
      </c>
      <c r="ICS222" s="40" t="s">
        <v>91</v>
      </c>
      <c r="ICT222" s="40" t="s">
        <v>91</v>
      </c>
      <c r="ICU222" s="40" t="s">
        <v>91</v>
      </c>
      <c r="ICV222" s="40" t="s">
        <v>91</v>
      </c>
      <c r="ICW222" s="40" t="s">
        <v>91</v>
      </c>
      <c r="ICX222" s="40" t="s">
        <v>91</v>
      </c>
      <c r="ICY222" s="40" t="s">
        <v>91</v>
      </c>
      <c r="ICZ222" s="40" t="s">
        <v>91</v>
      </c>
      <c r="IDA222" s="40" t="s">
        <v>91</v>
      </c>
      <c r="IDB222" s="40" t="s">
        <v>91</v>
      </c>
      <c r="IDC222" s="40" t="s">
        <v>91</v>
      </c>
      <c r="IDD222" s="40" t="s">
        <v>91</v>
      </c>
      <c r="IDE222" s="40" t="s">
        <v>91</v>
      </c>
      <c r="IDF222" s="40" t="s">
        <v>91</v>
      </c>
      <c r="IDG222" s="40" t="s">
        <v>91</v>
      </c>
      <c r="IDH222" s="40" t="s">
        <v>91</v>
      </c>
      <c r="IDI222" s="40" t="s">
        <v>91</v>
      </c>
      <c r="IDJ222" s="40" t="s">
        <v>91</v>
      </c>
      <c r="IDK222" s="40" t="s">
        <v>91</v>
      </c>
      <c r="IDL222" s="40" t="s">
        <v>91</v>
      </c>
      <c r="IDM222" s="40" t="s">
        <v>91</v>
      </c>
      <c r="IDN222" s="40" t="s">
        <v>91</v>
      </c>
      <c r="IDO222" s="40" t="s">
        <v>91</v>
      </c>
      <c r="IDP222" s="40" t="s">
        <v>91</v>
      </c>
      <c r="IDQ222" s="40" t="s">
        <v>91</v>
      </c>
      <c r="IDR222" s="40" t="s">
        <v>91</v>
      </c>
      <c r="IDS222" s="40" t="s">
        <v>91</v>
      </c>
      <c r="IDT222" s="40" t="s">
        <v>91</v>
      </c>
      <c r="IDU222" s="40" t="s">
        <v>91</v>
      </c>
      <c r="IDV222" s="40" t="s">
        <v>91</v>
      </c>
      <c r="IDW222" s="40" t="s">
        <v>91</v>
      </c>
      <c r="IDX222" s="40" t="s">
        <v>91</v>
      </c>
      <c r="IDY222" s="40" t="s">
        <v>91</v>
      </c>
      <c r="IDZ222" s="40" t="s">
        <v>91</v>
      </c>
      <c r="IEA222" s="40" t="s">
        <v>91</v>
      </c>
      <c r="IEB222" s="40" t="s">
        <v>91</v>
      </c>
      <c r="IEC222" s="40" t="s">
        <v>91</v>
      </c>
      <c r="IED222" s="40" t="s">
        <v>91</v>
      </c>
      <c r="IEE222" s="40" t="s">
        <v>91</v>
      </c>
      <c r="IEF222" s="40" t="s">
        <v>91</v>
      </c>
      <c r="IEG222" s="40" t="s">
        <v>91</v>
      </c>
      <c r="IEH222" s="40" t="s">
        <v>91</v>
      </c>
      <c r="IEI222" s="40" t="s">
        <v>91</v>
      </c>
      <c r="IEJ222" s="40" t="s">
        <v>91</v>
      </c>
      <c r="IEK222" s="40" t="s">
        <v>91</v>
      </c>
      <c r="IEL222" s="40" t="s">
        <v>91</v>
      </c>
      <c r="IEM222" s="40" t="s">
        <v>91</v>
      </c>
      <c r="IEN222" s="40" t="s">
        <v>91</v>
      </c>
      <c r="IEO222" s="40" t="s">
        <v>91</v>
      </c>
      <c r="IEP222" s="40" t="s">
        <v>91</v>
      </c>
      <c r="IEQ222" s="40" t="s">
        <v>91</v>
      </c>
      <c r="IER222" s="40" t="s">
        <v>91</v>
      </c>
      <c r="IES222" s="40" t="s">
        <v>91</v>
      </c>
      <c r="IET222" s="40" t="s">
        <v>91</v>
      </c>
      <c r="IEU222" s="40" t="s">
        <v>91</v>
      </c>
      <c r="IEV222" s="40" t="s">
        <v>91</v>
      </c>
      <c r="IEW222" s="40" t="s">
        <v>91</v>
      </c>
      <c r="IEX222" s="40" t="s">
        <v>91</v>
      </c>
      <c r="IEY222" s="40" t="s">
        <v>91</v>
      </c>
      <c r="IEZ222" s="40" t="s">
        <v>91</v>
      </c>
      <c r="IFA222" s="40" t="s">
        <v>91</v>
      </c>
      <c r="IFB222" s="40" t="s">
        <v>91</v>
      </c>
      <c r="IFC222" s="40" t="s">
        <v>91</v>
      </c>
      <c r="IFD222" s="40" t="s">
        <v>91</v>
      </c>
      <c r="IFE222" s="40" t="s">
        <v>91</v>
      </c>
      <c r="IFF222" s="40" t="s">
        <v>91</v>
      </c>
      <c r="IFG222" s="40" t="s">
        <v>91</v>
      </c>
      <c r="IFH222" s="40" t="s">
        <v>91</v>
      </c>
      <c r="IFI222" s="40" t="s">
        <v>91</v>
      </c>
      <c r="IFJ222" s="40" t="s">
        <v>91</v>
      </c>
      <c r="IFK222" s="40" t="s">
        <v>91</v>
      </c>
      <c r="IFL222" s="40" t="s">
        <v>91</v>
      </c>
      <c r="IFM222" s="40" t="s">
        <v>91</v>
      </c>
      <c r="IFN222" s="40" t="s">
        <v>91</v>
      </c>
      <c r="IFO222" s="40" t="s">
        <v>91</v>
      </c>
      <c r="IFP222" s="40" t="s">
        <v>91</v>
      </c>
      <c r="IFQ222" s="40" t="s">
        <v>91</v>
      </c>
      <c r="IFR222" s="40" t="s">
        <v>91</v>
      </c>
      <c r="IFS222" s="40" t="s">
        <v>91</v>
      </c>
      <c r="IFT222" s="40" t="s">
        <v>91</v>
      </c>
      <c r="IFU222" s="40" t="s">
        <v>91</v>
      </c>
      <c r="IFV222" s="40" t="s">
        <v>91</v>
      </c>
      <c r="IFW222" s="40" t="s">
        <v>91</v>
      </c>
      <c r="IFX222" s="40" t="s">
        <v>91</v>
      </c>
      <c r="IFY222" s="40" t="s">
        <v>91</v>
      </c>
      <c r="IFZ222" s="40" t="s">
        <v>91</v>
      </c>
      <c r="IGA222" s="40" t="s">
        <v>91</v>
      </c>
      <c r="IGB222" s="40" t="s">
        <v>91</v>
      </c>
      <c r="IGC222" s="40" t="s">
        <v>91</v>
      </c>
      <c r="IGD222" s="40" t="s">
        <v>91</v>
      </c>
      <c r="IGE222" s="40" t="s">
        <v>91</v>
      </c>
      <c r="IGF222" s="40" t="s">
        <v>91</v>
      </c>
      <c r="IGG222" s="40" t="s">
        <v>91</v>
      </c>
      <c r="IGH222" s="40" t="s">
        <v>91</v>
      </c>
      <c r="IGI222" s="40" t="s">
        <v>91</v>
      </c>
      <c r="IGJ222" s="40" t="s">
        <v>91</v>
      </c>
      <c r="IGK222" s="40" t="s">
        <v>91</v>
      </c>
      <c r="IGL222" s="40" t="s">
        <v>91</v>
      </c>
      <c r="IGM222" s="40" t="s">
        <v>91</v>
      </c>
      <c r="IGN222" s="40" t="s">
        <v>91</v>
      </c>
      <c r="IGO222" s="40" t="s">
        <v>91</v>
      </c>
      <c r="IGP222" s="40" t="s">
        <v>91</v>
      </c>
      <c r="IGQ222" s="40" t="s">
        <v>91</v>
      </c>
      <c r="IGR222" s="40" t="s">
        <v>91</v>
      </c>
      <c r="IGS222" s="40" t="s">
        <v>91</v>
      </c>
      <c r="IGT222" s="40" t="s">
        <v>91</v>
      </c>
      <c r="IGU222" s="40" t="s">
        <v>91</v>
      </c>
      <c r="IGV222" s="40" t="s">
        <v>91</v>
      </c>
      <c r="IGW222" s="40" t="s">
        <v>91</v>
      </c>
      <c r="IGX222" s="40" t="s">
        <v>91</v>
      </c>
      <c r="IGY222" s="40" t="s">
        <v>91</v>
      </c>
      <c r="IGZ222" s="40" t="s">
        <v>91</v>
      </c>
      <c r="IHA222" s="40" t="s">
        <v>91</v>
      </c>
      <c r="IHB222" s="40" t="s">
        <v>91</v>
      </c>
      <c r="IHC222" s="40" t="s">
        <v>91</v>
      </c>
      <c r="IHD222" s="40" t="s">
        <v>91</v>
      </c>
      <c r="IHE222" s="40" t="s">
        <v>91</v>
      </c>
      <c r="IHF222" s="40" t="s">
        <v>91</v>
      </c>
      <c r="IHG222" s="40" t="s">
        <v>91</v>
      </c>
      <c r="IHH222" s="40" t="s">
        <v>91</v>
      </c>
      <c r="IHI222" s="40" t="s">
        <v>91</v>
      </c>
      <c r="IHJ222" s="40" t="s">
        <v>91</v>
      </c>
      <c r="IHK222" s="40" t="s">
        <v>91</v>
      </c>
      <c r="IHL222" s="40" t="s">
        <v>91</v>
      </c>
      <c r="IHM222" s="40" t="s">
        <v>91</v>
      </c>
      <c r="IHN222" s="40" t="s">
        <v>91</v>
      </c>
      <c r="IHO222" s="40" t="s">
        <v>91</v>
      </c>
      <c r="IHP222" s="40" t="s">
        <v>91</v>
      </c>
      <c r="IHQ222" s="40" t="s">
        <v>91</v>
      </c>
      <c r="IHR222" s="40" t="s">
        <v>91</v>
      </c>
      <c r="IHS222" s="40" t="s">
        <v>91</v>
      </c>
      <c r="IHT222" s="40" t="s">
        <v>91</v>
      </c>
      <c r="IHU222" s="40" t="s">
        <v>91</v>
      </c>
      <c r="IHV222" s="40" t="s">
        <v>91</v>
      </c>
      <c r="IHW222" s="40" t="s">
        <v>91</v>
      </c>
      <c r="IHX222" s="40" t="s">
        <v>91</v>
      </c>
      <c r="IHY222" s="40" t="s">
        <v>91</v>
      </c>
      <c r="IHZ222" s="40" t="s">
        <v>91</v>
      </c>
      <c r="IIA222" s="40" t="s">
        <v>91</v>
      </c>
      <c r="IIB222" s="40" t="s">
        <v>91</v>
      </c>
      <c r="IIC222" s="40" t="s">
        <v>91</v>
      </c>
      <c r="IID222" s="40" t="s">
        <v>91</v>
      </c>
      <c r="IIE222" s="40" t="s">
        <v>91</v>
      </c>
      <c r="IIF222" s="40" t="s">
        <v>91</v>
      </c>
      <c r="IIG222" s="40" t="s">
        <v>91</v>
      </c>
      <c r="IIH222" s="40" t="s">
        <v>91</v>
      </c>
      <c r="III222" s="40" t="s">
        <v>91</v>
      </c>
      <c r="IIJ222" s="40" t="s">
        <v>91</v>
      </c>
      <c r="IIK222" s="40" t="s">
        <v>91</v>
      </c>
      <c r="IIL222" s="40" t="s">
        <v>91</v>
      </c>
      <c r="IIM222" s="40" t="s">
        <v>91</v>
      </c>
      <c r="IIN222" s="40" t="s">
        <v>91</v>
      </c>
      <c r="IIO222" s="40" t="s">
        <v>91</v>
      </c>
      <c r="IIP222" s="40" t="s">
        <v>91</v>
      </c>
      <c r="IIQ222" s="40" t="s">
        <v>91</v>
      </c>
      <c r="IIR222" s="40" t="s">
        <v>91</v>
      </c>
      <c r="IIS222" s="40" t="s">
        <v>91</v>
      </c>
      <c r="IIT222" s="40" t="s">
        <v>91</v>
      </c>
      <c r="IIU222" s="40" t="s">
        <v>91</v>
      </c>
      <c r="IIV222" s="40" t="s">
        <v>91</v>
      </c>
      <c r="IIW222" s="40" t="s">
        <v>91</v>
      </c>
      <c r="IIX222" s="40" t="s">
        <v>91</v>
      </c>
      <c r="IIY222" s="40" t="s">
        <v>91</v>
      </c>
      <c r="IIZ222" s="40" t="s">
        <v>91</v>
      </c>
      <c r="IJA222" s="40" t="s">
        <v>91</v>
      </c>
      <c r="IJB222" s="40" t="s">
        <v>91</v>
      </c>
      <c r="IJC222" s="40" t="s">
        <v>91</v>
      </c>
      <c r="IJD222" s="40" t="s">
        <v>91</v>
      </c>
      <c r="IJE222" s="40" t="s">
        <v>91</v>
      </c>
      <c r="IJF222" s="40" t="s">
        <v>91</v>
      </c>
      <c r="IJG222" s="40" t="s">
        <v>91</v>
      </c>
      <c r="IJH222" s="40" t="s">
        <v>91</v>
      </c>
      <c r="IJI222" s="40" t="s">
        <v>91</v>
      </c>
      <c r="IJJ222" s="40" t="s">
        <v>91</v>
      </c>
      <c r="IJK222" s="40" t="s">
        <v>91</v>
      </c>
      <c r="IJL222" s="40" t="s">
        <v>91</v>
      </c>
      <c r="IJM222" s="40" t="s">
        <v>91</v>
      </c>
      <c r="IJN222" s="40" t="s">
        <v>91</v>
      </c>
      <c r="IJO222" s="40" t="s">
        <v>91</v>
      </c>
      <c r="IJP222" s="40" t="s">
        <v>91</v>
      </c>
      <c r="IJQ222" s="40" t="s">
        <v>91</v>
      </c>
      <c r="IJR222" s="40" t="s">
        <v>91</v>
      </c>
      <c r="IJS222" s="40" t="s">
        <v>91</v>
      </c>
      <c r="IJT222" s="40" t="s">
        <v>91</v>
      </c>
      <c r="IJU222" s="40" t="s">
        <v>91</v>
      </c>
      <c r="IJV222" s="40" t="s">
        <v>91</v>
      </c>
      <c r="IJW222" s="40" t="s">
        <v>91</v>
      </c>
      <c r="IJX222" s="40" t="s">
        <v>91</v>
      </c>
      <c r="IJY222" s="40" t="s">
        <v>91</v>
      </c>
      <c r="IJZ222" s="40" t="s">
        <v>91</v>
      </c>
      <c r="IKA222" s="40" t="s">
        <v>91</v>
      </c>
      <c r="IKB222" s="40" t="s">
        <v>91</v>
      </c>
      <c r="IKC222" s="40" t="s">
        <v>91</v>
      </c>
      <c r="IKD222" s="40" t="s">
        <v>91</v>
      </c>
      <c r="IKE222" s="40" t="s">
        <v>91</v>
      </c>
      <c r="IKF222" s="40" t="s">
        <v>91</v>
      </c>
      <c r="IKG222" s="40" t="s">
        <v>91</v>
      </c>
      <c r="IKH222" s="40" t="s">
        <v>91</v>
      </c>
      <c r="IKI222" s="40" t="s">
        <v>91</v>
      </c>
      <c r="IKJ222" s="40" t="s">
        <v>91</v>
      </c>
      <c r="IKK222" s="40" t="s">
        <v>91</v>
      </c>
      <c r="IKL222" s="40" t="s">
        <v>91</v>
      </c>
      <c r="IKM222" s="40" t="s">
        <v>91</v>
      </c>
      <c r="IKN222" s="40" t="s">
        <v>91</v>
      </c>
      <c r="IKO222" s="40" t="s">
        <v>91</v>
      </c>
      <c r="IKP222" s="40" t="s">
        <v>91</v>
      </c>
      <c r="IKQ222" s="40" t="s">
        <v>91</v>
      </c>
      <c r="IKR222" s="40" t="s">
        <v>91</v>
      </c>
      <c r="IKS222" s="40" t="s">
        <v>91</v>
      </c>
      <c r="IKT222" s="40" t="s">
        <v>91</v>
      </c>
      <c r="IKU222" s="40" t="s">
        <v>91</v>
      </c>
      <c r="IKV222" s="40" t="s">
        <v>91</v>
      </c>
      <c r="IKW222" s="40" t="s">
        <v>91</v>
      </c>
      <c r="IKX222" s="40" t="s">
        <v>91</v>
      </c>
      <c r="IKY222" s="40" t="s">
        <v>91</v>
      </c>
      <c r="IKZ222" s="40" t="s">
        <v>91</v>
      </c>
      <c r="ILA222" s="40" t="s">
        <v>91</v>
      </c>
      <c r="ILB222" s="40" t="s">
        <v>91</v>
      </c>
      <c r="ILC222" s="40" t="s">
        <v>91</v>
      </c>
      <c r="ILD222" s="40" t="s">
        <v>91</v>
      </c>
      <c r="ILE222" s="40" t="s">
        <v>91</v>
      </c>
      <c r="ILF222" s="40" t="s">
        <v>91</v>
      </c>
      <c r="ILG222" s="40" t="s">
        <v>91</v>
      </c>
      <c r="ILH222" s="40" t="s">
        <v>91</v>
      </c>
      <c r="ILI222" s="40" t="s">
        <v>91</v>
      </c>
      <c r="ILJ222" s="40" t="s">
        <v>91</v>
      </c>
      <c r="ILK222" s="40" t="s">
        <v>91</v>
      </c>
      <c r="ILL222" s="40" t="s">
        <v>91</v>
      </c>
      <c r="ILM222" s="40" t="s">
        <v>91</v>
      </c>
      <c r="ILN222" s="40" t="s">
        <v>91</v>
      </c>
      <c r="ILO222" s="40" t="s">
        <v>91</v>
      </c>
      <c r="ILP222" s="40" t="s">
        <v>91</v>
      </c>
      <c r="ILQ222" s="40" t="s">
        <v>91</v>
      </c>
      <c r="ILR222" s="40" t="s">
        <v>91</v>
      </c>
      <c r="ILS222" s="40" t="s">
        <v>91</v>
      </c>
      <c r="ILT222" s="40" t="s">
        <v>91</v>
      </c>
      <c r="ILU222" s="40" t="s">
        <v>91</v>
      </c>
      <c r="ILV222" s="40" t="s">
        <v>91</v>
      </c>
      <c r="ILW222" s="40" t="s">
        <v>91</v>
      </c>
      <c r="ILX222" s="40" t="s">
        <v>91</v>
      </c>
      <c r="ILY222" s="40" t="s">
        <v>91</v>
      </c>
      <c r="ILZ222" s="40" t="s">
        <v>91</v>
      </c>
      <c r="IMA222" s="40" t="s">
        <v>91</v>
      </c>
      <c r="IMB222" s="40" t="s">
        <v>91</v>
      </c>
      <c r="IMC222" s="40" t="s">
        <v>91</v>
      </c>
      <c r="IMD222" s="40" t="s">
        <v>91</v>
      </c>
      <c r="IME222" s="40" t="s">
        <v>91</v>
      </c>
      <c r="IMF222" s="40" t="s">
        <v>91</v>
      </c>
      <c r="IMG222" s="40" t="s">
        <v>91</v>
      </c>
      <c r="IMH222" s="40" t="s">
        <v>91</v>
      </c>
      <c r="IMI222" s="40" t="s">
        <v>91</v>
      </c>
      <c r="IMJ222" s="40" t="s">
        <v>91</v>
      </c>
      <c r="IMK222" s="40" t="s">
        <v>91</v>
      </c>
      <c r="IML222" s="40" t="s">
        <v>91</v>
      </c>
      <c r="IMM222" s="40" t="s">
        <v>91</v>
      </c>
      <c r="IMN222" s="40" t="s">
        <v>91</v>
      </c>
      <c r="IMO222" s="40" t="s">
        <v>91</v>
      </c>
      <c r="IMP222" s="40" t="s">
        <v>91</v>
      </c>
      <c r="IMQ222" s="40" t="s">
        <v>91</v>
      </c>
      <c r="IMR222" s="40" t="s">
        <v>91</v>
      </c>
      <c r="IMS222" s="40" t="s">
        <v>91</v>
      </c>
      <c r="IMT222" s="40" t="s">
        <v>91</v>
      </c>
      <c r="IMU222" s="40" t="s">
        <v>91</v>
      </c>
      <c r="IMV222" s="40" t="s">
        <v>91</v>
      </c>
      <c r="IMW222" s="40" t="s">
        <v>91</v>
      </c>
      <c r="IMX222" s="40" t="s">
        <v>91</v>
      </c>
      <c r="IMY222" s="40" t="s">
        <v>91</v>
      </c>
      <c r="IMZ222" s="40" t="s">
        <v>91</v>
      </c>
      <c r="INA222" s="40" t="s">
        <v>91</v>
      </c>
      <c r="INB222" s="40" t="s">
        <v>91</v>
      </c>
      <c r="INC222" s="40" t="s">
        <v>91</v>
      </c>
      <c r="IND222" s="40" t="s">
        <v>91</v>
      </c>
      <c r="INE222" s="40" t="s">
        <v>91</v>
      </c>
      <c r="INF222" s="40" t="s">
        <v>91</v>
      </c>
      <c r="ING222" s="40" t="s">
        <v>91</v>
      </c>
      <c r="INH222" s="40" t="s">
        <v>91</v>
      </c>
      <c r="INI222" s="40" t="s">
        <v>91</v>
      </c>
      <c r="INJ222" s="40" t="s">
        <v>91</v>
      </c>
      <c r="INK222" s="40" t="s">
        <v>91</v>
      </c>
      <c r="INL222" s="40" t="s">
        <v>91</v>
      </c>
      <c r="INM222" s="40" t="s">
        <v>91</v>
      </c>
      <c r="INN222" s="40" t="s">
        <v>91</v>
      </c>
      <c r="INO222" s="40" t="s">
        <v>91</v>
      </c>
      <c r="INP222" s="40" t="s">
        <v>91</v>
      </c>
      <c r="INQ222" s="40" t="s">
        <v>91</v>
      </c>
      <c r="INR222" s="40" t="s">
        <v>91</v>
      </c>
      <c r="INS222" s="40" t="s">
        <v>91</v>
      </c>
      <c r="INT222" s="40" t="s">
        <v>91</v>
      </c>
      <c r="INU222" s="40" t="s">
        <v>91</v>
      </c>
      <c r="INV222" s="40" t="s">
        <v>91</v>
      </c>
      <c r="INW222" s="40" t="s">
        <v>91</v>
      </c>
      <c r="INX222" s="40" t="s">
        <v>91</v>
      </c>
      <c r="INY222" s="40" t="s">
        <v>91</v>
      </c>
      <c r="INZ222" s="40" t="s">
        <v>91</v>
      </c>
      <c r="IOA222" s="40" t="s">
        <v>91</v>
      </c>
      <c r="IOB222" s="40" t="s">
        <v>91</v>
      </c>
      <c r="IOC222" s="40" t="s">
        <v>91</v>
      </c>
      <c r="IOD222" s="40" t="s">
        <v>91</v>
      </c>
      <c r="IOE222" s="40" t="s">
        <v>91</v>
      </c>
      <c r="IOF222" s="40" t="s">
        <v>91</v>
      </c>
      <c r="IOG222" s="40" t="s">
        <v>91</v>
      </c>
      <c r="IOH222" s="40" t="s">
        <v>91</v>
      </c>
      <c r="IOI222" s="40" t="s">
        <v>91</v>
      </c>
      <c r="IOJ222" s="40" t="s">
        <v>91</v>
      </c>
      <c r="IOK222" s="40" t="s">
        <v>91</v>
      </c>
      <c r="IOL222" s="40" t="s">
        <v>91</v>
      </c>
      <c r="IOM222" s="40" t="s">
        <v>91</v>
      </c>
      <c r="ION222" s="40" t="s">
        <v>91</v>
      </c>
      <c r="IOO222" s="40" t="s">
        <v>91</v>
      </c>
      <c r="IOP222" s="40" t="s">
        <v>91</v>
      </c>
      <c r="IOQ222" s="40" t="s">
        <v>91</v>
      </c>
      <c r="IOR222" s="40" t="s">
        <v>91</v>
      </c>
      <c r="IOS222" s="40" t="s">
        <v>91</v>
      </c>
      <c r="IOT222" s="40" t="s">
        <v>91</v>
      </c>
      <c r="IOU222" s="40" t="s">
        <v>91</v>
      </c>
      <c r="IOV222" s="40" t="s">
        <v>91</v>
      </c>
      <c r="IOW222" s="40" t="s">
        <v>91</v>
      </c>
      <c r="IOX222" s="40" t="s">
        <v>91</v>
      </c>
      <c r="IOY222" s="40" t="s">
        <v>91</v>
      </c>
      <c r="IOZ222" s="40" t="s">
        <v>91</v>
      </c>
      <c r="IPA222" s="40" t="s">
        <v>91</v>
      </c>
      <c r="IPB222" s="40" t="s">
        <v>91</v>
      </c>
      <c r="IPC222" s="40" t="s">
        <v>91</v>
      </c>
      <c r="IPD222" s="40" t="s">
        <v>91</v>
      </c>
      <c r="IPE222" s="40" t="s">
        <v>91</v>
      </c>
      <c r="IPF222" s="40" t="s">
        <v>91</v>
      </c>
      <c r="IPG222" s="40" t="s">
        <v>91</v>
      </c>
      <c r="IPH222" s="40" t="s">
        <v>91</v>
      </c>
      <c r="IPI222" s="40" t="s">
        <v>91</v>
      </c>
      <c r="IPJ222" s="40" t="s">
        <v>91</v>
      </c>
      <c r="IPK222" s="40" t="s">
        <v>91</v>
      </c>
      <c r="IPL222" s="40" t="s">
        <v>91</v>
      </c>
      <c r="IPM222" s="40" t="s">
        <v>91</v>
      </c>
      <c r="IPN222" s="40" t="s">
        <v>91</v>
      </c>
      <c r="IPO222" s="40" t="s">
        <v>91</v>
      </c>
      <c r="IPP222" s="40" t="s">
        <v>91</v>
      </c>
      <c r="IPQ222" s="40" t="s">
        <v>91</v>
      </c>
      <c r="IPR222" s="40" t="s">
        <v>91</v>
      </c>
      <c r="IPS222" s="40" t="s">
        <v>91</v>
      </c>
      <c r="IPT222" s="40" t="s">
        <v>91</v>
      </c>
      <c r="IPU222" s="40" t="s">
        <v>91</v>
      </c>
      <c r="IPV222" s="40" t="s">
        <v>91</v>
      </c>
      <c r="IPW222" s="40" t="s">
        <v>91</v>
      </c>
      <c r="IPX222" s="40" t="s">
        <v>91</v>
      </c>
      <c r="IPY222" s="40" t="s">
        <v>91</v>
      </c>
      <c r="IPZ222" s="40" t="s">
        <v>91</v>
      </c>
      <c r="IQA222" s="40" t="s">
        <v>91</v>
      </c>
      <c r="IQB222" s="40" t="s">
        <v>91</v>
      </c>
      <c r="IQC222" s="40" t="s">
        <v>91</v>
      </c>
      <c r="IQD222" s="40" t="s">
        <v>91</v>
      </c>
      <c r="IQE222" s="40" t="s">
        <v>91</v>
      </c>
      <c r="IQF222" s="40" t="s">
        <v>91</v>
      </c>
      <c r="IQG222" s="40" t="s">
        <v>91</v>
      </c>
      <c r="IQH222" s="40" t="s">
        <v>91</v>
      </c>
      <c r="IQI222" s="40" t="s">
        <v>91</v>
      </c>
      <c r="IQJ222" s="40" t="s">
        <v>91</v>
      </c>
      <c r="IQK222" s="40" t="s">
        <v>91</v>
      </c>
      <c r="IQL222" s="40" t="s">
        <v>91</v>
      </c>
      <c r="IQM222" s="40" t="s">
        <v>91</v>
      </c>
      <c r="IQN222" s="40" t="s">
        <v>91</v>
      </c>
      <c r="IQO222" s="40" t="s">
        <v>91</v>
      </c>
      <c r="IQP222" s="40" t="s">
        <v>91</v>
      </c>
      <c r="IQQ222" s="40" t="s">
        <v>91</v>
      </c>
      <c r="IQR222" s="40" t="s">
        <v>91</v>
      </c>
      <c r="IQS222" s="40" t="s">
        <v>91</v>
      </c>
      <c r="IQT222" s="40" t="s">
        <v>91</v>
      </c>
      <c r="IQU222" s="40" t="s">
        <v>91</v>
      </c>
      <c r="IQV222" s="40" t="s">
        <v>91</v>
      </c>
      <c r="IQW222" s="40" t="s">
        <v>91</v>
      </c>
      <c r="IQX222" s="40" t="s">
        <v>91</v>
      </c>
      <c r="IQY222" s="40" t="s">
        <v>91</v>
      </c>
      <c r="IQZ222" s="40" t="s">
        <v>91</v>
      </c>
      <c r="IRA222" s="40" t="s">
        <v>91</v>
      </c>
      <c r="IRB222" s="40" t="s">
        <v>91</v>
      </c>
      <c r="IRC222" s="40" t="s">
        <v>91</v>
      </c>
      <c r="IRD222" s="40" t="s">
        <v>91</v>
      </c>
      <c r="IRE222" s="40" t="s">
        <v>91</v>
      </c>
      <c r="IRF222" s="40" t="s">
        <v>91</v>
      </c>
      <c r="IRG222" s="40" t="s">
        <v>91</v>
      </c>
      <c r="IRH222" s="40" t="s">
        <v>91</v>
      </c>
      <c r="IRI222" s="40" t="s">
        <v>91</v>
      </c>
      <c r="IRJ222" s="40" t="s">
        <v>91</v>
      </c>
      <c r="IRK222" s="40" t="s">
        <v>91</v>
      </c>
      <c r="IRL222" s="40" t="s">
        <v>91</v>
      </c>
      <c r="IRM222" s="40" t="s">
        <v>91</v>
      </c>
      <c r="IRN222" s="40" t="s">
        <v>91</v>
      </c>
      <c r="IRO222" s="40" t="s">
        <v>91</v>
      </c>
      <c r="IRP222" s="40" t="s">
        <v>91</v>
      </c>
      <c r="IRQ222" s="40" t="s">
        <v>91</v>
      </c>
      <c r="IRR222" s="40" t="s">
        <v>91</v>
      </c>
      <c r="IRS222" s="40" t="s">
        <v>91</v>
      </c>
      <c r="IRT222" s="40" t="s">
        <v>91</v>
      </c>
      <c r="IRU222" s="40" t="s">
        <v>91</v>
      </c>
      <c r="IRV222" s="40" t="s">
        <v>91</v>
      </c>
      <c r="IRW222" s="40" t="s">
        <v>91</v>
      </c>
      <c r="IRX222" s="40" t="s">
        <v>91</v>
      </c>
      <c r="IRY222" s="40" t="s">
        <v>91</v>
      </c>
      <c r="IRZ222" s="40" t="s">
        <v>91</v>
      </c>
      <c r="ISA222" s="40" t="s">
        <v>91</v>
      </c>
      <c r="ISB222" s="40" t="s">
        <v>91</v>
      </c>
      <c r="ISC222" s="40" t="s">
        <v>91</v>
      </c>
      <c r="ISD222" s="40" t="s">
        <v>91</v>
      </c>
      <c r="ISE222" s="40" t="s">
        <v>91</v>
      </c>
      <c r="ISF222" s="40" t="s">
        <v>91</v>
      </c>
      <c r="ISG222" s="40" t="s">
        <v>91</v>
      </c>
      <c r="ISH222" s="40" t="s">
        <v>91</v>
      </c>
      <c r="ISI222" s="40" t="s">
        <v>91</v>
      </c>
      <c r="ISJ222" s="40" t="s">
        <v>91</v>
      </c>
      <c r="ISK222" s="40" t="s">
        <v>91</v>
      </c>
      <c r="ISL222" s="40" t="s">
        <v>91</v>
      </c>
      <c r="ISM222" s="40" t="s">
        <v>91</v>
      </c>
      <c r="ISN222" s="40" t="s">
        <v>91</v>
      </c>
      <c r="ISO222" s="40" t="s">
        <v>91</v>
      </c>
      <c r="ISP222" s="40" t="s">
        <v>91</v>
      </c>
      <c r="ISQ222" s="40" t="s">
        <v>91</v>
      </c>
      <c r="ISR222" s="40" t="s">
        <v>91</v>
      </c>
      <c r="ISS222" s="40" t="s">
        <v>91</v>
      </c>
      <c r="IST222" s="40" t="s">
        <v>91</v>
      </c>
      <c r="ISU222" s="40" t="s">
        <v>91</v>
      </c>
      <c r="ISV222" s="40" t="s">
        <v>91</v>
      </c>
      <c r="ISW222" s="40" t="s">
        <v>91</v>
      </c>
      <c r="ISX222" s="40" t="s">
        <v>91</v>
      </c>
      <c r="ISY222" s="40" t="s">
        <v>91</v>
      </c>
      <c r="ISZ222" s="40" t="s">
        <v>91</v>
      </c>
      <c r="ITA222" s="40" t="s">
        <v>91</v>
      </c>
      <c r="ITB222" s="40" t="s">
        <v>91</v>
      </c>
      <c r="ITC222" s="40" t="s">
        <v>91</v>
      </c>
      <c r="ITD222" s="40" t="s">
        <v>91</v>
      </c>
      <c r="ITE222" s="40" t="s">
        <v>91</v>
      </c>
      <c r="ITF222" s="40" t="s">
        <v>91</v>
      </c>
      <c r="ITG222" s="40" t="s">
        <v>91</v>
      </c>
      <c r="ITH222" s="40" t="s">
        <v>91</v>
      </c>
      <c r="ITI222" s="40" t="s">
        <v>91</v>
      </c>
      <c r="ITJ222" s="40" t="s">
        <v>91</v>
      </c>
      <c r="ITK222" s="40" t="s">
        <v>91</v>
      </c>
      <c r="ITL222" s="40" t="s">
        <v>91</v>
      </c>
      <c r="ITM222" s="40" t="s">
        <v>91</v>
      </c>
      <c r="ITN222" s="40" t="s">
        <v>91</v>
      </c>
      <c r="ITO222" s="40" t="s">
        <v>91</v>
      </c>
      <c r="ITP222" s="40" t="s">
        <v>91</v>
      </c>
      <c r="ITQ222" s="40" t="s">
        <v>91</v>
      </c>
      <c r="ITR222" s="40" t="s">
        <v>91</v>
      </c>
      <c r="ITS222" s="40" t="s">
        <v>91</v>
      </c>
      <c r="ITT222" s="40" t="s">
        <v>91</v>
      </c>
      <c r="ITU222" s="40" t="s">
        <v>91</v>
      </c>
      <c r="ITV222" s="40" t="s">
        <v>91</v>
      </c>
      <c r="ITW222" s="40" t="s">
        <v>91</v>
      </c>
      <c r="ITX222" s="40" t="s">
        <v>91</v>
      </c>
      <c r="ITY222" s="40" t="s">
        <v>91</v>
      </c>
      <c r="ITZ222" s="40" t="s">
        <v>91</v>
      </c>
      <c r="IUA222" s="40" t="s">
        <v>91</v>
      </c>
      <c r="IUB222" s="40" t="s">
        <v>91</v>
      </c>
      <c r="IUC222" s="40" t="s">
        <v>91</v>
      </c>
      <c r="IUD222" s="40" t="s">
        <v>91</v>
      </c>
      <c r="IUE222" s="40" t="s">
        <v>91</v>
      </c>
      <c r="IUF222" s="40" t="s">
        <v>91</v>
      </c>
      <c r="IUG222" s="40" t="s">
        <v>91</v>
      </c>
      <c r="IUH222" s="40" t="s">
        <v>91</v>
      </c>
      <c r="IUI222" s="40" t="s">
        <v>91</v>
      </c>
      <c r="IUJ222" s="40" t="s">
        <v>91</v>
      </c>
      <c r="IUK222" s="40" t="s">
        <v>91</v>
      </c>
      <c r="IUL222" s="40" t="s">
        <v>91</v>
      </c>
      <c r="IUM222" s="40" t="s">
        <v>91</v>
      </c>
      <c r="IUN222" s="40" t="s">
        <v>91</v>
      </c>
      <c r="IUO222" s="40" t="s">
        <v>91</v>
      </c>
      <c r="IUP222" s="40" t="s">
        <v>91</v>
      </c>
      <c r="IUQ222" s="40" t="s">
        <v>91</v>
      </c>
      <c r="IUR222" s="40" t="s">
        <v>91</v>
      </c>
      <c r="IUS222" s="40" t="s">
        <v>91</v>
      </c>
      <c r="IUT222" s="40" t="s">
        <v>91</v>
      </c>
      <c r="IUU222" s="40" t="s">
        <v>91</v>
      </c>
      <c r="IUV222" s="40" t="s">
        <v>91</v>
      </c>
      <c r="IUW222" s="40" t="s">
        <v>91</v>
      </c>
      <c r="IUX222" s="40" t="s">
        <v>91</v>
      </c>
      <c r="IUY222" s="40" t="s">
        <v>91</v>
      </c>
      <c r="IUZ222" s="40" t="s">
        <v>91</v>
      </c>
      <c r="IVA222" s="40" t="s">
        <v>91</v>
      </c>
      <c r="IVB222" s="40" t="s">
        <v>91</v>
      </c>
      <c r="IVC222" s="40" t="s">
        <v>91</v>
      </c>
      <c r="IVD222" s="40" t="s">
        <v>91</v>
      </c>
      <c r="IVE222" s="40" t="s">
        <v>91</v>
      </c>
      <c r="IVF222" s="40" t="s">
        <v>91</v>
      </c>
      <c r="IVG222" s="40" t="s">
        <v>91</v>
      </c>
      <c r="IVH222" s="40" t="s">
        <v>91</v>
      </c>
      <c r="IVI222" s="40" t="s">
        <v>91</v>
      </c>
      <c r="IVJ222" s="40" t="s">
        <v>91</v>
      </c>
      <c r="IVK222" s="40" t="s">
        <v>91</v>
      </c>
      <c r="IVL222" s="40" t="s">
        <v>91</v>
      </c>
      <c r="IVM222" s="40" t="s">
        <v>91</v>
      </c>
      <c r="IVN222" s="40" t="s">
        <v>91</v>
      </c>
      <c r="IVO222" s="40" t="s">
        <v>91</v>
      </c>
      <c r="IVP222" s="40" t="s">
        <v>91</v>
      </c>
      <c r="IVQ222" s="40" t="s">
        <v>91</v>
      </c>
      <c r="IVR222" s="40" t="s">
        <v>91</v>
      </c>
      <c r="IVS222" s="40" t="s">
        <v>91</v>
      </c>
      <c r="IVT222" s="40" t="s">
        <v>91</v>
      </c>
      <c r="IVU222" s="40" t="s">
        <v>91</v>
      </c>
      <c r="IVV222" s="40" t="s">
        <v>91</v>
      </c>
      <c r="IVW222" s="40" t="s">
        <v>91</v>
      </c>
      <c r="IVX222" s="40" t="s">
        <v>91</v>
      </c>
      <c r="IVY222" s="40" t="s">
        <v>91</v>
      </c>
      <c r="IVZ222" s="40" t="s">
        <v>91</v>
      </c>
      <c r="IWA222" s="40" t="s">
        <v>91</v>
      </c>
      <c r="IWB222" s="40" t="s">
        <v>91</v>
      </c>
      <c r="IWC222" s="40" t="s">
        <v>91</v>
      </c>
      <c r="IWD222" s="40" t="s">
        <v>91</v>
      </c>
      <c r="IWE222" s="40" t="s">
        <v>91</v>
      </c>
      <c r="IWF222" s="40" t="s">
        <v>91</v>
      </c>
      <c r="IWG222" s="40" t="s">
        <v>91</v>
      </c>
      <c r="IWH222" s="40" t="s">
        <v>91</v>
      </c>
      <c r="IWI222" s="40" t="s">
        <v>91</v>
      </c>
      <c r="IWJ222" s="40" t="s">
        <v>91</v>
      </c>
      <c r="IWK222" s="40" t="s">
        <v>91</v>
      </c>
      <c r="IWL222" s="40" t="s">
        <v>91</v>
      </c>
      <c r="IWM222" s="40" t="s">
        <v>91</v>
      </c>
      <c r="IWN222" s="40" t="s">
        <v>91</v>
      </c>
      <c r="IWO222" s="40" t="s">
        <v>91</v>
      </c>
      <c r="IWP222" s="40" t="s">
        <v>91</v>
      </c>
      <c r="IWQ222" s="40" t="s">
        <v>91</v>
      </c>
      <c r="IWR222" s="40" t="s">
        <v>91</v>
      </c>
      <c r="IWS222" s="40" t="s">
        <v>91</v>
      </c>
      <c r="IWT222" s="40" t="s">
        <v>91</v>
      </c>
      <c r="IWU222" s="40" t="s">
        <v>91</v>
      </c>
      <c r="IWV222" s="40" t="s">
        <v>91</v>
      </c>
      <c r="IWW222" s="40" t="s">
        <v>91</v>
      </c>
      <c r="IWX222" s="40" t="s">
        <v>91</v>
      </c>
      <c r="IWY222" s="40" t="s">
        <v>91</v>
      </c>
      <c r="IWZ222" s="40" t="s">
        <v>91</v>
      </c>
      <c r="IXA222" s="40" t="s">
        <v>91</v>
      </c>
      <c r="IXB222" s="40" t="s">
        <v>91</v>
      </c>
      <c r="IXC222" s="40" t="s">
        <v>91</v>
      </c>
      <c r="IXD222" s="40" t="s">
        <v>91</v>
      </c>
      <c r="IXE222" s="40" t="s">
        <v>91</v>
      </c>
      <c r="IXF222" s="40" t="s">
        <v>91</v>
      </c>
      <c r="IXG222" s="40" t="s">
        <v>91</v>
      </c>
      <c r="IXH222" s="40" t="s">
        <v>91</v>
      </c>
      <c r="IXI222" s="40" t="s">
        <v>91</v>
      </c>
      <c r="IXJ222" s="40" t="s">
        <v>91</v>
      </c>
      <c r="IXK222" s="40" t="s">
        <v>91</v>
      </c>
      <c r="IXL222" s="40" t="s">
        <v>91</v>
      </c>
      <c r="IXM222" s="40" t="s">
        <v>91</v>
      </c>
      <c r="IXN222" s="40" t="s">
        <v>91</v>
      </c>
      <c r="IXO222" s="40" t="s">
        <v>91</v>
      </c>
      <c r="IXP222" s="40" t="s">
        <v>91</v>
      </c>
      <c r="IXQ222" s="40" t="s">
        <v>91</v>
      </c>
      <c r="IXR222" s="40" t="s">
        <v>91</v>
      </c>
      <c r="IXS222" s="40" t="s">
        <v>91</v>
      </c>
      <c r="IXT222" s="40" t="s">
        <v>91</v>
      </c>
      <c r="IXU222" s="40" t="s">
        <v>91</v>
      </c>
      <c r="IXV222" s="40" t="s">
        <v>91</v>
      </c>
      <c r="IXW222" s="40" t="s">
        <v>91</v>
      </c>
      <c r="IXX222" s="40" t="s">
        <v>91</v>
      </c>
      <c r="IXY222" s="40" t="s">
        <v>91</v>
      </c>
      <c r="IXZ222" s="40" t="s">
        <v>91</v>
      </c>
      <c r="IYA222" s="40" t="s">
        <v>91</v>
      </c>
      <c r="IYB222" s="40" t="s">
        <v>91</v>
      </c>
      <c r="IYC222" s="40" t="s">
        <v>91</v>
      </c>
      <c r="IYD222" s="40" t="s">
        <v>91</v>
      </c>
      <c r="IYE222" s="40" t="s">
        <v>91</v>
      </c>
      <c r="IYF222" s="40" t="s">
        <v>91</v>
      </c>
      <c r="IYG222" s="40" t="s">
        <v>91</v>
      </c>
      <c r="IYH222" s="40" t="s">
        <v>91</v>
      </c>
      <c r="IYI222" s="40" t="s">
        <v>91</v>
      </c>
      <c r="IYJ222" s="40" t="s">
        <v>91</v>
      </c>
      <c r="IYK222" s="40" t="s">
        <v>91</v>
      </c>
      <c r="IYL222" s="40" t="s">
        <v>91</v>
      </c>
      <c r="IYM222" s="40" t="s">
        <v>91</v>
      </c>
      <c r="IYN222" s="40" t="s">
        <v>91</v>
      </c>
      <c r="IYO222" s="40" t="s">
        <v>91</v>
      </c>
      <c r="IYP222" s="40" t="s">
        <v>91</v>
      </c>
      <c r="IYQ222" s="40" t="s">
        <v>91</v>
      </c>
      <c r="IYR222" s="40" t="s">
        <v>91</v>
      </c>
      <c r="IYS222" s="40" t="s">
        <v>91</v>
      </c>
      <c r="IYT222" s="40" t="s">
        <v>91</v>
      </c>
      <c r="IYU222" s="40" t="s">
        <v>91</v>
      </c>
      <c r="IYV222" s="40" t="s">
        <v>91</v>
      </c>
      <c r="IYW222" s="40" t="s">
        <v>91</v>
      </c>
      <c r="IYX222" s="40" t="s">
        <v>91</v>
      </c>
      <c r="IYY222" s="40" t="s">
        <v>91</v>
      </c>
      <c r="IYZ222" s="40" t="s">
        <v>91</v>
      </c>
      <c r="IZA222" s="40" t="s">
        <v>91</v>
      </c>
      <c r="IZB222" s="40" t="s">
        <v>91</v>
      </c>
      <c r="IZC222" s="40" t="s">
        <v>91</v>
      </c>
      <c r="IZD222" s="40" t="s">
        <v>91</v>
      </c>
      <c r="IZE222" s="40" t="s">
        <v>91</v>
      </c>
      <c r="IZF222" s="40" t="s">
        <v>91</v>
      </c>
      <c r="IZG222" s="40" t="s">
        <v>91</v>
      </c>
      <c r="IZH222" s="40" t="s">
        <v>91</v>
      </c>
      <c r="IZI222" s="40" t="s">
        <v>91</v>
      </c>
      <c r="IZJ222" s="40" t="s">
        <v>91</v>
      </c>
      <c r="IZK222" s="40" t="s">
        <v>91</v>
      </c>
      <c r="IZL222" s="40" t="s">
        <v>91</v>
      </c>
      <c r="IZM222" s="40" t="s">
        <v>91</v>
      </c>
      <c r="IZN222" s="40" t="s">
        <v>91</v>
      </c>
      <c r="IZO222" s="40" t="s">
        <v>91</v>
      </c>
      <c r="IZP222" s="40" t="s">
        <v>91</v>
      </c>
      <c r="IZQ222" s="40" t="s">
        <v>91</v>
      </c>
      <c r="IZR222" s="40" t="s">
        <v>91</v>
      </c>
      <c r="IZS222" s="40" t="s">
        <v>91</v>
      </c>
      <c r="IZT222" s="40" t="s">
        <v>91</v>
      </c>
      <c r="IZU222" s="40" t="s">
        <v>91</v>
      </c>
      <c r="IZV222" s="40" t="s">
        <v>91</v>
      </c>
      <c r="IZW222" s="40" t="s">
        <v>91</v>
      </c>
      <c r="IZX222" s="40" t="s">
        <v>91</v>
      </c>
      <c r="IZY222" s="40" t="s">
        <v>91</v>
      </c>
      <c r="IZZ222" s="40" t="s">
        <v>91</v>
      </c>
      <c r="JAA222" s="40" t="s">
        <v>91</v>
      </c>
      <c r="JAB222" s="40" t="s">
        <v>91</v>
      </c>
      <c r="JAC222" s="40" t="s">
        <v>91</v>
      </c>
      <c r="JAD222" s="40" t="s">
        <v>91</v>
      </c>
      <c r="JAE222" s="40" t="s">
        <v>91</v>
      </c>
      <c r="JAF222" s="40" t="s">
        <v>91</v>
      </c>
      <c r="JAG222" s="40" t="s">
        <v>91</v>
      </c>
      <c r="JAH222" s="40" t="s">
        <v>91</v>
      </c>
      <c r="JAI222" s="40" t="s">
        <v>91</v>
      </c>
      <c r="JAJ222" s="40" t="s">
        <v>91</v>
      </c>
      <c r="JAK222" s="40" t="s">
        <v>91</v>
      </c>
      <c r="JAL222" s="40" t="s">
        <v>91</v>
      </c>
      <c r="JAM222" s="40" t="s">
        <v>91</v>
      </c>
      <c r="JAN222" s="40" t="s">
        <v>91</v>
      </c>
      <c r="JAO222" s="40" t="s">
        <v>91</v>
      </c>
      <c r="JAP222" s="40" t="s">
        <v>91</v>
      </c>
      <c r="JAQ222" s="40" t="s">
        <v>91</v>
      </c>
      <c r="JAR222" s="40" t="s">
        <v>91</v>
      </c>
      <c r="JAS222" s="40" t="s">
        <v>91</v>
      </c>
      <c r="JAT222" s="40" t="s">
        <v>91</v>
      </c>
      <c r="JAU222" s="40" t="s">
        <v>91</v>
      </c>
      <c r="JAV222" s="40" t="s">
        <v>91</v>
      </c>
      <c r="JAW222" s="40" t="s">
        <v>91</v>
      </c>
      <c r="JAX222" s="40" t="s">
        <v>91</v>
      </c>
      <c r="JAY222" s="40" t="s">
        <v>91</v>
      </c>
      <c r="JAZ222" s="40" t="s">
        <v>91</v>
      </c>
      <c r="JBA222" s="40" t="s">
        <v>91</v>
      </c>
      <c r="JBB222" s="40" t="s">
        <v>91</v>
      </c>
      <c r="JBC222" s="40" t="s">
        <v>91</v>
      </c>
      <c r="JBD222" s="40" t="s">
        <v>91</v>
      </c>
      <c r="JBE222" s="40" t="s">
        <v>91</v>
      </c>
      <c r="JBF222" s="40" t="s">
        <v>91</v>
      </c>
      <c r="JBG222" s="40" t="s">
        <v>91</v>
      </c>
      <c r="JBH222" s="40" t="s">
        <v>91</v>
      </c>
      <c r="JBI222" s="40" t="s">
        <v>91</v>
      </c>
      <c r="JBJ222" s="40" t="s">
        <v>91</v>
      </c>
      <c r="JBK222" s="40" t="s">
        <v>91</v>
      </c>
      <c r="JBL222" s="40" t="s">
        <v>91</v>
      </c>
      <c r="JBM222" s="40" t="s">
        <v>91</v>
      </c>
      <c r="JBN222" s="40" t="s">
        <v>91</v>
      </c>
      <c r="JBO222" s="40" t="s">
        <v>91</v>
      </c>
      <c r="JBP222" s="40" t="s">
        <v>91</v>
      </c>
      <c r="JBQ222" s="40" t="s">
        <v>91</v>
      </c>
      <c r="JBR222" s="40" t="s">
        <v>91</v>
      </c>
      <c r="JBS222" s="40" t="s">
        <v>91</v>
      </c>
      <c r="JBT222" s="40" t="s">
        <v>91</v>
      </c>
      <c r="JBU222" s="40" t="s">
        <v>91</v>
      </c>
      <c r="JBV222" s="40" t="s">
        <v>91</v>
      </c>
      <c r="JBW222" s="40" t="s">
        <v>91</v>
      </c>
      <c r="JBX222" s="40" t="s">
        <v>91</v>
      </c>
      <c r="JBY222" s="40" t="s">
        <v>91</v>
      </c>
      <c r="JBZ222" s="40" t="s">
        <v>91</v>
      </c>
      <c r="JCA222" s="40" t="s">
        <v>91</v>
      </c>
      <c r="JCB222" s="40" t="s">
        <v>91</v>
      </c>
      <c r="JCC222" s="40" t="s">
        <v>91</v>
      </c>
      <c r="JCD222" s="40" t="s">
        <v>91</v>
      </c>
      <c r="JCE222" s="40" t="s">
        <v>91</v>
      </c>
      <c r="JCF222" s="40" t="s">
        <v>91</v>
      </c>
      <c r="JCG222" s="40" t="s">
        <v>91</v>
      </c>
      <c r="JCH222" s="40" t="s">
        <v>91</v>
      </c>
      <c r="JCI222" s="40" t="s">
        <v>91</v>
      </c>
      <c r="JCJ222" s="40" t="s">
        <v>91</v>
      </c>
      <c r="JCK222" s="40" t="s">
        <v>91</v>
      </c>
      <c r="JCL222" s="40" t="s">
        <v>91</v>
      </c>
      <c r="JCM222" s="40" t="s">
        <v>91</v>
      </c>
      <c r="JCN222" s="40" t="s">
        <v>91</v>
      </c>
      <c r="JCO222" s="40" t="s">
        <v>91</v>
      </c>
      <c r="JCP222" s="40" t="s">
        <v>91</v>
      </c>
      <c r="JCQ222" s="40" t="s">
        <v>91</v>
      </c>
      <c r="JCR222" s="40" t="s">
        <v>91</v>
      </c>
      <c r="JCS222" s="40" t="s">
        <v>91</v>
      </c>
      <c r="JCT222" s="40" t="s">
        <v>91</v>
      </c>
      <c r="JCU222" s="40" t="s">
        <v>91</v>
      </c>
      <c r="JCV222" s="40" t="s">
        <v>91</v>
      </c>
      <c r="JCW222" s="40" t="s">
        <v>91</v>
      </c>
      <c r="JCX222" s="40" t="s">
        <v>91</v>
      </c>
      <c r="JCY222" s="40" t="s">
        <v>91</v>
      </c>
      <c r="JCZ222" s="40" t="s">
        <v>91</v>
      </c>
      <c r="JDA222" s="40" t="s">
        <v>91</v>
      </c>
      <c r="JDB222" s="40" t="s">
        <v>91</v>
      </c>
      <c r="JDC222" s="40" t="s">
        <v>91</v>
      </c>
      <c r="JDD222" s="40" t="s">
        <v>91</v>
      </c>
      <c r="JDE222" s="40" t="s">
        <v>91</v>
      </c>
      <c r="JDF222" s="40" t="s">
        <v>91</v>
      </c>
      <c r="JDG222" s="40" t="s">
        <v>91</v>
      </c>
      <c r="JDH222" s="40" t="s">
        <v>91</v>
      </c>
      <c r="JDI222" s="40" t="s">
        <v>91</v>
      </c>
      <c r="JDJ222" s="40" t="s">
        <v>91</v>
      </c>
      <c r="JDK222" s="40" t="s">
        <v>91</v>
      </c>
      <c r="JDL222" s="40" t="s">
        <v>91</v>
      </c>
      <c r="JDM222" s="40" t="s">
        <v>91</v>
      </c>
      <c r="JDN222" s="40" t="s">
        <v>91</v>
      </c>
      <c r="JDO222" s="40" t="s">
        <v>91</v>
      </c>
      <c r="JDP222" s="40" t="s">
        <v>91</v>
      </c>
      <c r="JDQ222" s="40" t="s">
        <v>91</v>
      </c>
      <c r="JDR222" s="40" t="s">
        <v>91</v>
      </c>
      <c r="JDS222" s="40" t="s">
        <v>91</v>
      </c>
      <c r="JDT222" s="40" t="s">
        <v>91</v>
      </c>
      <c r="JDU222" s="40" t="s">
        <v>91</v>
      </c>
      <c r="JDV222" s="40" t="s">
        <v>91</v>
      </c>
      <c r="JDW222" s="40" t="s">
        <v>91</v>
      </c>
      <c r="JDX222" s="40" t="s">
        <v>91</v>
      </c>
      <c r="JDY222" s="40" t="s">
        <v>91</v>
      </c>
      <c r="JDZ222" s="40" t="s">
        <v>91</v>
      </c>
      <c r="JEA222" s="40" t="s">
        <v>91</v>
      </c>
      <c r="JEB222" s="40" t="s">
        <v>91</v>
      </c>
      <c r="JEC222" s="40" t="s">
        <v>91</v>
      </c>
      <c r="JED222" s="40" t="s">
        <v>91</v>
      </c>
      <c r="JEE222" s="40" t="s">
        <v>91</v>
      </c>
      <c r="JEF222" s="40" t="s">
        <v>91</v>
      </c>
      <c r="JEG222" s="40" t="s">
        <v>91</v>
      </c>
      <c r="JEH222" s="40" t="s">
        <v>91</v>
      </c>
      <c r="JEI222" s="40" t="s">
        <v>91</v>
      </c>
      <c r="JEJ222" s="40" t="s">
        <v>91</v>
      </c>
      <c r="JEK222" s="40" t="s">
        <v>91</v>
      </c>
      <c r="JEL222" s="40" t="s">
        <v>91</v>
      </c>
      <c r="JEM222" s="40" t="s">
        <v>91</v>
      </c>
      <c r="JEN222" s="40" t="s">
        <v>91</v>
      </c>
      <c r="JEO222" s="40" t="s">
        <v>91</v>
      </c>
      <c r="JEP222" s="40" t="s">
        <v>91</v>
      </c>
      <c r="JEQ222" s="40" t="s">
        <v>91</v>
      </c>
      <c r="JER222" s="40" t="s">
        <v>91</v>
      </c>
      <c r="JES222" s="40" t="s">
        <v>91</v>
      </c>
      <c r="JET222" s="40" t="s">
        <v>91</v>
      </c>
      <c r="JEU222" s="40" t="s">
        <v>91</v>
      </c>
      <c r="JEV222" s="40" t="s">
        <v>91</v>
      </c>
      <c r="JEW222" s="40" t="s">
        <v>91</v>
      </c>
      <c r="JEX222" s="40" t="s">
        <v>91</v>
      </c>
      <c r="JEY222" s="40" t="s">
        <v>91</v>
      </c>
      <c r="JEZ222" s="40" t="s">
        <v>91</v>
      </c>
      <c r="JFA222" s="40" t="s">
        <v>91</v>
      </c>
      <c r="JFB222" s="40" t="s">
        <v>91</v>
      </c>
      <c r="JFC222" s="40" t="s">
        <v>91</v>
      </c>
      <c r="JFD222" s="40" t="s">
        <v>91</v>
      </c>
      <c r="JFE222" s="40" t="s">
        <v>91</v>
      </c>
      <c r="JFF222" s="40" t="s">
        <v>91</v>
      </c>
      <c r="JFG222" s="40" t="s">
        <v>91</v>
      </c>
      <c r="JFH222" s="40" t="s">
        <v>91</v>
      </c>
      <c r="JFI222" s="40" t="s">
        <v>91</v>
      </c>
      <c r="JFJ222" s="40" t="s">
        <v>91</v>
      </c>
      <c r="JFK222" s="40" t="s">
        <v>91</v>
      </c>
      <c r="JFL222" s="40" t="s">
        <v>91</v>
      </c>
      <c r="JFM222" s="40" t="s">
        <v>91</v>
      </c>
      <c r="JFN222" s="40" t="s">
        <v>91</v>
      </c>
      <c r="JFO222" s="40" t="s">
        <v>91</v>
      </c>
      <c r="JFP222" s="40" t="s">
        <v>91</v>
      </c>
      <c r="JFQ222" s="40" t="s">
        <v>91</v>
      </c>
      <c r="JFR222" s="40" t="s">
        <v>91</v>
      </c>
      <c r="JFS222" s="40" t="s">
        <v>91</v>
      </c>
      <c r="JFT222" s="40" t="s">
        <v>91</v>
      </c>
      <c r="JFU222" s="40" t="s">
        <v>91</v>
      </c>
      <c r="JFV222" s="40" t="s">
        <v>91</v>
      </c>
      <c r="JFW222" s="40" t="s">
        <v>91</v>
      </c>
      <c r="JFX222" s="40" t="s">
        <v>91</v>
      </c>
      <c r="JFY222" s="40" t="s">
        <v>91</v>
      </c>
      <c r="JFZ222" s="40" t="s">
        <v>91</v>
      </c>
      <c r="JGA222" s="40" t="s">
        <v>91</v>
      </c>
      <c r="JGB222" s="40" t="s">
        <v>91</v>
      </c>
      <c r="JGC222" s="40" t="s">
        <v>91</v>
      </c>
      <c r="JGD222" s="40" t="s">
        <v>91</v>
      </c>
      <c r="JGE222" s="40" t="s">
        <v>91</v>
      </c>
      <c r="JGF222" s="40" t="s">
        <v>91</v>
      </c>
      <c r="JGG222" s="40" t="s">
        <v>91</v>
      </c>
      <c r="JGH222" s="40" t="s">
        <v>91</v>
      </c>
      <c r="JGI222" s="40" t="s">
        <v>91</v>
      </c>
      <c r="JGJ222" s="40" t="s">
        <v>91</v>
      </c>
      <c r="JGK222" s="40" t="s">
        <v>91</v>
      </c>
      <c r="JGL222" s="40" t="s">
        <v>91</v>
      </c>
      <c r="JGM222" s="40" t="s">
        <v>91</v>
      </c>
      <c r="JGN222" s="40" t="s">
        <v>91</v>
      </c>
      <c r="JGO222" s="40" t="s">
        <v>91</v>
      </c>
      <c r="JGP222" s="40" t="s">
        <v>91</v>
      </c>
      <c r="JGQ222" s="40" t="s">
        <v>91</v>
      </c>
      <c r="JGR222" s="40" t="s">
        <v>91</v>
      </c>
      <c r="JGS222" s="40" t="s">
        <v>91</v>
      </c>
      <c r="JGT222" s="40" t="s">
        <v>91</v>
      </c>
      <c r="JGU222" s="40" t="s">
        <v>91</v>
      </c>
      <c r="JGV222" s="40" t="s">
        <v>91</v>
      </c>
      <c r="JGW222" s="40" t="s">
        <v>91</v>
      </c>
      <c r="JGX222" s="40" t="s">
        <v>91</v>
      </c>
      <c r="JGY222" s="40" t="s">
        <v>91</v>
      </c>
      <c r="JGZ222" s="40" t="s">
        <v>91</v>
      </c>
      <c r="JHA222" s="40" t="s">
        <v>91</v>
      </c>
      <c r="JHB222" s="40" t="s">
        <v>91</v>
      </c>
      <c r="JHC222" s="40" t="s">
        <v>91</v>
      </c>
      <c r="JHD222" s="40" t="s">
        <v>91</v>
      </c>
      <c r="JHE222" s="40" t="s">
        <v>91</v>
      </c>
      <c r="JHF222" s="40" t="s">
        <v>91</v>
      </c>
      <c r="JHG222" s="40" t="s">
        <v>91</v>
      </c>
      <c r="JHH222" s="40" t="s">
        <v>91</v>
      </c>
      <c r="JHI222" s="40" t="s">
        <v>91</v>
      </c>
      <c r="JHJ222" s="40" t="s">
        <v>91</v>
      </c>
      <c r="JHK222" s="40" t="s">
        <v>91</v>
      </c>
      <c r="JHL222" s="40" t="s">
        <v>91</v>
      </c>
      <c r="JHM222" s="40" t="s">
        <v>91</v>
      </c>
      <c r="JHN222" s="40" t="s">
        <v>91</v>
      </c>
      <c r="JHO222" s="40" t="s">
        <v>91</v>
      </c>
      <c r="JHP222" s="40" t="s">
        <v>91</v>
      </c>
      <c r="JHQ222" s="40" t="s">
        <v>91</v>
      </c>
      <c r="JHR222" s="40" t="s">
        <v>91</v>
      </c>
      <c r="JHS222" s="40" t="s">
        <v>91</v>
      </c>
      <c r="JHT222" s="40" t="s">
        <v>91</v>
      </c>
      <c r="JHU222" s="40" t="s">
        <v>91</v>
      </c>
      <c r="JHV222" s="40" t="s">
        <v>91</v>
      </c>
      <c r="JHW222" s="40" t="s">
        <v>91</v>
      </c>
      <c r="JHX222" s="40" t="s">
        <v>91</v>
      </c>
      <c r="JHY222" s="40" t="s">
        <v>91</v>
      </c>
      <c r="JHZ222" s="40" t="s">
        <v>91</v>
      </c>
      <c r="JIA222" s="40" t="s">
        <v>91</v>
      </c>
      <c r="JIB222" s="40" t="s">
        <v>91</v>
      </c>
      <c r="JIC222" s="40" t="s">
        <v>91</v>
      </c>
      <c r="JID222" s="40" t="s">
        <v>91</v>
      </c>
      <c r="JIE222" s="40" t="s">
        <v>91</v>
      </c>
      <c r="JIF222" s="40" t="s">
        <v>91</v>
      </c>
      <c r="JIG222" s="40" t="s">
        <v>91</v>
      </c>
      <c r="JIH222" s="40" t="s">
        <v>91</v>
      </c>
      <c r="JII222" s="40" t="s">
        <v>91</v>
      </c>
      <c r="JIJ222" s="40" t="s">
        <v>91</v>
      </c>
      <c r="JIK222" s="40" t="s">
        <v>91</v>
      </c>
      <c r="JIL222" s="40" t="s">
        <v>91</v>
      </c>
      <c r="JIM222" s="40" t="s">
        <v>91</v>
      </c>
      <c r="JIN222" s="40" t="s">
        <v>91</v>
      </c>
      <c r="JIO222" s="40" t="s">
        <v>91</v>
      </c>
      <c r="JIP222" s="40" t="s">
        <v>91</v>
      </c>
      <c r="JIQ222" s="40" t="s">
        <v>91</v>
      </c>
      <c r="JIR222" s="40" t="s">
        <v>91</v>
      </c>
      <c r="JIS222" s="40" t="s">
        <v>91</v>
      </c>
      <c r="JIT222" s="40" t="s">
        <v>91</v>
      </c>
      <c r="JIU222" s="40" t="s">
        <v>91</v>
      </c>
      <c r="JIV222" s="40" t="s">
        <v>91</v>
      </c>
      <c r="JIW222" s="40" t="s">
        <v>91</v>
      </c>
      <c r="JIX222" s="40" t="s">
        <v>91</v>
      </c>
      <c r="JIY222" s="40" t="s">
        <v>91</v>
      </c>
      <c r="JIZ222" s="40" t="s">
        <v>91</v>
      </c>
      <c r="JJA222" s="40" t="s">
        <v>91</v>
      </c>
      <c r="JJB222" s="40" t="s">
        <v>91</v>
      </c>
      <c r="JJC222" s="40" t="s">
        <v>91</v>
      </c>
      <c r="JJD222" s="40" t="s">
        <v>91</v>
      </c>
      <c r="JJE222" s="40" t="s">
        <v>91</v>
      </c>
      <c r="JJF222" s="40" t="s">
        <v>91</v>
      </c>
      <c r="JJG222" s="40" t="s">
        <v>91</v>
      </c>
      <c r="JJH222" s="40" t="s">
        <v>91</v>
      </c>
      <c r="JJI222" s="40" t="s">
        <v>91</v>
      </c>
      <c r="JJJ222" s="40" t="s">
        <v>91</v>
      </c>
      <c r="JJK222" s="40" t="s">
        <v>91</v>
      </c>
      <c r="JJL222" s="40" t="s">
        <v>91</v>
      </c>
      <c r="JJM222" s="40" t="s">
        <v>91</v>
      </c>
      <c r="JJN222" s="40" t="s">
        <v>91</v>
      </c>
      <c r="JJO222" s="40" t="s">
        <v>91</v>
      </c>
      <c r="JJP222" s="40" t="s">
        <v>91</v>
      </c>
      <c r="JJQ222" s="40" t="s">
        <v>91</v>
      </c>
      <c r="JJR222" s="40" t="s">
        <v>91</v>
      </c>
      <c r="JJS222" s="40" t="s">
        <v>91</v>
      </c>
      <c r="JJT222" s="40" t="s">
        <v>91</v>
      </c>
      <c r="JJU222" s="40" t="s">
        <v>91</v>
      </c>
      <c r="JJV222" s="40" t="s">
        <v>91</v>
      </c>
      <c r="JJW222" s="40" t="s">
        <v>91</v>
      </c>
      <c r="JJX222" s="40" t="s">
        <v>91</v>
      </c>
      <c r="JJY222" s="40" t="s">
        <v>91</v>
      </c>
      <c r="JJZ222" s="40" t="s">
        <v>91</v>
      </c>
      <c r="JKA222" s="40" t="s">
        <v>91</v>
      </c>
      <c r="JKB222" s="40" t="s">
        <v>91</v>
      </c>
      <c r="JKC222" s="40" t="s">
        <v>91</v>
      </c>
      <c r="JKD222" s="40" t="s">
        <v>91</v>
      </c>
      <c r="JKE222" s="40" t="s">
        <v>91</v>
      </c>
      <c r="JKF222" s="40" t="s">
        <v>91</v>
      </c>
      <c r="JKG222" s="40" t="s">
        <v>91</v>
      </c>
      <c r="JKH222" s="40" t="s">
        <v>91</v>
      </c>
      <c r="JKI222" s="40" t="s">
        <v>91</v>
      </c>
      <c r="JKJ222" s="40" t="s">
        <v>91</v>
      </c>
      <c r="JKK222" s="40" t="s">
        <v>91</v>
      </c>
      <c r="JKL222" s="40" t="s">
        <v>91</v>
      </c>
      <c r="JKM222" s="40" t="s">
        <v>91</v>
      </c>
      <c r="JKN222" s="40" t="s">
        <v>91</v>
      </c>
      <c r="JKO222" s="40" t="s">
        <v>91</v>
      </c>
      <c r="JKP222" s="40" t="s">
        <v>91</v>
      </c>
      <c r="JKQ222" s="40" t="s">
        <v>91</v>
      </c>
      <c r="JKR222" s="40" t="s">
        <v>91</v>
      </c>
      <c r="JKS222" s="40" t="s">
        <v>91</v>
      </c>
      <c r="JKT222" s="40" t="s">
        <v>91</v>
      </c>
      <c r="JKU222" s="40" t="s">
        <v>91</v>
      </c>
      <c r="JKV222" s="40" t="s">
        <v>91</v>
      </c>
      <c r="JKW222" s="40" t="s">
        <v>91</v>
      </c>
      <c r="JKX222" s="40" t="s">
        <v>91</v>
      </c>
      <c r="JKY222" s="40" t="s">
        <v>91</v>
      </c>
      <c r="JKZ222" s="40" t="s">
        <v>91</v>
      </c>
      <c r="JLA222" s="40" t="s">
        <v>91</v>
      </c>
      <c r="JLB222" s="40" t="s">
        <v>91</v>
      </c>
      <c r="JLC222" s="40" t="s">
        <v>91</v>
      </c>
      <c r="JLD222" s="40" t="s">
        <v>91</v>
      </c>
      <c r="JLE222" s="40" t="s">
        <v>91</v>
      </c>
      <c r="JLF222" s="40" t="s">
        <v>91</v>
      </c>
      <c r="JLG222" s="40" t="s">
        <v>91</v>
      </c>
      <c r="JLH222" s="40" t="s">
        <v>91</v>
      </c>
      <c r="JLI222" s="40" t="s">
        <v>91</v>
      </c>
      <c r="JLJ222" s="40" t="s">
        <v>91</v>
      </c>
      <c r="JLK222" s="40" t="s">
        <v>91</v>
      </c>
      <c r="JLL222" s="40" t="s">
        <v>91</v>
      </c>
      <c r="JLM222" s="40" t="s">
        <v>91</v>
      </c>
      <c r="JLN222" s="40" t="s">
        <v>91</v>
      </c>
      <c r="JLO222" s="40" t="s">
        <v>91</v>
      </c>
      <c r="JLP222" s="40" t="s">
        <v>91</v>
      </c>
      <c r="JLQ222" s="40" t="s">
        <v>91</v>
      </c>
      <c r="JLR222" s="40" t="s">
        <v>91</v>
      </c>
      <c r="JLS222" s="40" t="s">
        <v>91</v>
      </c>
      <c r="JLT222" s="40" t="s">
        <v>91</v>
      </c>
      <c r="JLU222" s="40" t="s">
        <v>91</v>
      </c>
      <c r="JLV222" s="40" t="s">
        <v>91</v>
      </c>
      <c r="JLW222" s="40" t="s">
        <v>91</v>
      </c>
      <c r="JLX222" s="40" t="s">
        <v>91</v>
      </c>
      <c r="JLY222" s="40" t="s">
        <v>91</v>
      </c>
      <c r="JLZ222" s="40" t="s">
        <v>91</v>
      </c>
      <c r="JMA222" s="40" t="s">
        <v>91</v>
      </c>
      <c r="JMB222" s="40" t="s">
        <v>91</v>
      </c>
      <c r="JMC222" s="40" t="s">
        <v>91</v>
      </c>
      <c r="JMD222" s="40" t="s">
        <v>91</v>
      </c>
      <c r="JME222" s="40" t="s">
        <v>91</v>
      </c>
      <c r="JMF222" s="40" t="s">
        <v>91</v>
      </c>
      <c r="JMG222" s="40" t="s">
        <v>91</v>
      </c>
      <c r="JMH222" s="40" t="s">
        <v>91</v>
      </c>
      <c r="JMI222" s="40" t="s">
        <v>91</v>
      </c>
      <c r="JMJ222" s="40" t="s">
        <v>91</v>
      </c>
      <c r="JMK222" s="40" t="s">
        <v>91</v>
      </c>
      <c r="JML222" s="40" t="s">
        <v>91</v>
      </c>
      <c r="JMM222" s="40" t="s">
        <v>91</v>
      </c>
      <c r="JMN222" s="40" t="s">
        <v>91</v>
      </c>
      <c r="JMO222" s="40" t="s">
        <v>91</v>
      </c>
      <c r="JMP222" s="40" t="s">
        <v>91</v>
      </c>
      <c r="JMQ222" s="40" t="s">
        <v>91</v>
      </c>
      <c r="JMR222" s="40" t="s">
        <v>91</v>
      </c>
      <c r="JMS222" s="40" t="s">
        <v>91</v>
      </c>
      <c r="JMT222" s="40" t="s">
        <v>91</v>
      </c>
      <c r="JMU222" s="40" t="s">
        <v>91</v>
      </c>
      <c r="JMV222" s="40" t="s">
        <v>91</v>
      </c>
      <c r="JMW222" s="40" t="s">
        <v>91</v>
      </c>
      <c r="JMX222" s="40" t="s">
        <v>91</v>
      </c>
      <c r="JMY222" s="40" t="s">
        <v>91</v>
      </c>
      <c r="JMZ222" s="40" t="s">
        <v>91</v>
      </c>
      <c r="JNA222" s="40" t="s">
        <v>91</v>
      </c>
      <c r="JNB222" s="40" t="s">
        <v>91</v>
      </c>
      <c r="JNC222" s="40" t="s">
        <v>91</v>
      </c>
      <c r="JND222" s="40" t="s">
        <v>91</v>
      </c>
      <c r="JNE222" s="40" t="s">
        <v>91</v>
      </c>
      <c r="JNF222" s="40" t="s">
        <v>91</v>
      </c>
      <c r="JNG222" s="40" t="s">
        <v>91</v>
      </c>
      <c r="JNH222" s="40" t="s">
        <v>91</v>
      </c>
      <c r="JNI222" s="40" t="s">
        <v>91</v>
      </c>
      <c r="JNJ222" s="40" t="s">
        <v>91</v>
      </c>
      <c r="JNK222" s="40" t="s">
        <v>91</v>
      </c>
      <c r="JNL222" s="40" t="s">
        <v>91</v>
      </c>
      <c r="JNM222" s="40" t="s">
        <v>91</v>
      </c>
      <c r="JNN222" s="40" t="s">
        <v>91</v>
      </c>
      <c r="JNO222" s="40" t="s">
        <v>91</v>
      </c>
      <c r="JNP222" s="40" t="s">
        <v>91</v>
      </c>
      <c r="JNQ222" s="40" t="s">
        <v>91</v>
      </c>
      <c r="JNR222" s="40" t="s">
        <v>91</v>
      </c>
      <c r="JNS222" s="40" t="s">
        <v>91</v>
      </c>
      <c r="JNT222" s="40" t="s">
        <v>91</v>
      </c>
      <c r="JNU222" s="40" t="s">
        <v>91</v>
      </c>
      <c r="JNV222" s="40" t="s">
        <v>91</v>
      </c>
      <c r="JNW222" s="40" t="s">
        <v>91</v>
      </c>
      <c r="JNX222" s="40" t="s">
        <v>91</v>
      </c>
      <c r="JNY222" s="40" t="s">
        <v>91</v>
      </c>
      <c r="JNZ222" s="40" t="s">
        <v>91</v>
      </c>
      <c r="JOA222" s="40" t="s">
        <v>91</v>
      </c>
      <c r="JOB222" s="40" t="s">
        <v>91</v>
      </c>
      <c r="JOC222" s="40" t="s">
        <v>91</v>
      </c>
      <c r="JOD222" s="40" t="s">
        <v>91</v>
      </c>
      <c r="JOE222" s="40" t="s">
        <v>91</v>
      </c>
      <c r="JOF222" s="40" t="s">
        <v>91</v>
      </c>
      <c r="JOG222" s="40" t="s">
        <v>91</v>
      </c>
      <c r="JOH222" s="40" t="s">
        <v>91</v>
      </c>
      <c r="JOI222" s="40" t="s">
        <v>91</v>
      </c>
      <c r="JOJ222" s="40" t="s">
        <v>91</v>
      </c>
      <c r="JOK222" s="40" t="s">
        <v>91</v>
      </c>
      <c r="JOL222" s="40" t="s">
        <v>91</v>
      </c>
      <c r="JOM222" s="40" t="s">
        <v>91</v>
      </c>
      <c r="JON222" s="40" t="s">
        <v>91</v>
      </c>
      <c r="JOO222" s="40" t="s">
        <v>91</v>
      </c>
      <c r="JOP222" s="40" t="s">
        <v>91</v>
      </c>
      <c r="JOQ222" s="40" t="s">
        <v>91</v>
      </c>
      <c r="JOR222" s="40" t="s">
        <v>91</v>
      </c>
      <c r="JOS222" s="40" t="s">
        <v>91</v>
      </c>
      <c r="JOT222" s="40" t="s">
        <v>91</v>
      </c>
      <c r="JOU222" s="40" t="s">
        <v>91</v>
      </c>
      <c r="JOV222" s="40" t="s">
        <v>91</v>
      </c>
      <c r="JOW222" s="40" t="s">
        <v>91</v>
      </c>
      <c r="JOX222" s="40" t="s">
        <v>91</v>
      </c>
      <c r="JOY222" s="40" t="s">
        <v>91</v>
      </c>
      <c r="JOZ222" s="40" t="s">
        <v>91</v>
      </c>
      <c r="JPA222" s="40" t="s">
        <v>91</v>
      </c>
      <c r="JPB222" s="40" t="s">
        <v>91</v>
      </c>
      <c r="JPC222" s="40" t="s">
        <v>91</v>
      </c>
      <c r="JPD222" s="40" t="s">
        <v>91</v>
      </c>
      <c r="JPE222" s="40" t="s">
        <v>91</v>
      </c>
      <c r="JPF222" s="40" t="s">
        <v>91</v>
      </c>
      <c r="JPG222" s="40" t="s">
        <v>91</v>
      </c>
      <c r="JPH222" s="40" t="s">
        <v>91</v>
      </c>
      <c r="JPI222" s="40" t="s">
        <v>91</v>
      </c>
      <c r="JPJ222" s="40" t="s">
        <v>91</v>
      </c>
      <c r="JPK222" s="40" t="s">
        <v>91</v>
      </c>
      <c r="JPL222" s="40" t="s">
        <v>91</v>
      </c>
      <c r="JPM222" s="40" t="s">
        <v>91</v>
      </c>
      <c r="JPN222" s="40" t="s">
        <v>91</v>
      </c>
      <c r="JPO222" s="40" t="s">
        <v>91</v>
      </c>
      <c r="JPP222" s="40" t="s">
        <v>91</v>
      </c>
      <c r="JPQ222" s="40" t="s">
        <v>91</v>
      </c>
      <c r="JPR222" s="40" t="s">
        <v>91</v>
      </c>
      <c r="JPS222" s="40" t="s">
        <v>91</v>
      </c>
      <c r="JPT222" s="40" t="s">
        <v>91</v>
      </c>
      <c r="JPU222" s="40" t="s">
        <v>91</v>
      </c>
      <c r="JPV222" s="40" t="s">
        <v>91</v>
      </c>
      <c r="JPW222" s="40" t="s">
        <v>91</v>
      </c>
      <c r="JPX222" s="40" t="s">
        <v>91</v>
      </c>
      <c r="JPY222" s="40" t="s">
        <v>91</v>
      </c>
      <c r="JPZ222" s="40" t="s">
        <v>91</v>
      </c>
      <c r="JQA222" s="40" t="s">
        <v>91</v>
      </c>
      <c r="JQB222" s="40" t="s">
        <v>91</v>
      </c>
      <c r="JQC222" s="40" t="s">
        <v>91</v>
      </c>
      <c r="JQD222" s="40" t="s">
        <v>91</v>
      </c>
      <c r="JQE222" s="40" t="s">
        <v>91</v>
      </c>
      <c r="JQF222" s="40" t="s">
        <v>91</v>
      </c>
      <c r="JQG222" s="40" t="s">
        <v>91</v>
      </c>
      <c r="JQH222" s="40" t="s">
        <v>91</v>
      </c>
      <c r="JQI222" s="40" t="s">
        <v>91</v>
      </c>
      <c r="JQJ222" s="40" t="s">
        <v>91</v>
      </c>
      <c r="JQK222" s="40" t="s">
        <v>91</v>
      </c>
      <c r="JQL222" s="40" t="s">
        <v>91</v>
      </c>
      <c r="JQM222" s="40" t="s">
        <v>91</v>
      </c>
      <c r="JQN222" s="40" t="s">
        <v>91</v>
      </c>
      <c r="JQO222" s="40" t="s">
        <v>91</v>
      </c>
      <c r="JQP222" s="40" t="s">
        <v>91</v>
      </c>
      <c r="JQQ222" s="40" t="s">
        <v>91</v>
      </c>
      <c r="JQR222" s="40" t="s">
        <v>91</v>
      </c>
      <c r="JQS222" s="40" t="s">
        <v>91</v>
      </c>
      <c r="JQT222" s="40" t="s">
        <v>91</v>
      </c>
      <c r="JQU222" s="40" t="s">
        <v>91</v>
      </c>
      <c r="JQV222" s="40" t="s">
        <v>91</v>
      </c>
      <c r="JQW222" s="40" t="s">
        <v>91</v>
      </c>
      <c r="JQX222" s="40" t="s">
        <v>91</v>
      </c>
      <c r="JQY222" s="40" t="s">
        <v>91</v>
      </c>
      <c r="JQZ222" s="40" t="s">
        <v>91</v>
      </c>
      <c r="JRA222" s="40" t="s">
        <v>91</v>
      </c>
      <c r="JRB222" s="40" t="s">
        <v>91</v>
      </c>
      <c r="JRC222" s="40" t="s">
        <v>91</v>
      </c>
      <c r="JRD222" s="40" t="s">
        <v>91</v>
      </c>
      <c r="JRE222" s="40" t="s">
        <v>91</v>
      </c>
      <c r="JRF222" s="40" t="s">
        <v>91</v>
      </c>
      <c r="JRG222" s="40" t="s">
        <v>91</v>
      </c>
      <c r="JRH222" s="40" t="s">
        <v>91</v>
      </c>
      <c r="JRI222" s="40" t="s">
        <v>91</v>
      </c>
      <c r="JRJ222" s="40" t="s">
        <v>91</v>
      </c>
      <c r="JRK222" s="40" t="s">
        <v>91</v>
      </c>
      <c r="JRL222" s="40" t="s">
        <v>91</v>
      </c>
      <c r="JRM222" s="40" t="s">
        <v>91</v>
      </c>
      <c r="JRN222" s="40" t="s">
        <v>91</v>
      </c>
      <c r="JRO222" s="40" t="s">
        <v>91</v>
      </c>
      <c r="JRP222" s="40" t="s">
        <v>91</v>
      </c>
      <c r="JRQ222" s="40" t="s">
        <v>91</v>
      </c>
      <c r="JRR222" s="40" t="s">
        <v>91</v>
      </c>
      <c r="JRS222" s="40" t="s">
        <v>91</v>
      </c>
      <c r="JRT222" s="40" t="s">
        <v>91</v>
      </c>
      <c r="JRU222" s="40" t="s">
        <v>91</v>
      </c>
      <c r="JRV222" s="40" t="s">
        <v>91</v>
      </c>
      <c r="JRW222" s="40" t="s">
        <v>91</v>
      </c>
      <c r="JRX222" s="40" t="s">
        <v>91</v>
      </c>
      <c r="JRY222" s="40" t="s">
        <v>91</v>
      </c>
      <c r="JRZ222" s="40" t="s">
        <v>91</v>
      </c>
      <c r="JSA222" s="40" t="s">
        <v>91</v>
      </c>
      <c r="JSB222" s="40" t="s">
        <v>91</v>
      </c>
      <c r="JSC222" s="40" t="s">
        <v>91</v>
      </c>
      <c r="JSD222" s="40" t="s">
        <v>91</v>
      </c>
      <c r="JSE222" s="40" t="s">
        <v>91</v>
      </c>
      <c r="JSF222" s="40" t="s">
        <v>91</v>
      </c>
      <c r="JSG222" s="40" t="s">
        <v>91</v>
      </c>
      <c r="JSH222" s="40" t="s">
        <v>91</v>
      </c>
      <c r="JSI222" s="40" t="s">
        <v>91</v>
      </c>
      <c r="JSJ222" s="40" t="s">
        <v>91</v>
      </c>
      <c r="JSK222" s="40" t="s">
        <v>91</v>
      </c>
      <c r="JSL222" s="40" t="s">
        <v>91</v>
      </c>
      <c r="JSM222" s="40" t="s">
        <v>91</v>
      </c>
      <c r="JSN222" s="40" t="s">
        <v>91</v>
      </c>
      <c r="JSO222" s="40" t="s">
        <v>91</v>
      </c>
      <c r="JSP222" s="40" t="s">
        <v>91</v>
      </c>
      <c r="JSQ222" s="40" t="s">
        <v>91</v>
      </c>
      <c r="JSR222" s="40" t="s">
        <v>91</v>
      </c>
      <c r="JSS222" s="40" t="s">
        <v>91</v>
      </c>
      <c r="JST222" s="40" t="s">
        <v>91</v>
      </c>
      <c r="JSU222" s="40" t="s">
        <v>91</v>
      </c>
      <c r="JSV222" s="40" t="s">
        <v>91</v>
      </c>
      <c r="JSW222" s="40" t="s">
        <v>91</v>
      </c>
      <c r="JSX222" s="40" t="s">
        <v>91</v>
      </c>
      <c r="JSY222" s="40" t="s">
        <v>91</v>
      </c>
      <c r="JSZ222" s="40" t="s">
        <v>91</v>
      </c>
      <c r="JTA222" s="40" t="s">
        <v>91</v>
      </c>
      <c r="JTB222" s="40" t="s">
        <v>91</v>
      </c>
      <c r="JTC222" s="40" t="s">
        <v>91</v>
      </c>
      <c r="JTD222" s="40" t="s">
        <v>91</v>
      </c>
      <c r="JTE222" s="40" t="s">
        <v>91</v>
      </c>
      <c r="JTF222" s="40" t="s">
        <v>91</v>
      </c>
      <c r="JTG222" s="40" t="s">
        <v>91</v>
      </c>
      <c r="JTH222" s="40" t="s">
        <v>91</v>
      </c>
      <c r="JTI222" s="40" t="s">
        <v>91</v>
      </c>
      <c r="JTJ222" s="40" t="s">
        <v>91</v>
      </c>
      <c r="JTK222" s="40" t="s">
        <v>91</v>
      </c>
      <c r="JTL222" s="40" t="s">
        <v>91</v>
      </c>
      <c r="JTM222" s="40" t="s">
        <v>91</v>
      </c>
      <c r="JTN222" s="40" t="s">
        <v>91</v>
      </c>
      <c r="JTO222" s="40" t="s">
        <v>91</v>
      </c>
      <c r="JTP222" s="40" t="s">
        <v>91</v>
      </c>
      <c r="JTQ222" s="40" t="s">
        <v>91</v>
      </c>
      <c r="JTR222" s="40" t="s">
        <v>91</v>
      </c>
      <c r="JTS222" s="40" t="s">
        <v>91</v>
      </c>
      <c r="JTT222" s="40" t="s">
        <v>91</v>
      </c>
      <c r="JTU222" s="40" t="s">
        <v>91</v>
      </c>
      <c r="JTV222" s="40" t="s">
        <v>91</v>
      </c>
      <c r="JTW222" s="40" t="s">
        <v>91</v>
      </c>
      <c r="JTX222" s="40" t="s">
        <v>91</v>
      </c>
      <c r="JTY222" s="40" t="s">
        <v>91</v>
      </c>
      <c r="JTZ222" s="40" t="s">
        <v>91</v>
      </c>
      <c r="JUA222" s="40" t="s">
        <v>91</v>
      </c>
      <c r="JUB222" s="40" t="s">
        <v>91</v>
      </c>
      <c r="JUC222" s="40" t="s">
        <v>91</v>
      </c>
      <c r="JUD222" s="40" t="s">
        <v>91</v>
      </c>
      <c r="JUE222" s="40" t="s">
        <v>91</v>
      </c>
      <c r="JUF222" s="40" t="s">
        <v>91</v>
      </c>
      <c r="JUG222" s="40" t="s">
        <v>91</v>
      </c>
      <c r="JUH222" s="40" t="s">
        <v>91</v>
      </c>
      <c r="JUI222" s="40" t="s">
        <v>91</v>
      </c>
      <c r="JUJ222" s="40" t="s">
        <v>91</v>
      </c>
      <c r="JUK222" s="40" t="s">
        <v>91</v>
      </c>
      <c r="JUL222" s="40" t="s">
        <v>91</v>
      </c>
      <c r="JUM222" s="40" t="s">
        <v>91</v>
      </c>
      <c r="JUN222" s="40" t="s">
        <v>91</v>
      </c>
      <c r="JUO222" s="40" t="s">
        <v>91</v>
      </c>
      <c r="JUP222" s="40" t="s">
        <v>91</v>
      </c>
      <c r="JUQ222" s="40" t="s">
        <v>91</v>
      </c>
      <c r="JUR222" s="40" t="s">
        <v>91</v>
      </c>
      <c r="JUS222" s="40" t="s">
        <v>91</v>
      </c>
      <c r="JUT222" s="40" t="s">
        <v>91</v>
      </c>
      <c r="JUU222" s="40" t="s">
        <v>91</v>
      </c>
      <c r="JUV222" s="40" t="s">
        <v>91</v>
      </c>
      <c r="JUW222" s="40" t="s">
        <v>91</v>
      </c>
      <c r="JUX222" s="40" t="s">
        <v>91</v>
      </c>
      <c r="JUY222" s="40" t="s">
        <v>91</v>
      </c>
      <c r="JUZ222" s="40" t="s">
        <v>91</v>
      </c>
      <c r="JVA222" s="40" t="s">
        <v>91</v>
      </c>
      <c r="JVB222" s="40" t="s">
        <v>91</v>
      </c>
      <c r="JVC222" s="40" t="s">
        <v>91</v>
      </c>
      <c r="JVD222" s="40" t="s">
        <v>91</v>
      </c>
      <c r="JVE222" s="40" t="s">
        <v>91</v>
      </c>
      <c r="JVF222" s="40" t="s">
        <v>91</v>
      </c>
      <c r="JVG222" s="40" t="s">
        <v>91</v>
      </c>
      <c r="JVH222" s="40" t="s">
        <v>91</v>
      </c>
      <c r="JVI222" s="40" t="s">
        <v>91</v>
      </c>
      <c r="JVJ222" s="40" t="s">
        <v>91</v>
      </c>
      <c r="JVK222" s="40" t="s">
        <v>91</v>
      </c>
      <c r="JVL222" s="40" t="s">
        <v>91</v>
      </c>
      <c r="JVM222" s="40" t="s">
        <v>91</v>
      </c>
      <c r="JVN222" s="40" t="s">
        <v>91</v>
      </c>
      <c r="JVO222" s="40" t="s">
        <v>91</v>
      </c>
      <c r="JVP222" s="40" t="s">
        <v>91</v>
      </c>
      <c r="JVQ222" s="40" t="s">
        <v>91</v>
      </c>
      <c r="JVR222" s="40" t="s">
        <v>91</v>
      </c>
      <c r="JVS222" s="40" t="s">
        <v>91</v>
      </c>
      <c r="JVT222" s="40" t="s">
        <v>91</v>
      </c>
      <c r="JVU222" s="40" t="s">
        <v>91</v>
      </c>
      <c r="JVV222" s="40" t="s">
        <v>91</v>
      </c>
      <c r="JVW222" s="40" t="s">
        <v>91</v>
      </c>
      <c r="JVX222" s="40" t="s">
        <v>91</v>
      </c>
      <c r="JVY222" s="40" t="s">
        <v>91</v>
      </c>
      <c r="JVZ222" s="40" t="s">
        <v>91</v>
      </c>
      <c r="JWA222" s="40" t="s">
        <v>91</v>
      </c>
      <c r="JWB222" s="40" t="s">
        <v>91</v>
      </c>
      <c r="JWC222" s="40" t="s">
        <v>91</v>
      </c>
      <c r="JWD222" s="40" t="s">
        <v>91</v>
      </c>
      <c r="JWE222" s="40" t="s">
        <v>91</v>
      </c>
      <c r="JWF222" s="40" t="s">
        <v>91</v>
      </c>
      <c r="JWG222" s="40" t="s">
        <v>91</v>
      </c>
      <c r="JWH222" s="40" t="s">
        <v>91</v>
      </c>
      <c r="JWI222" s="40" t="s">
        <v>91</v>
      </c>
      <c r="JWJ222" s="40" t="s">
        <v>91</v>
      </c>
      <c r="JWK222" s="40" t="s">
        <v>91</v>
      </c>
      <c r="JWL222" s="40" t="s">
        <v>91</v>
      </c>
      <c r="JWM222" s="40" t="s">
        <v>91</v>
      </c>
      <c r="JWN222" s="40" t="s">
        <v>91</v>
      </c>
      <c r="JWO222" s="40" t="s">
        <v>91</v>
      </c>
      <c r="JWP222" s="40" t="s">
        <v>91</v>
      </c>
      <c r="JWQ222" s="40" t="s">
        <v>91</v>
      </c>
      <c r="JWR222" s="40" t="s">
        <v>91</v>
      </c>
      <c r="JWS222" s="40" t="s">
        <v>91</v>
      </c>
      <c r="JWT222" s="40" t="s">
        <v>91</v>
      </c>
      <c r="JWU222" s="40" t="s">
        <v>91</v>
      </c>
      <c r="JWV222" s="40" t="s">
        <v>91</v>
      </c>
      <c r="JWW222" s="40" t="s">
        <v>91</v>
      </c>
      <c r="JWX222" s="40" t="s">
        <v>91</v>
      </c>
      <c r="JWY222" s="40" t="s">
        <v>91</v>
      </c>
      <c r="JWZ222" s="40" t="s">
        <v>91</v>
      </c>
      <c r="JXA222" s="40" t="s">
        <v>91</v>
      </c>
      <c r="JXB222" s="40" t="s">
        <v>91</v>
      </c>
      <c r="JXC222" s="40" t="s">
        <v>91</v>
      </c>
      <c r="JXD222" s="40" t="s">
        <v>91</v>
      </c>
      <c r="JXE222" s="40" t="s">
        <v>91</v>
      </c>
      <c r="JXF222" s="40" t="s">
        <v>91</v>
      </c>
      <c r="JXG222" s="40" t="s">
        <v>91</v>
      </c>
      <c r="JXH222" s="40" t="s">
        <v>91</v>
      </c>
      <c r="JXI222" s="40" t="s">
        <v>91</v>
      </c>
      <c r="JXJ222" s="40" t="s">
        <v>91</v>
      </c>
      <c r="JXK222" s="40" t="s">
        <v>91</v>
      </c>
      <c r="JXL222" s="40" t="s">
        <v>91</v>
      </c>
      <c r="JXM222" s="40" t="s">
        <v>91</v>
      </c>
      <c r="JXN222" s="40" t="s">
        <v>91</v>
      </c>
      <c r="JXO222" s="40" t="s">
        <v>91</v>
      </c>
      <c r="JXP222" s="40" t="s">
        <v>91</v>
      </c>
      <c r="JXQ222" s="40" t="s">
        <v>91</v>
      </c>
      <c r="JXR222" s="40" t="s">
        <v>91</v>
      </c>
      <c r="JXS222" s="40" t="s">
        <v>91</v>
      </c>
      <c r="JXT222" s="40" t="s">
        <v>91</v>
      </c>
      <c r="JXU222" s="40" t="s">
        <v>91</v>
      </c>
      <c r="JXV222" s="40" t="s">
        <v>91</v>
      </c>
      <c r="JXW222" s="40" t="s">
        <v>91</v>
      </c>
      <c r="JXX222" s="40" t="s">
        <v>91</v>
      </c>
      <c r="JXY222" s="40" t="s">
        <v>91</v>
      </c>
      <c r="JXZ222" s="40" t="s">
        <v>91</v>
      </c>
      <c r="JYA222" s="40" t="s">
        <v>91</v>
      </c>
      <c r="JYB222" s="40" t="s">
        <v>91</v>
      </c>
      <c r="JYC222" s="40" t="s">
        <v>91</v>
      </c>
      <c r="JYD222" s="40" t="s">
        <v>91</v>
      </c>
      <c r="JYE222" s="40" t="s">
        <v>91</v>
      </c>
      <c r="JYF222" s="40" t="s">
        <v>91</v>
      </c>
      <c r="JYG222" s="40" t="s">
        <v>91</v>
      </c>
      <c r="JYH222" s="40" t="s">
        <v>91</v>
      </c>
      <c r="JYI222" s="40" t="s">
        <v>91</v>
      </c>
      <c r="JYJ222" s="40" t="s">
        <v>91</v>
      </c>
      <c r="JYK222" s="40" t="s">
        <v>91</v>
      </c>
      <c r="JYL222" s="40" t="s">
        <v>91</v>
      </c>
      <c r="JYM222" s="40" t="s">
        <v>91</v>
      </c>
      <c r="JYN222" s="40" t="s">
        <v>91</v>
      </c>
      <c r="JYO222" s="40" t="s">
        <v>91</v>
      </c>
      <c r="JYP222" s="40" t="s">
        <v>91</v>
      </c>
      <c r="JYQ222" s="40" t="s">
        <v>91</v>
      </c>
      <c r="JYR222" s="40" t="s">
        <v>91</v>
      </c>
      <c r="JYS222" s="40" t="s">
        <v>91</v>
      </c>
      <c r="JYT222" s="40" t="s">
        <v>91</v>
      </c>
      <c r="JYU222" s="40" t="s">
        <v>91</v>
      </c>
      <c r="JYV222" s="40" t="s">
        <v>91</v>
      </c>
      <c r="JYW222" s="40" t="s">
        <v>91</v>
      </c>
      <c r="JYX222" s="40" t="s">
        <v>91</v>
      </c>
      <c r="JYY222" s="40" t="s">
        <v>91</v>
      </c>
      <c r="JYZ222" s="40" t="s">
        <v>91</v>
      </c>
      <c r="JZA222" s="40" t="s">
        <v>91</v>
      </c>
      <c r="JZB222" s="40" t="s">
        <v>91</v>
      </c>
      <c r="JZC222" s="40" t="s">
        <v>91</v>
      </c>
      <c r="JZD222" s="40" t="s">
        <v>91</v>
      </c>
      <c r="JZE222" s="40" t="s">
        <v>91</v>
      </c>
      <c r="JZF222" s="40" t="s">
        <v>91</v>
      </c>
      <c r="JZG222" s="40" t="s">
        <v>91</v>
      </c>
      <c r="JZH222" s="40" t="s">
        <v>91</v>
      </c>
      <c r="JZI222" s="40" t="s">
        <v>91</v>
      </c>
      <c r="JZJ222" s="40" t="s">
        <v>91</v>
      </c>
      <c r="JZK222" s="40" t="s">
        <v>91</v>
      </c>
      <c r="JZL222" s="40" t="s">
        <v>91</v>
      </c>
      <c r="JZM222" s="40" t="s">
        <v>91</v>
      </c>
      <c r="JZN222" s="40" t="s">
        <v>91</v>
      </c>
      <c r="JZO222" s="40" t="s">
        <v>91</v>
      </c>
      <c r="JZP222" s="40" t="s">
        <v>91</v>
      </c>
      <c r="JZQ222" s="40" t="s">
        <v>91</v>
      </c>
      <c r="JZR222" s="40" t="s">
        <v>91</v>
      </c>
      <c r="JZS222" s="40" t="s">
        <v>91</v>
      </c>
      <c r="JZT222" s="40" t="s">
        <v>91</v>
      </c>
      <c r="JZU222" s="40" t="s">
        <v>91</v>
      </c>
      <c r="JZV222" s="40" t="s">
        <v>91</v>
      </c>
      <c r="JZW222" s="40" t="s">
        <v>91</v>
      </c>
      <c r="JZX222" s="40" t="s">
        <v>91</v>
      </c>
      <c r="JZY222" s="40" t="s">
        <v>91</v>
      </c>
      <c r="JZZ222" s="40" t="s">
        <v>91</v>
      </c>
      <c r="KAA222" s="40" t="s">
        <v>91</v>
      </c>
      <c r="KAB222" s="40" t="s">
        <v>91</v>
      </c>
      <c r="KAC222" s="40" t="s">
        <v>91</v>
      </c>
      <c r="KAD222" s="40" t="s">
        <v>91</v>
      </c>
      <c r="KAE222" s="40" t="s">
        <v>91</v>
      </c>
      <c r="KAF222" s="40" t="s">
        <v>91</v>
      </c>
      <c r="KAG222" s="40" t="s">
        <v>91</v>
      </c>
      <c r="KAH222" s="40" t="s">
        <v>91</v>
      </c>
      <c r="KAI222" s="40" t="s">
        <v>91</v>
      </c>
      <c r="KAJ222" s="40" t="s">
        <v>91</v>
      </c>
      <c r="KAK222" s="40" t="s">
        <v>91</v>
      </c>
      <c r="KAL222" s="40" t="s">
        <v>91</v>
      </c>
      <c r="KAM222" s="40" t="s">
        <v>91</v>
      </c>
      <c r="KAN222" s="40" t="s">
        <v>91</v>
      </c>
      <c r="KAO222" s="40" t="s">
        <v>91</v>
      </c>
      <c r="KAP222" s="40" t="s">
        <v>91</v>
      </c>
      <c r="KAQ222" s="40" t="s">
        <v>91</v>
      </c>
      <c r="KAR222" s="40" t="s">
        <v>91</v>
      </c>
      <c r="KAS222" s="40" t="s">
        <v>91</v>
      </c>
      <c r="KAT222" s="40" t="s">
        <v>91</v>
      </c>
      <c r="KAU222" s="40" t="s">
        <v>91</v>
      </c>
      <c r="KAV222" s="40" t="s">
        <v>91</v>
      </c>
      <c r="KAW222" s="40" t="s">
        <v>91</v>
      </c>
      <c r="KAX222" s="40" t="s">
        <v>91</v>
      </c>
      <c r="KAY222" s="40" t="s">
        <v>91</v>
      </c>
      <c r="KAZ222" s="40" t="s">
        <v>91</v>
      </c>
      <c r="KBA222" s="40" t="s">
        <v>91</v>
      </c>
      <c r="KBB222" s="40" t="s">
        <v>91</v>
      </c>
      <c r="KBC222" s="40" t="s">
        <v>91</v>
      </c>
      <c r="KBD222" s="40" t="s">
        <v>91</v>
      </c>
      <c r="KBE222" s="40" t="s">
        <v>91</v>
      </c>
      <c r="KBF222" s="40" t="s">
        <v>91</v>
      </c>
      <c r="KBG222" s="40" t="s">
        <v>91</v>
      </c>
      <c r="KBH222" s="40" t="s">
        <v>91</v>
      </c>
      <c r="KBI222" s="40" t="s">
        <v>91</v>
      </c>
      <c r="KBJ222" s="40" t="s">
        <v>91</v>
      </c>
      <c r="KBK222" s="40" t="s">
        <v>91</v>
      </c>
      <c r="KBL222" s="40" t="s">
        <v>91</v>
      </c>
      <c r="KBM222" s="40" t="s">
        <v>91</v>
      </c>
      <c r="KBN222" s="40" t="s">
        <v>91</v>
      </c>
      <c r="KBO222" s="40" t="s">
        <v>91</v>
      </c>
      <c r="KBP222" s="40" t="s">
        <v>91</v>
      </c>
      <c r="KBQ222" s="40" t="s">
        <v>91</v>
      </c>
      <c r="KBR222" s="40" t="s">
        <v>91</v>
      </c>
      <c r="KBS222" s="40" t="s">
        <v>91</v>
      </c>
      <c r="KBT222" s="40" t="s">
        <v>91</v>
      </c>
      <c r="KBU222" s="40" t="s">
        <v>91</v>
      </c>
      <c r="KBV222" s="40" t="s">
        <v>91</v>
      </c>
      <c r="KBW222" s="40" t="s">
        <v>91</v>
      </c>
      <c r="KBX222" s="40" t="s">
        <v>91</v>
      </c>
      <c r="KBY222" s="40" t="s">
        <v>91</v>
      </c>
      <c r="KBZ222" s="40" t="s">
        <v>91</v>
      </c>
      <c r="KCA222" s="40" t="s">
        <v>91</v>
      </c>
      <c r="KCB222" s="40" t="s">
        <v>91</v>
      </c>
      <c r="KCC222" s="40" t="s">
        <v>91</v>
      </c>
      <c r="KCD222" s="40" t="s">
        <v>91</v>
      </c>
      <c r="KCE222" s="40" t="s">
        <v>91</v>
      </c>
      <c r="KCF222" s="40" t="s">
        <v>91</v>
      </c>
      <c r="KCG222" s="40" t="s">
        <v>91</v>
      </c>
      <c r="KCH222" s="40" t="s">
        <v>91</v>
      </c>
      <c r="KCI222" s="40" t="s">
        <v>91</v>
      </c>
      <c r="KCJ222" s="40" t="s">
        <v>91</v>
      </c>
      <c r="KCK222" s="40" t="s">
        <v>91</v>
      </c>
      <c r="KCL222" s="40" t="s">
        <v>91</v>
      </c>
      <c r="KCM222" s="40" t="s">
        <v>91</v>
      </c>
      <c r="KCN222" s="40" t="s">
        <v>91</v>
      </c>
      <c r="KCO222" s="40" t="s">
        <v>91</v>
      </c>
      <c r="KCP222" s="40" t="s">
        <v>91</v>
      </c>
      <c r="KCQ222" s="40" t="s">
        <v>91</v>
      </c>
      <c r="KCR222" s="40" t="s">
        <v>91</v>
      </c>
      <c r="KCS222" s="40" t="s">
        <v>91</v>
      </c>
      <c r="KCT222" s="40" t="s">
        <v>91</v>
      </c>
      <c r="KCU222" s="40" t="s">
        <v>91</v>
      </c>
      <c r="KCV222" s="40" t="s">
        <v>91</v>
      </c>
      <c r="KCW222" s="40" t="s">
        <v>91</v>
      </c>
      <c r="KCX222" s="40" t="s">
        <v>91</v>
      </c>
      <c r="KCY222" s="40" t="s">
        <v>91</v>
      </c>
      <c r="KCZ222" s="40" t="s">
        <v>91</v>
      </c>
      <c r="KDA222" s="40" t="s">
        <v>91</v>
      </c>
      <c r="KDB222" s="40" t="s">
        <v>91</v>
      </c>
      <c r="KDC222" s="40" t="s">
        <v>91</v>
      </c>
      <c r="KDD222" s="40" t="s">
        <v>91</v>
      </c>
      <c r="KDE222" s="40" t="s">
        <v>91</v>
      </c>
      <c r="KDF222" s="40" t="s">
        <v>91</v>
      </c>
      <c r="KDG222" s="40" t="s">
        <v>91</v>
      </c>
      <c r="KDH222" s="40" t="s">
        <v>91</v>
      </c>
      <c r="KDI222" s="40" t="s">
        <v>91</v>
      </c>
      <c r="KDJ222" s="40" t="s">
        <v>91</v>
      </c>
      <c r="KDK222" s="40" t="s">
        <v>91</v>
      </c>
      <c r="KDL222" s="40" t="s">
        <v>91</v>
      </c>
      <c r="KDM222" s="40" t="s">
        <v>91</v>
      </c>
      <c r="KDN222" s="40" t="s">
        <v>91</v>
      </c>
      <c r="KDO222" s="40" t="s">
        <v>91</v>
      </c>
      <c r="KDP222" s="40" t="s">
        <v>91</v>
      </c>
      <c r="KDQ222" s="40" t="s">
        <v>91</v>
      </c>
      <c r="KDR222" s="40" t="s">
        <v>91</v>
      </c>
      <c r="KDS222" s="40" t="s">
        <v>91</v>
      </c>
      <c r="KDT222" s="40" t="s">
        <v>91</v>
      </c>
      <c r="KDU222" s="40" t="s">
        <v>91</v>
      </c>
      <c r="KDV222" s="40" t="s">
        <v>91</v>
      </c>
      <c r="KDW222" s="40" t="s">
        <v>91</v>
      </c>
      <c r="KDX222" s="40" t="s">
        <v>91</v>
      </c>
      <c r="KDY222" s="40" t="s">
        <v>91</v>
      </c>
      <c r="KDZ222" s="40" t="s">
        <v>91</v>
      </c>
      <c r="KEA222" s="40" t="s">
        <v>91</v>
      </c>
      <c r="KEB222" s="40" t="s">
        <v>91</v>
      </c>
      <c r="KEC222" s="40" t="s">
        <v>91</v>
      </c>
      <c r="KED222" s="40" t="s">
        <v>91</v>
      </c>
      <c r="KEE222" s="40" t="s">
        <v>91</v>
      </c>
      <c r="KEF222" s="40" t="s">
        <v>91</v>
      </c>
      <c r="KEG222" s="40" t="s">
        <v>91</v>
      </c>
      <c r="KEH222" s="40" t="s">
        <v>91</v>
      </c>
      <c r="KEI222" s="40" t="s">
        <v>91</v>
      </c>
      <c r="KEJ222" s="40" t="s">
        <v>91</v>
      </c>
      <c r="KEK222" s="40" t="s">
        <v>91</v>
      </c>
      <c r="KEL222" s="40" t="s">
        <v>91</v>
      </c>
      <c r="KEM222" s="40" t="s">
        <v>91</v>
      </c>
      <c r="KEN222" s="40" t="s">
        <v>91</v>
      </c>
      <c r="KEO222" s="40" t="s">
        <v>91</v>
      </c>
      <c r="KEP222" s="40" t="s">
        <v>91</v>
      </c>
      <c r="KEQ222" s="40" t="s">
        <v>91</v>
      </c>
      <c r="KER222" s="40" t="s">
        <v>91</v>
      </c>
      <c r="KES222" s="40" t="s">
        <v>91</v>
      </c>
      <c r="KET222" s="40" t="s">
        <v>91</v>
      </c>
      <c r="KEU222" s="40" t="s">
        <v>91</v>
      </c>
      <c r="KEV222" s="40" t="s">
        <v>91</v>
      </c>
      <c r="KEW222" s="40" t="s">
        <v>91</v>
      </c>
      <c r="KEX222" s="40" t="s">
        <v>91</v>
      </c>
      <c r="KEY222" s="40" t="s">
        <v>91</v>
      </c>
      <c r="KEZ222" s="40" t="s">
        <v>91</v>
      </c>
      <c r="KFA222" s="40" t="s">
        <v>91</v>
      </c>
      <c r="KFB222" s="40" t="s">
        <v>91</v>
      </c>
      <c r="KFC222" s="40" t="s">
        <v>91</v>
      </c>
      <c r="KFD222" s="40" t="s">
        <v>91</v>
      </c>
      <c r="KFE222" s="40" t="s">
        <v>91</v>
      </c>
      <c r="KFF222" s="40" t="s">
        <v>91</v>
      </c>
      <c r="KFG222" s="40" t="s">
        <v>91</v>
      </c>
      <c r="KFH222" s="40" t="s">
        <v>91</v>
      </c>
      <c r="KFI222" s="40" t="s">
        <v>91</v>
      </c>
      <c r="KFJ222" s="40" t="s">
        <v>91</v>
      </c>
      <c r="KFK222" s="40" t="s">
        <v>91</v>
      </c>
      <c r="KFL222" s="40" t="s">
        <v>91</v>
      </c>
      <c r="KFM222" s="40" t="s">
        <v>91</v>
      </c>
      <c r="KFN222" s="40" t="s">
        <v>91</v>
      </c>
      <c r="KFO222" s="40" t="s">
        <v>91</v>
      </c>
      <c r="KFP222" s="40" t="s">
        <v>91</v>
      </c>
      <c r="KFQ222" s="40" t="s">
        <v>91</v>
      </c>
      <c r="KFR222" s="40" t="s">
        <v>91</v>
      </c>
      <c r="KFS222" s="40" t="s">
        <v>91</v>
      </c>
      <c r="KFT222" s="40" t="s">
        <v>91</v>
      </c>
      <c r="KFU222" s="40" t="s">
        <v>91</v>
      </c>
      <c r="KFV222" s="40" t="s">
        <v>91</v>
      </c>
      <c r="KFW222" s="40" t="s">
        <v>91</v>
      </c>
      <c r="KFX222" s="40" t="s">
        <v>91</v>
      </c>
      <c r="KFY222" s="40" t="s">
        <v>91</v>
      </c>
      <c r="KFZ222" s="40" t="s">
        <v>91</v>
      </c>
      <c r="KGA222" s="40" t="s">
        <v>91</v>
      </c>
      <c r="KGB222" s="40" t="s">
        <v>91</v>
      </c>
      <c r="KGC222" s="40" t="s">
        <v>91</v>
      </c>
      <c r="KGD222" s="40" t="s">
        <v>91</v>
      </c>
      <c r="KGE222" s="40" t="s">
        <v>91</v>
      </c>
      <c r="KGF222" s="40" t="s">
        <v>91</v>
      </c>
      <c r="KGG222" s="40" t="s">
        <v>91</v>
      </c>
      <c r="KGH222" s="40" t="s">
        <v>91</v>
      </c>
      <c r="KGI222" s="40" t="s">
        <v>91</v>
      </c>
      <c r="KGJ222" s="40" t="s">
        <v>91</v>
      </c>
      <c r="KGK222" s="40" t="s">
        <v>91</v>
      </c>
      <c r="KGL222" s="40" t="s">
        <v>91</v>
      </c>
      <c r="KGM222" s="40" t="s">
        <v>91</v>
      </c>
      <c r="KGN222" s="40" t="s">
        <v>91</v>
      </c>
      <c r="KGO222" s="40" t="s">
        <v>91</v>
      </c>
      <c r="KGP222" s="40" t="s">
        <v>91</v>
      </c>
      <c r="KGQ222" s="40" t="s">
        <v>91</v>
      </c>
      <c r="KGR222" s="40" t="s">
        <v>91</v>
      </c>
      <c r="KGS222" s="40" t="s">
        <v>91</v>
      </c>
      <c r="KGT222" s="40" t="s">
        <v>91</v>
      </c>
      <c r="KGU222" s="40" t="s">
        <v>91</v>
      </c>
      <c r="KGV222" s="40" t="s">
        <v>91</v>
      </c>
      <c r="KGW222" s="40" t="s">
        <v>91</v>
      </c>
      <c r="KGX222" s="40" t="s">
        <v>91</v>
      </c>
      <c r="KGY222" s="40" t="s">
        <v>91</v>
      </c>
      <c r="KGZ222" s="40" t="s">
        <v>91</v>
      </c>
      <c r="KHA222" s="40" t="s">
        <v>91</v>
      </c>
      <c r="KHB222" s="40" t="s">
        <v>91</v>
      </c>
      <c r="KHC222" s="40" t="s">
        <v>91</v>
      </c>
      <c r="KHD222" s="40" t="s">
        <v>91</v>
      </c>
      <c r="KHE222" s="40" t="s">
        <v>91</v>
      </c>
      <c r="KHF222" s="40" t="s">
        <v>91</v>
      </c>
      <c r="KHG222" s="40" t="s">
        <v>91</v>
      </c>
      <c r="KHH222" s="40" t="s">
        <v>91</v>
      </c>
      <c r="KHI222" s="40" t="s">
        <v>91</v>
      </c>
      <c r="KHJ222" s="40" t="s">
        <v>91</v>
      </c>
      <c r="KHK222" s="40" t="s">
        <v>91</v>
      </c>
      <c r="KHL222" s="40" t="s">
        <v>91</v>
      </c>
      <c r="KHM222" s="40" t="s">
        <v>91</v>
      </c>
      <c r="KHN222" s="40" t="s">
        <v>91</v>
      </c>
      <c r="KHO222" s="40" t="s">
        <v>91</v>
      </c>
      <c r="KHP222" s="40" t="s">
        <v>91</v>
      </c>
      <c r="KHQ222" s="40" t="s">
        <v>91</v>
      </c>
      <c r="KHR222" s="40" t="s">
        <v>91</v>
      </c>
      <c r="KHS222" s="40" t="s">
        <v>91</v>
      </c>
      <c r="KHT222" s="40" t="s">
        <v>91</v>
      </c>
      <c r="KHU222" s="40" t="s">
        <v>91</v>
      </c>
      <c r="KHV222" s="40" t="s">
        <v>91</v>
      </c>
      <c r="KHW222" s="40" t="s">
        <v>91</v>
      </c>
      <c r="KHX222" s="40" t="s">
        <v>91</v>
      </c>
      <c r="KHY222" s="40" t="s">
        <v>91</v>
      </c>
      <c r="KHZ222" s="40" t="s">
        <v>91</v>
      </c>
      <c r="KIA222" s="40" t="s">
        <v>91</v>
      </c>
      <c r="KIB222" s="40" t="s">
        <v>91</v>
      </c>
      <c r="KIC222" s="40" t="s">
        <v>91</v>
      </c>
      <c r="KID222" s="40" t="s">
        <v>91</v>
      </c>
      <c r="KIE222" s="40" t="s">
        <v>91</v>
      </c>
      <c r="KIF222" s="40" t="s">
        <v>91</v>
      </c>
      <c r="KIG222" s="40" t="s">
        <v>91</v>
      </c>
      <c r="KIH222" s="40" t="s">
        <v>91</v>
      </c>
      <c r="KII222" s="40" t="s">
        <v>91</v>
      </c>
      <c r="KIJ222" s="40" t="s">
        <v>91</v>
      </c>
      <c r="KIK222" s="40" t="s">
        <v>91</v>
      </c>
      <c r="KIL222" s="40" t="s">
        <v>91</v>
      </c>
      <c r="KIM222" s="40" t="s">
        <v>91</v>
      </c>
      <c r="KIN222" s="40" t="s">
        <v>91</v>
      </c>
      <c r="KIO222" s="40" t="s">
        <v>91</v>
      </c>
      <c r="KIP222" s="40" t="s">
        <v>91</v>
      </c>
      <c r="KIQ222" s="40" t="s">
        <v>91</v>
      </c>
      <c r="KIR222" s="40" t="s">
        <v>91</v>
      </c>
      <c r="KIS222" s="40" t="s">
        <v>91</v>
      </c>
      <c r="KIT222" s="40" t="s">
        <v>91</v>
      </c>
      <c r="KIU222" s="40" t="s">
        <v>91</v>
      </c>
      <c r="KIV222" s="40" t="s">
        <v>91</v>
      </c>
      <c r="KIW222" s="40" t="s">
        <v>91</v>
      </c>
      <c r="KIX222" s="40" t="s">
        <v>91</v>
      </c>
      <c r="KIY222" s="40" t="s">
        <v>91</v>
      </c>
      <c r="KIZ222" s="40" t="s">
        <v>91</v>
      </c>
      <c r="KJA222" s="40" t="s">
        <v>91</v>
      </c>
      <c r="KJB222" s="40" t="s">
        <v>91</v>
      </c>
      <c r="KJC222" s="40" t="s">
        <v>91</v>
      </c>
      <c r="KJD222" s="40" t="s">
        <v>91</v>
      </c>
      <c r="KJE222" s="40" t="s">
        <v>91</v>
      </c>
      <c r="KJF222" s="40" t="s">
        <v>91</v>
      </c>
      <c r="KJG222" s="40" t="s">
        <v>91</v>
      </c>
      <c r="KJH222" s="40" t="s">
        <v>91</v>
      </c>
      <c r="KJI222" s="40" t="s">
        <v>91</v>
      </c>
      <c r="KJJ222" s="40" t="s">
        <v>91</v>
      </c>
      <c r="KJK222" s="40" t="s">
        <v>91</v>
      </c>
      <c r="KJL222" s="40" t="s">
        <v>91</v>
      </c>
      <c r="KJM222" s="40" t="s">
        <v>91</v>
      </c>
      <c r="KJN222" s="40" t="s">
        <v>91</v>
      </c>
      <c r="KJO222" s="40" t="s">
        <v>91</v>
      </c>
      <c r="KJP222" s="40" t="s">
        <v>91</v>
      </c>
      <c r="KJQ222" s="40" t="s">
        <v>91</v>
      </c>
      <c r="KJR222" s="40" t="s">
        <v>91</v>
      </c>
      <c r="KJS222" s="40" t="s">
        <v>91</v>
      </c>
      <c r="KJT222" s="40" t="s">
        <v>91</v>
      </c>
      <c r="KJU222" s="40" t="s">
        <v>91</v>
      </c>
      <c r="KJV222" s="40" t="s">
        <v>91</v>
      </c>
      <c r="KJW222" s="40" t="s">
        <v>91</v>
      </c>
      <c r="KJX222" s="40" t="s">
        <v>91</v>
      </c>
      <c r="KJY222" s="40" t="s">
        <v>91</v>
      </c>
      <c r="KJZ222" s="40" t="s">
        <v>91</v>
      </c>
      <c r="KKA222" s="40" t="s">
        <v>91</v>
      </c>
      <c r="KKB222" s="40" t="s">
        <v>91</v>
      </c>
      <c r="KKC222" s="40" t="s">
        <v>91</v>
      </c>
      <c r="KKD222" s="40" t="s">
        <v>91</v>
      </c>
      <c r="KKE222" s="40" t="s">
        <v>91</v>
      </c>
      <c r="KKF222" s="40" t="s">
        <v>91</v>
      </c>
      <c r="KKG222" s="40" t="s">
        <v>91</v>
      </c>
      <c r="KKH222" s="40" t="s">
        <v>91</v>
      </c>
      <c r="KKI222" s="40" t="s">
        <v>91</v>
      </c>
      <c r="KKJ222" s="40" t="s">
        <v>91</v>
      </c>
      <c r="KKK222" s="40" t="s">
        <v>91</v>
      </c>
      <c r="KKL222" s="40" t="s">
        <v>91</v>
      </c>
      <c r="KKM222" s="40" t="s">
        <v>91</v>
      </c>
      <c r="KKN222" s="40" t="s">
        <v>91</v>
      </c>
      <c r="KKO222" s="40" t="s">
        <v>91</v>
      </c>
      <c r="KKP222" s="40" t="s">
        <v>91</v>
      </c>
      <c r="KKQ222" s="40" t="s">
        <v>91</v>
      </c>
      <c r="KKR222" s="40" t="s">
        <v>91</v>
      </c>
      <c r="KKS222" s="40" t="s">
        <v>91</v>
      </c>
      <c r="KKT222" s="40" t="s">
        <v>91</v>
      </c>
      <c r="KKU222" s="40" t="s">
        <v>91</v>
      </c>
      <c r="KKV222" s="40" t="s">
        <v>91</v>
      </c>
      <c r="KKW222" s="40" t="s">
        <v>91</v>
      </c>
      <c r="KKX222" s="40" t="s">
        <v>91</v>
      </c>
      <c r="KKY222" s="40" t="s">
        <v>91</v>
      </c>
      <c r="KKZ222" s="40" t="s">
        <v>91</v>
      </c>
      <c r="KLA222" s="40" t="s">
        <v>91</v>
      </c>
      <c r="KLB222" s="40" t="s">
        <v>91</v>
      </c>
      <c r="KLC222" s="40" t="s">
        <v>91</v>
      </c>
      <c r="KLD222" s="40" t="s">
        <v>91</v>
      </c>
      <c r="KLE222" s="40" t="s">
        <v>91</v>
      </c>
      <c r="KLF222" s="40" t="s">
        <v>91</v>
      </c>
      <c r="KLG222" s="40" t="s">
        <v>91</v>
      </c>
      <c r="KLH222" s="40" t="s">
        <v>91</v>
      </c>
      <c r="KLI222" s="40" t="s">
        <v>91</v>
      </c>
      <c r="KLJ222" s="40" t="s">
        <v>91</v>
      </c>
      <c r="KLK222" s="40" t="s">
        <v>91</v>
      </c>
      <c r="KLL222" s="40" t="s">
        <v>91</v>
      </c>
      <c r="KLM222" s="40" t="s">
        <v>91</v>
      </c>
      <c r="KLN222" s="40" t="s">
        <v>91</v>
      </c>
      <c r="KLO222" s="40" t="s">
        <v>91</v>
      </c>
      <c r="KLP222" s="40" t="s">
        <v>91</v>
      </c>
      <c r="KLQ222" s="40" t="s">
        <v>91</v>
      </c>
      <c r="KLR222" s="40" t="s">
        <v>91</v>
      </c>
      <c r="KLS222" s="40" t="s">
        <v>91</v>
      </c>
      <c r="KLT222" s="40" t="s">
        <v>91</v>
      </c>
      <c r="KLU222" s="40" t="s">
        <v>91</v>
      </c>
      <c r="KLV222" s="40" t="s">
        <v>91</v>
      </c>
      <c r="KLW222" s="40" t="s">
        <v>91</v>
      </c>
      <c r="KLX222" s="40" t="s">
        <v>91</v>
      </c>
      <c r="KLY222" s="40" t="s">
        <v>91</v>
      </c>
      <c r="KLZ222" s="40" t="s">
        <v>91</v>
      </c>
      <c r="KMA222" s="40" t="s">
        <v>91</v>
      </c>
      <c r="KMB222" s="40" t="s">
        <v>91</v>
      </c>
      <c r="KMC222" s="40" t="s">
        <v>91</v>
      </c>
      <c r="KMD222" s="40" t="s">
        <v>91</v>
      </c>
      <c r="KME222" s="40" t="s">
        <v>91</v>
      </c>
      <c r="KMF222" s="40" t="s">
        <v>91</v>
      </c>
      <c r="KMG222" s="40" t="s">
        <v>91</v>
      </c>
      <c r="KMH222" s="40" t="s">
        <v>91</v>
      </c>
      <c r="KMI222" s="40" t="s">
        <v>91</v>
      </c>
      <c r="KMJ222" s="40" t="s">
        <v>91</v>
      </c>
      <c r="KMK222" s="40" t="s">
        <v>91</v>
      </c>
      <c r="KML222" s="40" t="s">
        <v>91</v>
      </c>
      <c r="KMM222" s="40" t="s">
        <v>91</v>
      </c>
      <c r="KMN222" s="40" t="s">
        <v>91</v>
      </c>
      <c r="KMO222" s="40" t="s">
        <v>91</v>
      </c>
      <c r="KMP222" s="40" t="s">
        <v>91</v>
      </c>
      <c r="KMQ222" s="40" t="s">
        <v>91</v>
      </c>
      <c r="KMR222" s="40" t="s">
        <v>91</v>
      </c>
      <c r="KMS222" s="40" t="s">
        <v>91</v>
      </c>
      <c r="KMT222" s="40" t="s">
        <v>91</v>
      </c>
      <c r="KMU222" s="40" t="s">
        <v>91</v>
      </c>
      <c r="KMV222" s="40" t="s">
        <v>91</v>
      </c>
      <c r="KMW222" s="40" t="s">
        <v>91</v>
      </c>
      <c r="KMX222" s="40" t="s">
        <v>91</v>
      </c>
      <c r="KMY222" s="40" t="s">
        <v>91</v>
      </c>
      <c r="KMZ222" s="40" t="s">
        <v>91</v>
      </c>
      <c r="KNA222" s="40" t="s">
        <v>91</v>
      </c>
      <c r="KNB222" s="40" t="s">
        <v>91</v>
      </c>
      <c r="KNC222" s="40" t="s">
        <v>91</v>
      </c>
      <c r="KND222" s="40" t="s">
        <v>91</v>
      </c>
      <c r="KNE222" s="40" t="s">
        <v>91</v>
      </c>
      <c r="KNF222" s="40" t="s">
        <v>91</v>
      </c>
      <c r="KNG222" s="40" t="s">
        <v>91</v>
      </c>
      <c r="KNH222" s="40" t="s">
        <v>91</v>
      </c>
      <c r="KNI222" s="40" t="s">
        <v>91</v>
      </c>
      <c r="KNJ222" s="40" t="s">
        <v>91</v>
      </c>
      <c r="KNK222" s="40" t="s">
        <v>91</v>
      </c>
      <c r="KNL222" s="40" t="s">
        <v>91</v>
      </c>
      <c r="KNM222" s="40" t="s">
        <v>91</v>
      </c>
      <c r="KNN222" s="40" t="s">
        <v>91</v>
      </c>
      <c r="KNO222" s="40" t="s">
        <v>91</v>
      </c>
      <c r="KNP222" s="40" t="s">
        <v>91</v>
      </c>
      <c r="KNQ222" s="40" t="s">
        <v>91</v>
      </c>
      <c r="KNR222" s="40" t="s">
        <v>91</v>
      </c>
      <c r="KNS222" s="40" t="s">
        <v>91</v>
      </c>
      <c r="KNT222" s="40" t="s">
        <v>91</v>
      </c>
      <c r="KNU222" s="40" t="s">
        <v>91</v>
      </c>
      <c r="KNV222" s="40" t="s">
        <v>91</v>
      </c>
      <c r="KNW222" s="40" t="s">
        <v>91</v>
      </c>
      <c r="KNX222" s="40" t="s">
        <v>91</v>
      </c>
      <c r="KNY222" s="40" t="s">
        <v>91</v>
      </c>
      <c r="KNZ222" s="40" t="s">
        <v>91</v>
      </c>
      <c r="KOA222" s="40" t="s">
        <v>91</v>
      </c>
      <c r="KOB222" s="40" t="s">
        <v>91</v>
      </c>
      <c r="KOC222" s="40" t="s">
        <v>91</v>
      </c>
      <c r="KOD222" s="40" t="s">
        <v>91</v>
      </c>
      <c r="KOE222" s="40" t="s">
        <v>91</v>
      </c>
      <c r="KOF222" s="40" t="s">
        <v>91</v>
      </c>
      <c r="KOG222" s="40" t="s">
        <v>91</v>
      </c>
      <c r="KOH222" s="40" t="s">
        <v>91</v>
      </c>
      <c r="KOI222" s="40" t="s">
        <v>91</v>
      </c>
      <c r="KOJ222" s="40" t="s">
        <v>91</v>
      </c>
      <c r="KOK222" s="40" t="s">
        <v>91</v>
      </c>
      <c r="KOL222" s="40" t="s">
        <v>91</v>
      </c>
      <c r="KOM222" s="40" t="s">
        <v>91</v>
      </c>
      <c r="KON222" s="40" t="s">
        <v>91</v>
      </c>
      <c r="KOO222" s="40" t="s">
        <v>91</v>
      </c>
      <c r="KOP222" s="40" t="s">
        <v>91</v>
      </c>
      <c r="KOQ222" s="40" t="s">
        <v>91</v>
      </c>
      <c r="KOR222" s="40" t="s">
        <v>91</v>
      </c>
      <c r="KOS222" s="40" t="s">
        <v>91</v>
      </c>
      <c r="KOT222" s="40" t="s">
        <v>91</v>
      </c>
      <c r="KOU222" s="40" t="s">
        <v>91</v>
      </c>
      <c r="KOV222" s="40" t="s">
        <v>91</v>
      </c>
      <c r="KOW222" s="40" t="s">
        <v>91</v>
      </c>
      <c r="KOX222" s="40" t="s">
        <v>91</v>
      </c>
      <c r="KOY222" s="40" t="s">
        <v>91</v>
      </c>
      <c r="KOZ222" s="40" t="s">
        <v>91</v>
      </c>
      <c r="KPA222" s="40" t="s">
        <v>91</v>
      </c>
      <c r="KPB222" s="40" t="s">
        <v>91</v>
      </c>
      <c r="KPC222" s="40" t="s">
        <v>91</v>
      </c>
      <c r="KPD222" s="40" t="s">
        <v>91</v>
      </c>
      <c r="KPE222" s="40" t="s">
        <v>91</v>
      </c>
      <c r="KPF222" s="40" t="s">
        <v>91</v>
      </c>
      <c r="KPG222" s="40" t="s">
        <v>91</v>
      </c>
      <c r="KPH222" s="40" t="s">
        <v>91</v>
      </c>
      <c r="KPI222" s="40" t="s">
        <v>91</v>
      </c>
      <c r="KPJ222" s="40" t="s">
        <v>91</v>
      </c>
      <c r="KPK222" s="40" t="s">
        <v>91</v>
      </c>
      <c r="KPL222" s="40" t="s">
        <v>91</v>
      </c>
      <c r="KPM222" s="40" t="s">
        <v>91</v>
      </c>
      <c r="KPN222" s="40" t="s">
        <v>91</v>
      </c>
      <c r="KPO222" s="40" t="s">
        <v>91</v>
      </c>
      <c r="KPP222" s="40" t="s">
        <v>91</v>
      </c>
      <c r="KPQ222" s="40" t="s">
        <v>91</v>
      </c>
      <c r="KPR222" s="40" t="s">
        <v>91</v>
      </c>
      <c r="KPS222" s="40" t="s">
        <v>91</v>
      </c>
      <c r="KPT222" s="40" t="s">
        <v>91</v>
      </c>
      <c r="KPU222" s="40" t="s">
        <v>91</v>
      </c>
      <c r="KPV222" s="40" t="s">
        <v>91</v>
      </c>
      <c r="KPW222" s="40" t="s">
        <v>91</v>
      </c>
      <c r="KPX222" s="40" t="s">
        <v>91</v>
      </c>
      <c r="KPY222" s="40" t="s">
        <v>91</v>
      </c>
      <c r="KPZ222" s="40" t="s">
        <v>91</v>
      </c>
      <c r="KQA222" s="40" t="s">
        <v>91</v>
      </c>
      <c r="KQB222" s="40" t="s">
        <v>91</v>
      </c>
      <c r="KQC222" s="40" t="s">
        <v>91</v>
      </c>
      <c r="KQD222" s="40" t="s">
        <v>91</v>
      </c>
      <c r="KQE222" s="40" t="s">
        <v>91</v>
      </c>
      <c r="KQF222" s="40" t="s">
        <v>91</v>
      </c>
      <c r="KQG222" s="40" t="s">
        <v>91</v>
      </c>
      <c r="KQH222" s="40" t="s">
        <v>91</v>
      </c>
      <c r="KQI222" s="40" t="s">
        <v>91</v>
      </c>
      <c r="KQJ222" s="40" t="s">
        <v>91</v>
      </c>
      <c r="KQK222" s="40" t="s">
        <v>91</v>
      </c>
      <c r="KQL222" s="40" t="s">
        <v>91</v>
      </c>
      <c r="KQM222" s="40" t="s">
        <v>91</v>
      </c>
      <c r="KQN222" s="40" t="s">
        <v>91</v>
      </c>
      <c r="KQO222" s="40" t="s">
        <v>91</v>
      </c>
      <c r="KQP222" s="40" t="s">
        <v>91</v>
      </c>
      <c r="KQQ222" s="40" t="s">
        <v>91</v>
      </c>
      <c r="KQR222" s="40" t="s">
        <v>91</v>
      </c>
      <c r="KQS222" s="40" t="s">
        <v>91</v>
      </c>
      <c r="KQT222" s="40" t="s">
        <v>91</v>
      </c>
      <c r="KQU222" s="40" t="s">
        <v>91</v>
      </c>
      <c r="KQV222" s="40" t="s">
        <v>91</v>
      </c>
      <c r="KQW222" s="40" t="s">
        <v>91</v>
      </c>
      <c r="KQX222" s="40" t="s">
        <v>91</v>
      </c>
      <c r="KQY222" s="40" t="s">
        <v>91</v>
      </c>
      <c r="KQZ222" s="40" t="s">
        <v>91</v>
      </c>
      <c r="KRA222" s="40" t="s">
        <v>91</v>
      </c>
      <c r="KRB222" s="40" t="s">
        <v>91</v>
      </c>
      <c r="KRC222" s="40" t="s">
        <v>91</v>
      </c>
      <c r="KRD222" s="40" t="s">
        <v>91</v>
      </c>
      <c r="KRE222" s="40" t="s">
        <v>91</v>
      </c>
      <c r="KRF222" s="40" t="s">
        <v>91</v>
      </c>
      <c r="KRG222" s="40" t="s">
        <v>91</v>
      </c>
      <c r="KRH222" s="40" t="s">
        <v>91</v>
      </c>
      <c r="KRI222" s="40" t="s">
        <v>91</v>
      </c>
      <c r="KRJ222" s="40" t="s">
        <v>91</v>
      </c>
      <c r="KRK222" s="40" t="s">
        <v>91</v>
      </c>
      <c r="KRL222" s="40" t="s">
        <v>91</v>
      </c>
      <c r="KRM222" s="40" t="s">
        <v>91</v>
      </c>
      <c r="KRN222" s="40" t="s">
        <v>91</v>
      </c>
      <c r="KRO222" s="40" t="s">
        <v>91</v>
      </c>
      <c r="KRP222" s="40" t="s">
        <v>91</v>
      </c>
      <c r="KRQ222" s="40" t="s">
        <v>91</v>
      </c>
      <c r="KRR222" s="40" t="s">
        <v>91</v>
      </c>
      <c r="KRS222" s="40" t="s">
        <v>91</v>
      </c>
      <c r="KRT222" s="40" t="s">
        <v>91</v>
      </c>
      <c r="KRU222" s="40" t="s">
        <v>91</v>
      </c>
      <c r="KRV222" s="40" t="s">
        <v>91</v>
      </c>
      <c r="KRW222" s="40" t="s">
        <v>91</v>
      </c>
      <c r="KRX222" s="40" t="s">
        <v>91</v>
      </c>
      <c r="KRY222" s="40" t="s">
        <v>91</v>
      </c>
      <c r="KRZ222" s="40" t="s">
        <v>91</v>
      </c>
      <c r="KSA222" s="40" t="s">
        <v>91</v>
      </c>
      <c r="KSB222" s="40" t="s">
        <v>91</v>
      </c>
      <c r="KSC222" s="40" t="s">
        <v>91</v>
      </c>
      <c r="KSD222" s="40" t="s">
        <v>91</v>
      </c>
      <c r="KSE222" s="40" t="s">
        <v>91</v>
      </c>
      <c r="KSF222" s="40" t="s">
        <v>91</v>
      </c>
      <c r="KSG222" s="40" t="s">
        <v>91</v>
      </c>
      <c r="KSH222" s="40" t="s">
        <v>91</v>
      </c>
      <c r="KSI222" s="40" t="s">
        <v>91</v>
      </c>
      <c r="KSJ222" s="40" t="s">
        <v>91</v>
      </c>
      <c r="KSK222" s="40" t="s">
        <v>91</v>
      </c>
      <c r="KSL222" s="40" t="s">
        <v>91</v>
      </c>
      <c r="KSM222" s="40" t="s">
        <v>91</v>
      </c>
      <c r="KSN222" s="40" t="s">
        <v>91</v>
      </c>
      <c r="KSO222" s="40" t="s">
        <v>91</v>
      </c>
      <c r="KSP222" s="40" t="s">
        <v>91</v>
      </c>
      <c r="KSQ222" s="40" t="s">
        <v>91</v>
      </c>
      <c r="KSR222" s="40" t="s">
        <v>91</v>
      </c>
      <c r="KSS222" s="40" t="s">
        <v>91</v>
      </c>
      <c r="KST222" s="40" t="s">
        <v>91</v>
      </c>
      <c r="KSU222" s="40" t="s">
        <v>91</v>
      </c>
      <c r="KSV222" s="40" t="s">
        <v>91</v>
      </c>
      <c r="KSW222" s="40" t="s">
        <v>91</v>
      </c>
      <c r="KSX222" s="40" t="s">
        <v>91</v>
      </c>
      <c r="KSY222" s="40" t="s">
        <v>91</v>
      </c>
      <c r="KSZ222" s="40" t="s">
        <v>91</v>
      </c>
      <c r="KTA222" s="40" t="s">
        <v>91</v>
      </c>
      <c r="KTB222" s="40" t="s">
        <v>91</v>
      </c>
      <c r="KTC222" s="40" t="s">
        <v>91</v>
      </c>
      <c r="KTD222" s="40" t="s">
        <v>91</v>
      </c>
      <c r="KTE222" s="40" t="s">
        <v>91</v>
      </c>
      <c r="KTF222" s="40" t="s">
        <v>91</v>
      </c>
      <c r="KTG222" s="40" t="s">
        <v>91</v>
      </c>
      <c r="KTH222" s="40" t="s">
        <v>91</v>
      </c>
      <c r="KTI222" s="40" t="s">
        <v>91</v>
      </c>
      <c r="KTJ222" s="40" t="s">
        <v>91</v>
      </c>
      <c r="KTK222" s="40" t="s">
        <v>91</v>
      </c>
      <c r="KTL222" s="40" t="s">
        <v>91</v>
      </c>
      <c r="KTM222" s="40" t="s">
        <v>91</v>
      </c>
      <c r="KTN222" s="40" t="s">
        <v>91</v>
      </c>
      <c r="KTO222" s="40" t="s">
        <v>91</v>
      </c>
      <c r="KTP222" s="40" t="s">
        <v>91</v>
      </c>
      <c r="KTQ222" s="40" t="s">
        <v>91</v>
      </c>
      <c r="KTR222" s="40" t="s">
        <v>91</v>
      </c>
      <c r="KTS222" s="40" t="s">
        <v>91</v>
      </c>
      <c r="KTT222" s="40" t="s">
        <v>91</v>
      </c>
      <c r="KTU222" s="40" t="s">
        <v>91</v>
      </c>
      <c r="KTV222" s="40" t="s">
        <v>91</v>
      </c>
      <c r="KTW222" s="40" t="s">
        <v>91</v>
      </c>
      <c r="KTX222" s="40" t="s">
        <v>91</v>
      </c>
      <c r="KTY222" s="40" t="s">
        <v>91</v>
      </c>
      <c r="KTZ222" s="40" t="s">
        <v>91</v>
      </c>
      <c r="KUA222" s="40" t="s">
        <v>91</v>
      </c>
      <c r="KUB222" s="40" t="s">
        <v>91</v>
      </c>
      <c r="KUC222" s="40" t="s">
        <v>91</v>
      </c>
      <c r="KUD222" s="40" t="s">
        <v>91</v>
      </c>
      <c r="KUE222" s="40" t="s">
        <v>91</v>
      </c>
      <c r="KUF222" s="40" t="s">
        <v>91</v>
      </c>
      <c r="KUG222" s="40" t="s">
        <v>91</v>
      </c>
      <c r="KUH222" s="40" t="s">
        <v>91</v>
      </c>
      <c r="KUI222" s="40" t="s">
        <v>91</v>
      </c>
      <c r="KUJ222" s="40" t="s">
        <v>91</v>
      </c>
      <c r="KUK222" s="40" t="s">
        <v>91</v>
      </c>
      <c r="KUL222" s="40" t="s">
        <v>91</v>
      </c>
      <c r="KUM222" s="40" t="s">
        <v>91</v>
      </c>
      <c r="KUN222" s="40" t="s">
        <v>91</v>
      </c>
      <c r="KUO222" s="40" t="s">
        <v>91</v>
      </c>
      <c r="KUP222" s="40" t="s">
        <v>91</v>
      </c>
      <c r="KUQ222" s="40" t="s">
        <v>91</v>
      </c>
      <c r="KUR222" s="40" t="s">
        <v>91</v>
      </c>
      <c r="KUS222" s="40" t="s">
        <v>91</v>
      </c>
      <c r="KUT222" s="40" t="s">
        <v>91</v>
      </c>
      <c r="KUU222" s="40" t="s">
        <v>91</v>
      </c>
      <c r="KUV222" s="40" t="s">
        <v>91</v>
      </c>
      <c r="KUW222" s="40" t="s">
        <v>91</v>
      </c>
      <c r="KUX222" s="40" t="s">
        <v>91</v>
      </c>
      <c r="KUY222" s="40" t="s">
        <v>91</v>
      </c>
      <c r="KUZ222" s="40" t="s">
        <v>91</v>
      </c>
      <c r="KVA222" s="40" t="s">
        <v>91</v>
      </c>
      <c r="KVB222" s="40" t="s">
        <v>91</v>
      </c>
      <c r="KVC222" s="40" t="s">
        <v>91</v>
      </c>
      <c r="KVD222" s="40" t="s">
        <v>91</v>
      </c>
      <c r="KVE222" s="40" t="s">
        <v>91</v>
      </c>
      <c r="KVF222" s="40" t="s">
        <v>91</v>
      </c>
      <c r="KVG222" s="40" t="s">
        <v>91</v>
      </c>
      <c r="KVH222" s="40" t="s">
        <v>91</v>
      </c>
      <c r="KVI222" s="40" t="s">
        <v>91</v>
      </c>
      <c r="KVJ222" s="40" t="s">
        <v>91</v>
      </c>
      <c r="KVK222" s="40" t="s">
        <v>91</v>
      </c>
      <c r="KVL222" s="40" t="s">
        <v>91</v>
      </c>
      <c r="KVM222" s="40" t="s">
        <v>91</v>
      </c>
      <c r="KVN222" s="40" t="s">
        <v>91</v>
      </c>
      <c r="KVO222" s="40" t="s">
        <v>91</v>
      </c>
      <c r="KVP222" s="40" t="s">
        <v>91</v>
      </c>
      <c r="KVQ222" s="40" t="s">
        <v>91</v>
      </c>
      <c r="KVR222" s="40" t="s">
        <v>91</v>
      </c>
      <c r="KVS222" s="40" t="s">
        <v>91</v>
      </c>
      <c r="KVT222" s="40" t="s">
        <v>91</v>
      </c>
      <c r="KVU222" s="40" t="s">
        <v>91</v>
      </c>
      <c r="KVV222" s="40" t="s">
        <v>91</v>
      </c>
      <c r="KVW222" s="40" t="s">
        <v>91</v>
      </c>
      <c r="KVX222" s="40" t="s">
        <v>91</v>
      </c>
      <c r="KVY222" s="40" t="s">
        <v>91</v>
      </c>
      <c r="KVZ222" s="40" t="s">
        <v>91</v>
      </c>
      <c r="KWA222" s="40" t="s">
        <v>91</v>
      </c>
      <c r="KWB222" s="40" t="s">
        <v>91</v>
      </c>
      <c r="KWC222" s="40" t="s">
        <v>91</v>
      </c>
      <c r="KWD222" s="40" t="s">
        <v>91</v>
      </c>
      <c r="KWE222" s="40" t="s">
        <v>91</v>
      </c>
      <c r="KWF222" s="40" t="s">
        <v>91</v>
      </c>
      <c r="KWG222" s="40" t="s">
        <v>91</v>
      </c>
      <c r="KWH222" s="40" t="s">
        <v>91</v>
      </c>
      <c r="KWI222" s="40" t="s">
        <v>91</v>
      </c>
      <c r="KWJ222" s="40" t="s">
        <v>91</v>
      </c>
      <c r="KWK222" s="40" t="s">
        <v>91</v>
      </c>
      <c r="KWL222" s="40" t="s">
        <v>91</v>
      </c>
      <c r="KWM222" s="40" t="s">
        <v>91</v>
      </c>
      <c r="KWN222" s="40" t="s">
        <v>91</v>
      </c>
      <c r="KWO222" s="40" t="s">
        <v>91</v>
      </c>
      <c r="KWP222" s="40" t="s">
        <v>91</v>
      </c>
      <c r="KWQ222" s="40" t="s">
        <v>91</v>
      </c>
      <c r="KWR222" s="40" t="s">
        <v>91</v>
      </c>
      <c r="KWS222" s="40" t="s">
        <v>91</v>
      </c>
      <c r="KWT222" s="40" t="s">
        <v>91</v>
      </c>
      <c r="KWU222" s="40" t="s">
        <v>91</v>
      </c>
      <c r="KWV222" s="40" t="s">
        <v>91</v>
      </c>
      <c r="KWW222" s="40" t="s">
        <v>91</v>
      </c>
      <c r="KWX222" s="40" t="s">
        <v>91</v>
      </c>
      <c r="KWY222" s="40" t="s">
        <v>91</v>
      </c>
      <c r="KWZ222" s="40" t="s">
        <v>91</v>
      </c>
      <c r="KXA222" s="40" t="s">
        <v>91</v>
      </c>
      <c r="KXB222" s="40" t="s">
        <v>91</v>
      </c>
      <c r="KXC222" s="40" t="s">
        <v>91</v>
      </c>
      <c r="KXD222" s="40" t="s">
        <v>91</v>
      </c>
      <c r="KXE222" s="40" t="s">
        <v>91</v>
      </c>
      <c r="KXF222" s="40" t="s">
        <v>91</v>
      </c>
      <c r="KXG222" s="40" t="s">
        <v>91</v>
      </c>
      <c r="KXH222" s="40" t="s">
        <v>91</v>
      </c>
      <c r="KXI222" s="40" t="s">
        <v>91</v>
      </c>
      <c r="KXJ222" s="40" t="s">
        <v>91</v>
      </c>
      <c r="KXK222" s="40" t="s">
        <v>91</v>
      </c>
      <c r="KXL222" s="40" t="s">
        <v>91</v>
      </c>
      <c r="KXM222" s="40" t="s">
        <v>91</v>
      </c>
      <c r="KXN222" s="40" t="s">
        <v>91</v>
      </c>
      <c r="KXO222" s="40" t="s">
        <v>91</v>
      </c>
      <c r="KXP222" s="40" t="s">
        <v>91</v>
      </c>
      <c r="KXQ222" s="40" t="s">
        <v>91</v>
      </c>
      <c r="KXR222" s="40" t="s">
        <v>91</v>
      </c>
      <c r="KXS222" s="40" t="s">
        <v>91</v>
      </c>
      <c r="KXT222" s="40" t="s">
        <v>91</v>
      </c>
      <c r="KXU222" s="40" t="s">
        <v>91</v>
      </c>
      <c r="KXV222" s="40" t="s">
        <v>91</v>
      </c>
      <c r="KXW222" s="40" t="s">
        <v>91</v>
      </c>
      <c r="KXX222" s="40" t="s">
        <v>91</v>
      </c>
      <c r="KXY222" s="40" t="s">
        <v>91</v>
      </c>
      <c r="KXZ222" s="40" t="s">
        <v>91</v>
      </c>
      <c r="KYA222" s="40" t="s">
        <v>91</v>
      </c>
      <c r="KYB222" s="40" t="s">
        <v>91</v>
      </c>
      <c r="KYC222" s="40" t="s">
        <v>91</v>
      </c>
      <c r="KYD222" s="40" t="s">
        <v>91</v>
      </c>
      <c r="KYE222" s="40" t="s">
        <v>91</v>
      </c>
      <c r="KYF222" s="40" t="s">
        <v>91</v>
      </c>
      <c r="KYG222" s="40" t="s">
        <v>91</v>
      </c>
      <c r="KYH222" s="40" t="s">
        <v>91</v>
      </c>
      <c r="KYI222" s="40" t="s">
        <v>91</v>
      </c>
      <c r="KYJ222" s="40" t="s">
        <v>91</v>
      </c>
      <c r="KYK222" s="40" t="s">
        <v>91</v>
      </c>
      <c r="KYL222" s="40" t="s">
        <v>91</v>
      </c>
      <c r="KYM222" s="40" t="s">
        <v>91</v>
      </c>
      <c r="KYN222" s="40" t="s">
        <v>91</v>
      </c>
      <c r="KYO222" s="40" t="s">
        <v>91</v>
      </c>
      <c r="KYP222" s="40" t="s">
        <v>91</v>
      </c>
      <c r="KYQ222" s="40" t="s">
        <v>91</v>
      </c>
      <c r="KYR222" s="40" t="s">
        <v>91</v>
      </c>
      <c r="KYS222" s="40" t="s">
        <v>91</v>
      </c>
      <c r="KYT222" s="40" t="s">
        <v>91</v>
      </c>
      <c r="KYU222" s="40" t="s">
        <v>91</v>
      </c>
      <c r="KYV222" s="40" t="s">
        <v>91</v>
      </c>
      <c r="KYW222" s="40" t="s">
        <v>91</v>
      </c>
      <c r="KYX222" s="40" t="s">
        <v>91</v>
      </c>
      <c r="KYY222" s="40" t="s">
        <v>91</v>
      </c>
      <c r="KYZ222" s="40" t="s">
        <v>91</v>
      </c>
      <c r="KZA222" s="40" t="s">
        <v>91</v>
      </c>
      <c r="KZB222" s="40" t="s">
        <v>91</v>
      </c>
      <c r="KZC222" s="40" t="s">
        <v>91</v>
      </c>
      <c r="KZD222" s="40" t="s">
        <v>91</v>
      </c>
      <c r="KZE222" s="40" t="s">
        <v>91</v>
      </c>
      <c r="KZF222" s="40" t="s">
        <v>91</v>
      </c>
      <c r="KZG222" s="40" t="s">
        <v>91</v>
      </c>
      <c r="KZH222" s="40" t="s">
        <v>91</v>
      </c>
      <c r="KZI222" s="40" t="s">
        <v>91</v>
      </c>
      <c r="KZJ222" s="40" t="s">
        <v>91</v>
      </c>
      <c r="KZK222" s="40" t="s">
        <v>91</v>
      </c>
      <c r="KZL222" s="40" t="s">
        <v>91</v>
      </c>
      <c r="KZM222" s="40" t="s">
        <v>91</v>
      </c>
      <c r="KZN222" s="40" t="s">
        <v>91</v>
      </c>
      <c r="KZO222" s="40" t="s">
        <v>91</v>
      </c>
      <c r="KZP222" s="40" t="s">
        <v>91</v>
      </c>
      <c r="KZQ222" s="40" t="s">
        <v>91</v>
      </c>
      <c r="KZR222" s="40" t="s">
        <v>91</v>
      </c>
      <c r="KZS222" s="40" t="s">
        <v>91</v>
      </c>
      <c r="KZT222" s="40" t="s">
        <v>91</v>
      </c>
      <c r="KZU222" s="40" t="s">
        <v>91</v>
      </c>
      <c r="KZV222" s="40" t="s">
        <v>91</v>
      </c>
      <c r="KZW222" s="40" t="s">
        <v>91</v>
      </c>
      <c r="KZX222" s="40" t="s">
        <v>91</v>
      </c>
      <c r="KZY222" s="40" t="s">
        <v>91</v>
      </c>
      <c r="KZZ222" s="40" t="s">
        <v>91</v>
      </c>
      <c r="LAA222" s="40" t="s">
        <v>91</v>
      </c>
      <c r="LAB222" s="40" t="s">
        <v>91</v>
      </c>
      <c r="LAC222" s="40" t="s">
        <v>91</v>
      </c>
      <c r="LAD222" s="40" t="s">
        <v>91</v>
      </c>
      <c r="LAE222" s="40" t="s">
        <v>91</v>
      </c>
      <c r="LAF222" s="40" t="s">
        <v>91</v>
      </c>
      <c r="LAG222" s="40" t="s">
        <v>91</v>
      </c>
      <c r="LAH222" s="40" t="s">
        <v>91</v>
      </c>
      <c r="LAI222" s="40" t="s">
        <v>91</v>
      </c>
      <c r="LAJ222" s="40" t="s">
        <v>91</v>
      </c>
      <c r="LAK222" s="40" t="s">
        <v>91</v>
      </c>
      <c r="LAL222" s="40" t="s">
        <v>91</v>
      </c>
      <c r="LAM222" s="40" t="s">
        <v>91</v>
      </c>
      <c r="LAN222" s="40" t="s">
        <v>91</v>
      </c>
      <c r="LAO222" s="40" t="s">
        <v>91</v>
      </c>
      <c r="LAP222" s="40" t="s">
        <v>91</v>
      </c>
      <c r="LAQ222" s="40" t="s">
        <v>91</v>
      </c>
      <c r="LAR222" s="40" t="s">
        <v>91</v>
      </c>
      <c r="LAS222" s="40" t="s">
        <v>91</v>
      </c>
      <c r="LAT222" s="40" t="s">
        <v>91</v>
      </c>
      <c r="LAU222" s="40" t="s">
        <v>91</v>
      </c>
      <c r="LAV222" s="40" t="s">
        <v>91</v>
      </c>
      <c r="LAW222" s="40" t="s">
        <v>91</v>
      </c>
      <c r="LAX222" s="40" t="s">
        <v>91</v>
      </c>
      <c r="LAY222" s="40" t="s">
        <v>91</v>
      </c>
      <c r="LAZ222" s="40" t="s">
        <v>91</v>
      </c>
      <c r="LBA222" s="40" t="s">
        <v>91</v>
      </c>
      <c r="LBB222" s="40" t="s">
        <v>91</v>
      </c>
      <c r="LBC222" s="40" t="s">
        <v>91</v>
      </c>
      <c r="LBD222" s="40" t="s">
        <v>91</v>
      </c>
      <c r="LBE222" s="40" t="s">
        <v>91</v>
      </c>
      <c r="LBF222" s="40" t="s">
        <v>91</v>
      </c>
      <c r="LBG222" s="40" t="s">
        <v>91</v>
      </c>
      <c r="LBH222" s="40" t="s">
        <v>91</v>
      </c>
      <c r="LBI222" s="40" t="s">
        <v>91</v>
      </c>
      <c r="LBJ222" s="40" t="s">
        <v>91</v>
      </c>
      <c r="LBK222" s="40" t="s">
        <v>91</v>
      </c>
      <c r="LBL222" s="40" t="s">
        <v>91</v>
      </c>
      <c r="LBM222" s="40" t="s">
        <v>91</v>
      </c>
      <c r="LBN222" s="40" t="s">
        <v>91</v>
      </c>
      <c r="LBO222" s="40" t="s">
        <v>91</v>
      </c>
      <c r="LBP222" s="40" t="s">
        <v>91</v>
      </c>
      <c r="LBQ222" s="40" t="s">
        <v>91</v>
      </c>
      <c r="LBR222" s="40" t="s">
        <v>91</v>
      </c>
      <c r="LBS222" s="40" t="s">
        <v>91</v>
      </c>
      <c r="LBT222" s="40" t="s">
        <v>91</v>
      </c>
      <c r="LBU222" s="40" t="s">
        <v>91</v>
      </c>
      <c r="LBV222" s="40" t="s">
        <v>91</v>
      </c>
      <c r="LBW222" s="40" t="s">
        <v>91</v>
      </c>
      <c r="LBX222" s="40" t="s">
        <v>91</v>
      </c>
      <c r="LBY222" s="40" t="s">
        <v>91</v>
      </c>
      <c r="LBZ222" s="40" t="s">
        <v>91</v>
      </c>
      <c r="LCA222" s="40" t="s">
        <v>91</v>
      </c>
      <c r="LCB222" s="40" t="s">
        <v>91</v>
      </c>
      <c r="LCC222" s="40" t="s">
        <v>91</v>
      </c>
      <c r="LCD222" s="40" t="s">
        <v>91</v>
      </c>
      <c r="LCE222" s="40" t="s">
        <v>91</v>
      </c>
      <c r="LCF222" s="40" t="s">
        <v>91</v>
      </c>
      <c r="LCG222" s="40" t="s">
        <v>91</v>
      </c>
      <c r="LCH222" s="40" t="s">
        <v>91</v>
      </c>
      <c r="LCI222" s="40" t="s">
        <v>91</v>
      </c>
      <c r="LCJ222" s="40" t="s">
        <v>91</v>
      </c>
      <c r="LCK222" s="40" t="s">
        <v>91</v>
      </c>
      <c r="LCL222" s="40" t="s">
        <v>91</v>
      </c>
      <c r="LCM222" s="40" t="s">
        <v>91</v>
      </c>
      <c r="LCN222" s="40" t="s">
        <v>91</v>
      </c>
      <c r="LCO222" s="40" t="s">
        <v>91</v>
      </c>
      <c r="LCP222" s="40" t="s">
        <v>91</v>
      </c>
      <c r="LCQ222" s="40" t="s">
        <v>91</v>
      </c>
      <c r="LCR222" s="40" t="s">
        <v>91</v>
      </c>
      <c r="LCS222" s="40" t="s">
        <v>91</v>
      </c>
      <c r="LCT222" s="40" t="s">
        <v>91</v>
      </c>
      <c r="LCU222" s="40" t="s">
        <v>91</v>
      </c>
      <c r="LCV222" s="40" t="s">
        <v>91</v>
      </c>
      <c r="LCW222" s="40" t="s">
        <v>91</v>
      </c>
      <c r="LCX222" s="40" t="s">
        <v>91</v>
      </c>
      <c r="LCY222" s="40" t="s">
        <v>91</v>
      </c>
      <c r="LCZ222" s="40" t="s">
        <v>91</v>
      </c>
      <c r="LDA222" s="40" t="s">
        <v>91</v>
      </c>
      <c r="LDB222" s="40" t="s">
        <v>91</v>
      </c>
      <c r="LDC222" s="40" t="s">
        <v>91</v>
      </c>
      <c r="LDD222" s="40" t="s">
        <v>91</v>
      </c>
      <c r="LDE222" s="40" t="s">
        <v>91</v>
      </c>
      <c r="LDF222" s="40" t="s">
        <v>91</v>
      </c>
      <c r="LDG222" s="40" t="s">
        <v>91</v>
      </c>
      <c r="LDH222" s="40" t="s">
        <v>91</v>
      </c>
      <c r="LDI222" s="40" t="s">
        <v>91</v>
      </c>
      <c r="LDJ222" s="40" t="s">
        <v>91</v>
      </c>
      <c r="LDK222" s="40" t="s">
        <v>91</v>
      </c>
      <c r="LDL222" s="40" t="s">
        <v>91</v>
      </c>
      <c r="LDM222" s="40" t="s">
        <v>91</v>
      </c>
      <c r="LDN222" s="40" t="s">
        <v>91</v>
      </c>
      <c r="LDO222" s="40" t="s">
        <v>91</v>
      </c>
      <c r="LDP222" s="40" t="s">
        <v>91</v>
      </c>
      <c r="LDQ222" s="40" t="s">
        <v>91</v>
      </c>
      <c r="LDR222" s="40" t="s">
        <v>91</v>
      </c>
      <c r="LDS222" s="40" t="s">
        <v>91</v>
      </c>
      <c r="LDT222" s="40" t="s">
        <v>91</v>
      </c>
      <c r="LDU222" s="40" t="s">
        <v>91</v>
      </c>
      <c r="LDV222" s="40" t="s">
        <v>91</v>
      </c>
      <c r="LDW222" s="40" t="s">
        <v>91</v>
      </c>
      <c r="LDX222" s="40" t="s">
        <v>91</v>
      </c>
      <c r="LDY222" s="40" t="s">
        <v>91</v>
      </c>
      <c r="LDZ222" s="40" t="s">
        <v>91</v>
      </c>
      <c r="LEA222" s="40" t="s">
        <v>91</v>
      </c>
      <c r="LEB222" s="40" t="s">
        <v>91</v>
      </c>
      <c r="LEC222" s="40" t="s">
        <v>91</v>
      </c>
      <c r="LED222" s="40" t="s">
        <v>91</v>
      </c>
      <c r="LEE222" s="40" t="s">
        <v>91</v>
      </c>
      <c r="LEF222" s="40" t="s">
        <v>91</v>
      </c>
      <c r="LEG222" s="40" t="s">
        <v>91</v>
      </c>
      <c r="LEH222" s="40" t="s">
        <v>91</v>
      </c>
      <c r="LEI222" s="40" t="s">
        <v>91</v>
      </c>
      <c r="LEJ222" s="40" t="s">
        <v>91</v>
      </c>
      <c r="LEK222" s="40" t="s">
        <v>91</v>
      </c>
      <c r="LEL222" s="40" t="s">
        <v>91</v>
      </c>
      <c r="LEM222" s="40" t="s">
        <v>91</v>
      </c>
      <c r="LEN222" s="40" t="s">
        <v>91</v>
      </c>
      <c r="LEO222" s="40" t="s">
        <v>91</v>
      </c>
      <c r="LEP222" s="40" t="s">
        <v>91</v>
      </c>
      <c r="LEQ222" s="40" t="s">
        <v>91</v>
      </c>
      <c r="LER222" s="40" t="s">
        <v>91</v>
      </c>
      <c r="LES222" s="40" t="s">
        <v>91</v>
      </c>
      <c r="LET222" s="40" t="s">
        <v>91</v>
      </c>
      <c r="LEU222" s="40" t="s">
        <v>91</v>
      </c>
      <c r="LEV222" s="40" t="s">
        <v>91</v>
      </c>
      <c r="LEW222" s="40" t="s">
        <v>91</v>
      </c>
      <c r="LEX222" s="40" t="s">
        <v>91</v>
      </c>
      <c r="LEY222" s="40" t="s">
        <v>91</v>
      </c>
      <c r="LEZ222" s="40" t="s">
        <v>91</v>
      </c>
      <c r="LFA222" s="40" t="s">
        <v>91</v>
      </c>
      <c r="LFB222" s="40" t="s">
        <v>91</v>
      </c>
      <c r="LFC222" s="40" t="s">
        <v>91</v>
      </c>
      <c r="LFD222" s="40" t="s">
        <v>91</v>
      </c>
      <c r="LFE222" s="40" t="s">
        <v>91</v>
      </c>
      <c r="LFF222" s="40" t="s">
        <v>91</v>
      </c>
      <c r="LFG222" s="40" t="s">
        <v>91</v>
      </c>
      <c r="LFH222" s="40" t="s">
        <v>91</v>
      </c>
      <c r="LFI222" s="40" t="s">
        <v>91</v>
      </c>
      <c r="LFJ222" s="40" t="s">
        <v>91</v>
      </c>
      <c r="LFK222" s="40" t="s">
        <v>91</v>
      </c>
      <c r="LFL222" s="40" t="s">
        <v>91</v>
      </c>
      <c r="LFM222" s="40" t="s">
        <v>91</v>
      </c>
      <c r="LFN222" s="40" t="s">
        <v>91</v>
      </c>
      <c r="LFO222" s="40" t="s">
        <v>91</v>
      </c>
      <c r="LFP222" s="40" t="s">
        <v>91</v>
      </c>
      <c r="LFQ222" s="40" t="s">
        <v>91</v>
      </c>
      <c r="LFR222" s="40" t="s">
        <v>91</v>
      </c>
      <c r="LFS222" s="40" t="s">
        <v>91</v>
      </c>
      <c r="LFT222" s="40" t="s">
        <v>91</v>
      </c>
      <c r="LFU222" s="40" t="s">
        <v>91</v>
      </c>
      <c r="LFV222" s="40" t="s">
        <v>91</v>
      </c>
      <c r="LFW222" s="40" t="s">
        <v>91</v>
      </c>
      <c r="LFX222" s="40" t="s">
        <v>91</v>
      </c>
      <c r="LFY222" s="40" t="s">
        <v>91</v>
      </c>
      <c r="LFZ222" s="40" t="s">
        <v>91</v>
      </c>
      <c r="LGA222" s="40" t="s">
        <v>91</v>
      </c>
      <c r="LGB222" s="40" t="s">
        <v>91</v>
      </c>
      <c r="LGC222" s="40" t="s">
        <v>91</v>
      </c>
      <c r="LGD222" s="40" t="s">
        <v>91</v>
      </c>
      <c r="LGE222" s="40" t="s">
        <v>91</v>
      </c>
      <c r="LGF222" s="40" t="s">
        <v>91</v>
      </c>
      <c r="LGG222" s="40" t="s">
        <v>91</v>
      </c>
      <c r="LGH222" s="40" t="s">
        <v>91</v>
      </c>
      <c r="LGI222" s="40" t="s">
        <v>91</v>
      </c>
      <c r="LGJ222" s="40" t="s">
        <v>91</v>
      </c>
      <c r="LGK222" s="40" t="s">
        <v>91</v>
      </c>
      <c r="LGL222" s="40" t="s">
        <v>91</v>
      </c>
      <c r="LGM222" s="40" t="s">
        <v>91</v>
      </c>
      <c r="LGN222" s="40" t="s">
        <v>91</v>
      </c>
      <c r="LGO222" s="40" t="s">
        <v>91</v>
      </c>
      <c r="LGP222" s="40" t="s">
        <v>91</v>
      </c>
      <c r="LGQ222" s="40" t="s">
        <v>91</v>
      </c>
      <c r="LGR222" s="40" t="s">
        <v>91</v>
      </c>
      <c r="LGS222" s="40" t="s">
        <v>91</v>
      </c>
      <c r="LGT222" s="40" t="s">
        <v>91</v>
      </c>
      <c r="LGU222" s="40" t="s">
        <v>91</v>
      </c>
      <c r="LGV222" s="40" t="s">
        <v>91</v>
      </c>
      <c r="LGW222" s="40" t="s">
        <v>91</v>
      </c>
      <c r="LGX222" s="40" t="s">
        <v>91</v>
      </c>
      <c r="LGY222" s="40" t="s">
        <v>91</v>
      </c>
      <c r="LGZ222" s="40" t="s">
        <v>91</v>
      </c>
      <c r="LHA222" s="40" t="s">
        <v>91</v>
      </c>
      <c r="LHB222" s="40" t="s">
        <v>91</v>
      </c>
      <c r="LHC222" s="40" t="s">
        <v>91</v>
      </c>
      <c r="LHD222" s="40" t="s">
        <v>91</v>
      </c>
      <c r="LHE222" s="40" t="s">
        <v>91</v>
      </c>
      <c r="LHF222" s="40" t="s">
        <v>91</v>
      </c>
      <c r="LHG222" s="40" t="s">
        <v>91</v>
      </c>
      <c r="LHH222" s="40" t="s">
        <v>91</v>
      </c>
      <c r="LHI222" s="40" t="s">
        <v>91</v>
      </c>
      <c r="LHJ222" s="40" t="s">
        <v>91</v>
      </c>
      <c r="LHK222" s="40" t="s">
        <v>91</v>
      </c>
      <c r="LHL222" s="40" t="s">
        <v>91</v>
      </c>
      <c r="LHM222" s="40" t="s">
        <v>91</v>
      </c>
      <c r="LHN222" s="40" t="s">
        <v>91</v>
      </c>
      <c r="LHO222" s="40" t="s">
        <v>91</v>
      </c>
      <c r="LHP222" s="40" t="s">
        <v>91</v>
      </c>
      <c r="LHQ222" s="40" t="s">
        <v>91</v>
      </c>
      <c r="LHR222" s="40" t="s">
        <v>91</v>
      </c>
      <c r="LHS222" s="40" t="s">
        <v>91</v>
      </c>
      <c r="LHT222" s="40" t="s">
        <v>91</v>
      </c>
      <c r="LHU222" s="40" t="s">
        <v>91</v>
      </c>
      <c r="LHV222" s="40" t="s">
        <v>91</v>
      </c>
      <c r="LHW222" s="40" t="s">
        <v>91</v>
      </c>
      <c r="LHX222" s="40" t="s">
        <v>91</v>
      </c>
      <c r="LHY222" s="40" t="s">
        <v>91</v>
      </c>
      <c r="LHZ222" s="40" t="s">
        <v>91</v>
      </c>
      <c r="LIA222" s="40" t="s">
        <v>91</v>
      </c>
      <c r="LIB222" s="40" t="s">
        <v>91</v>
      </c>
      <c r="LIC222" s="40" t="s">
        <v>91</v>
      </c>
      <c r="LID222" s="40" t="s">
        <v>91</v>
      </c>
      <c r="LIE222" s="40" t="s">
        <v>91</v>
      </c>
      <c r="LIF222" s="40" t="s">
        <v>91</v>
      </c>
      <c r="LIG222" s="40" t="s">
        <v>91</v>
      </c>
      <c r="LIH222" s="40" t="s">
        <v>91</v>
      </c>
      <c r="LII222" s="40" t="s">
        <v>91</v>
      </c>
      <c r="LIJ222" s="40" t="s">
        <v>91</v>
      </c>
      <c r="LIK222" s="40" t="s">
        <v>91</v>
      </c>
      <c r="LIL222" s="40" t="s">
        <v>91</v>
      </c>
      <c r="LIM222" s="40" t="s">
        <v>91</v>
      </c>
      <c r="LIN222" s="40" t="s">
        <v>91</v>
      </c>
      <c r="LIO222" s="40" t="s">
        <v>91</v>
      </c>
      <c r="LIP222" s="40" t="s">
        <v>91</v>
      </c>
      <c r="LIQ222" s="40" t="s">
        <v>91</v>
      </c>
      <c r="LIR222" s="40" t="s">
        <v>91</v>
      </c>
      <c r="LIS222" s="40" t="s">
        <v>91</v>
      </c>
      <c r="LIT222" s="40" t="s">
        <v>91</v>
      </c>
      <c r="LIU222" s="40" t="s">
        <v>91</v>
      </c>
      <c r="LIV222" s="40" t="s">
        <v>91</v>
      </c>
      <c r="LIW222" s="40" t="s">
        <v>91</v>
      </c>
      <c r="LIX222" s="40" t="s">
        <v>91</v>
      </c>
      <c r="LIY222" s="40" t="s">
        <v>91</v>
      </c>
      <c r="LIZ222" s="40" t="s">
        <v>91</v>
      </c>
      <c r="LJA222" s="40" t="s">
        <v>91</v>
      </c>
      <c r="LJB222" s="40" t="s">
        <v>91</v>
      </c>
      <c r="LJC222" s="40" t="s">
        <v>91</v>
      </c>
      <c r="LJD222" s="40" t="s">
        <v>91</v>
      </c>
      <c r="LJE222" s="40" t="s">
        <v>91</v>
      </c>
      <c r="LJF222" s="40" t="s">
        <v>91</v>
      </c>
      <c r="LJG222" s="40" t="s">
        <v>91</v>
      </c>
      <c r="LJH222" s="40" t="s">
        <v>91</v>
      </c>
      <c r="LJI222" s="40" t="s">
        <v>91</v>
      </c>
      <c r="LJJ222" s="40" t="s">
        <v>91</v>
      </c>
      <c r="LJK222" s="40" t="s">
        <v>91</v>
      </c>
      <c r="LJL222" s="40" t="s">
        <v>91</v>
      </c>
      <c r="LJM222" s="40" t="s">
        <v>91</v>
      </c>
      <c r="LJN222" s="40" t="s">
        <v>91</v>
      </c>
      <c r="LJO222" s="40" t="s">
        <v>91</v>
      </c>
      <c r="LJP222" s="40" t="s">
        <v>91</v>
      </c>
      <c r="LJQ222" s="40" t="s">
        <v>91</v>
      </c>
      <c r="LJR222" s="40" t="s">
        <v>91</v>
      </c>
      <c r="LJS222" s="40" t="s">
        <v>91</v>
      </c>
      <c r="LJT222" s="40" t="s">
        <v>91</v>
      </c>
      <c r="LJU222" s="40" t="s">
        <v>91</v>
      </c>
      <c r="LJV222" s="40" t="s">
        <v>91</v>
      </c>
      <c r="LJW222" s="40" t="s">
        <v>91</v>
      </c>
      <c r="LJX222" s="40" t="s">
        <v>91</v>
      </c>
      <c r="LJY222" s="40" t="s">
        <v>91</v>
      </c>
      <c r="LJZ222" s="40" t="s">
        <v>91</v>
      </c>
      <c r="LKA222" s="40" t="s">
        <v>91</v>
      </c>
      <c r="LKB222" s="40" t="s">
        <v>91</v>
      </c>
      <c r="LKC222" s="40" t="s">
        <v>91</v>
      </c>
      <c r="LKD222" s="40" t="s">
        <v>91</v>
      </c>
      <c r="LKE222" s="40" t="s">
        <v>91</v>
      </c>
      <c r="LKF222" s="40" t="s">
        <v>91</v>
      </c>
      <c r="LKG222" s="40" t="s">
        <v>91</v>
      </c>
      <c r="LKH222" s="40" t="s">
        <v>91</v>
      </c>
      <c r="LKI222" s="40" t="s">
        <v>91</v>
      </c>
      <c r="LKJ222" s="40" t="s">
        <v>91</v>
      </c>
      <c r="LKK222" s="40" t="s">
        <v>91</v>
      </c>
      <c r="LKL222" s="40" t="s">
        <v>91</v>
      </c>
      <c r="LKM222" s="40" t="s">
        <v>91</v>
      </c>
      <c r="LKN222" s="40" t="s">
        <v>91</v>
      </c>
      <c r="LKO222" s="40" t="s">
        <v>91</v>
      </c>
      <c r="LKP222" s="40" t="s">
        <v>91</v>
      </c>
      <c r="LKQ222" s="40" t="s">
        <v>91</v>
      </c>
      <c r="LKR222" s="40" t="s">
        <v>91</v>
      </c>
      <c r="LKS222" s="40" t="s">
        <v>91</v>
      </c>
      <c r="LKT222" s="40" t="s">
        <v>91</v>
      </c>
      <c r="LKU222" s="40" t="s">
        <v>91</v>
      </c>
      <c r="LKV222" s="40" t="s">
        <v>91</v>
      </c>
      <c r="LKW222" s="40" t="s">
        <v>91</v>
      </c>
      <c r="LKX222" s="40" t="s">
        <v>91</v>
      </c>
      <c r="LKY222" s="40" t="s">
        <v>91</v>
      </c>
      <c r="LKZ222" s="40" t="s">
        <v>91</v>
      </c>
      <c r="LLA222" s="40" t="s">
        <v>91</v>
      </c>
      <c r="LLB222" s="40" t="s">
        <v>91</v>
      </c>
      <c r="LLC222" s="40" t="s">
        <v>91</v>
      </c>
      <c r="LLD222" s="40" t="s">
        <v>91</v>
      </c>
      <c r="LLE222" s="40" t="s">
        <v>91</v>
      </c>
      <c r="LLF222" s="40" t="s">
        <v>91</v>
      </c>
      <c r="LLG222" s="40" t="s">
        <v>91</v>
      </c>
      <c r="LLH222" s="40" t="s">
        <v>91</v>
      </c>
      <c r="LLI222" s="40" t="s">
        <v>91</v>
      </c>
      <c r="LLJ222" s="40" t="s">
        <v>91</v>
      </c>
      <c r="LLK222" s="40" t="s">
        <v>91</v>
      </c>
      <c r="LLL222" s="40" t="s">
        <v>91</v>
      </c>
      <c r="LLM222" s="40" t="s">
        <v>91</v>
      </c>
      <c r="LLN222" s="40" t="s">
        <v>91</v>
      </c>
      <c r="LLO222" s="40" t="s">
        <v>91</v>
      </c>
      <c r="LLP222" s="40" t="s">
        <v>91</v>
      </c>
      <c r="LLQ222" s="40" t="s">
        <v>91</v>
      </c>
      <c r="LLR222" s="40" t="s">
        <v>91</v>
      </c>
      <c r="LLS222" s="40" t="s">
        <v>91</v>
      </c>
      <c r="LLT222" s="40" t="s">
        <v>91</v>
      </c>
      <c r="LLU222" s="40" t="s">
        <v>91</v>
      </c>
      <c r="LLV222" s="40" t="s">
        <v>91</v>
      </c>
      <c r="LLW222" s="40" t="s">
        <v>91</v>
      </c>
      <c r="LLX222" s="40" t="s">
        <v>91</v>
      </c>
      <c r="LLY222" s="40" t="s">
        <v>91</v>
      </c>
      <c r="LLZ222" s="40" t="s">
        <v>91</v>
      </c>
      <c r="LMA222" s="40" t="s">
        <v>91</v>
      </c>
      <c r="LMB222" s="40" t="s">
        <v>91</v>
      </c>
      <c r="LMC222" s="40" t="s">
        <v>91</v>
      </c>
      <c r="LMD222" s="40" t="s">
        <v>91</v>
      </c>
      <c r="LME222" s="40" t="s">
        <v>91</v>
      </c>
      <c r="LMF222" s="40" t="s">
        <v>91</v>
      </c>
      <c r="LMG222" s="40" t="s">
        <v>91</v>
      </c>
      <c r="LMH222" s="40" t="s">
        <v>91</v>
      </c>
      <c r="LMI222" s="40" t="s">
        <v>91</v>
      </c>
      <c r="LMJ222" s="40" t="s">
        <v>91</v>
      </c>
      <c r="LMK222" s="40" t="s">
        <v>91</v>
      </c>
      <c r="LML222" s="40" t="s">
        <v>91</v>
      </c>
      <c r="LMM222" s="40" t="s">
        <v>91</v>
      </c>
      <c r="LMN222" s="40" t="s">
        <v>91</v>
      </c>
      <c r="LMO222" s="40" t="s">
        <v>91</v>
      </c>
      <c r="LMP222" s="40" t="s">
        <v>91</v>
      </c>
      <c r="LMQ222" s="40" t="s">
        <v>91</v>
      </c>
      <c r="LMR222" s="40" t="s">
        <v>91</v>
      </c>
      <c r="LMS222" s="40" t="s">
        <v>91</v>
      </c>
      <c r="LMT222" s="40" t="s">
        <v>91</v>
      </c>
      <c r="LMU222" s="40" t="s">
        <v>91</v>
      </c>
      <c r="LMV222" s="40" t="s">
        <v>91</v>
      </c>
      <c r="LMW222" s="40" t="s">
        <v>91</v>
      </c>
      <c r="LMX222" s="40" t="s">
        <v>91</v>
      </c>
      <c r="LMY222" s="40" t="s">
        <v>91</v>
      </c>
      <c r="LMZ222" s="40" t="s">
        <v>91</v>
      </c>
      <c r="LNA222" s="40" t="s">
        <v>91</v>
      </c>
      <c r="LNB222" s="40" t="s">
        <v>91</v>
      </c>
      <c r="LNC222" s="40" t="s">
        <v>91</v>
      </c>
      <c r="LND222" s="40" t="s">
        <v>91</v>
      </c>
      <c r="LNE222" s="40" t="s">
        <v>91</v>
      </c>
      <c r="LNF222" s="40" t="s">
        <v>91</v>
      </c>
      <c r="LNG222" s="40" t="s">
        <v>91</v>
      </c>
      <c r="LNH222" s="40" t="s">
        <v>91</v>
      </c>
      <c r="LNI222" s="40" t="s">
        <v>91</v>
      </c>
      <c r="LNJ222" s="40" t="s">
        <v>91</v>
      </c>
      <c r="LNK222" s="40" t="s">
        <v>91</v>
      </c>
      <c r="LNL222" s="40" t="s">
        <v>91</v>
      </c>
      <c r="LNM222" s="40" t="s">
        <v>91</v>
      </c>
      <c r="LNN222" s="40" t="s">
        <v>91</v>
      </c>
      <c r="LNO222" s="40" t="s">
        <v>91</v>
      </c>
      <c r="LNP222" s="40" t="s">
        <v>91</v>
      </c>
      <c r="LNQ222" s="40" t="s">
        <v>91</v>
      </c>
      <c r="LNR222" s="40" t="s">
        <v>91</v>
      </c>
      <c r="LNS222" s="40" t="s">
        <v>91</v>
      </c>
      <c r="LNT222" s="40" t="s">
        <v>91</v>
      </c>
      <c r="LNU222" s="40" t="s">
        <v>91</v>
      </c>
      <c r="LNV222" s="40" t="s">
        <v>91</v>
      </c>
      <c r="LNW222" s="40" t="s">
        <v>91</v>
      </c>
      <c r="LNX222" s="40" t="s">
        <v>91</v>
      </c>
      <c r="LNY222" s="40" t="s">
        <v>91</v>
      </c>
      <c r="LNZ222" s="40" t="s">
        <v>91</v>
      </c>
      <c r="LOA222" s="40" t="s">
        <v>91</v>
      </c>
      <c r="LOB222" s="40" t="s">
        <v>91</v>
      </c>
      <c r="LOC222" s="40" t="s">
        <v>91</v>
      </c>
      <c r="LOD222" s="40" t="s">
        <v>91</v>
      </c>
      <c r="LOE222" s="40" t="s">
        <v>91</v>
      </c>
      <c r="LOF222" s="40" t="s">
        <v>91</v>
      </c>
      <c r="LOG222" s="40" t="s">
        <v>91</v>
      </c>
      <c r="LOH222" s="40" t="s">
        <v>91</v>
      </c>
      <c r="LOI222" s="40" t="s">
        <v>91</v>
      </c>
      <c r="LOJ222" s="40" t="s">
        <v>91</v>
      </c>
      <c r="LOK222" s="40" t="s">
        <v>91</v>
      </c>
      <c r="LOL222" s="40" t="s">
        <v>91</v>
      </c>
      <c r="LOM222" s="40" t="s">
        <v>91</v>
      </c>
      <c r="LON222" s="40" t="s">
        <v>91</v>
      </c>
      <c r="LOO222" s="40" t="s">
        <v>91</v>
      </c>
      <c r="LOP222" s="40" t="s">
        <v>91</v>
      </c>
      <c r="LOQ222" s="40" t="s">
        <v>91</v>
      </c>
      <c r="LOR222" s="40" t="s">
        <v>91</v>
      </c>
      <c r="LOS222" s="40" t="s">
        <v>91</v>
      </c>
      <c r="LOT222" s="40" t="s">
        <v>91</v>
      </c>
      <c r="LOU222" s="40" t="s">
        <v>91</v>
      </c>
      <c r="LOV222" s="40" t="s">
        <v>91</v>
      </c>
      <c r="LOW222" s="40" t="s">
        <v>91</v>
      </c>
      <c r="LOX222" s="40" t="s">
        <v>91</v>
      </c>
      <c r="LOY222" s="40" t="s">
        <v>91</v>
      </c>
      <c r="LOZ222" s="40" t="s">
        <v>91</v>
      </c>
      <c r="LPA222" s="40" t="s">
        <v>91</v>
      </c>
      <c r="LPB222" s="40" t="s">
        <v>91</v>
      </c>
      <c r="LPC222" s="40" t="s">
        <v>91</v>
      </c>
      <c r="LPD222" s="40" t="s">
        <v>91</v>
      </c>
      <c r="LPE222" s="40" t="s">
        <v>91</v>
      </c>
      <c r="LPF222" s="40" t="s">
        <v>91</v>
      </c>
      <c r="LPG222" s="40" t="s">
        <v>91</v>
      </c>
      <c r="LPH222" s="40" t="s">
        <v>91</v>
      </c>
      <c r="LPI222" s="40" t="s">
        <v>91</v>
      </c>
      <c r="LPJ222" s="40" t="s">
        <v>91</v>
      </c>
      <c r="LPK222" s="40" t="s">
        <v>91</v>
      </c>
      <c r="LPL222" s="40" t="s">
        <v>91</v>
      </c>
      <c r="LPM222" s="40" t="s">
        <v>91</v>
      </c>
      <c r="LPN222" s="40" t="s">
        <v>91</v>
      </c>
      <c r="LPO222" s="40" t="s">
        <v>91</v>
      </c>
      <c r="LPP222" s="40" t="s">
        <v>91</v>
      </c>
      <c r="LPQ222" s="40" t="s">
        <v>91</v>
      </c>
      <c r="LPR222" s="40" t="s">
        <v>91</v>
      </c>
      <c r="LPS222" s="40" t="s">
        <v>91</v>
      </c>
      <c r="LPT222" s="40" t="s">
        <v>91</v>
      </c>
      <c r="LPU222" s="40" t="s">
        <v>91</v>
      </c>
      <c r="LPV222" s="40" t="s">
        <v>91</v>
      </c>
      <c r="LPW222" s="40" t="s">
        <v>91</v>
      </c>
      <c r="LPX222" s="40" t="s">
        <v>91</v>
      </c>
      <c r="LPY222" s="40" t="s">
        <v>91</v>
      </c>
      <c r="LPZ222" s="40" t="s">
        <v>91</v>
      </c>
      <c r="LQA222" s="40" t="s">
        <v>91</v>
      </c>
      <c r="LQB222" s="40" t="s">
        <v>91</v>
      </c>
      <c r="LQC222" s="40" t="s">
        <v>91</v>
      </c>
      <c r="LQD222" s="40" t="s">
        <v>91</v>
      </c>
      <c r="LQE222" s="40" t="s">
        <v>91</v>
      </c>
      <c r="LQF222" s="40" t="s">
        <v>91</v>
      </c>
      <c r="LQG222" s="40" t="s">
        <v>91</v>
      </c>
      <c r="LQH222" s="40" t="s">
        <v>91</v>
      </c>
      <c r="LQI222" s="40" t="s">
        <v>91</v>
      </c>
      <c r="LQJ222" s="40" t="s">
        <v>91</v>
      </c>
      <c r="LQK222" s="40" t="s">
        <v>91</v>
      </c>
      <c r="LQL222" s="40" t="s">
        <v>91</v>
      </c>
      <c r="LQM222" s="40" t="s">
        <v>91</v>
      </c>
      <c r="LQN222" s="40" t="s">
        <v>91</v>
      </c>
      <c r="LQO222" s="40" t="s">
        <v>91</v>
      </c>
      <c r="LQP222" s="40" t="s">
        <v>91</v>
      </c>
      <c r="LQQ222" s="40" t="s">
        <v>91</v>
      </c>
      <c r="LQR222" s="40" t="s">
        <v>91</v>
      </c>
      <c r="LQS222" s="40" t="s">
        <v>91</v>
      </c>
      <c r="LQT222" s="40" t="s">
        <v>91</v>
      </c>
      <c r="LQU222" s="40" t="s">
        <v>91</v>
      </c>
      <c r="LQV222" s="40" t="s">
        <v>91</v>
      </c>
      <c r="LQW222" s="40" t="s">
        <v>91</v>
      </c>
      <c r="LQX222" s="40" t="s">
        <v>91</v>
      </c>
      <c r="LQY222" s="40" t="s">
        <v>91</v>
      </c>
      <c r="LQZ222" s="40" t="s">
        <v>91</v>
      </c>
      <c r="LRA222" s="40" t="s">
        <v>91</v>
      </c>
      <c r="LRB222" s="40" t="s">
        <v>91</v>
      </c>
      <c r="LRC222" s="40" t="s">
        <v>91</v>
      </c>
      <c r="LRD222" s="40" t="s">
        <v>91</v>
      </c>
      <c r="LRE222" s="40" t="s">
        <v>91</v>
      </c>
      <c r="LRF222" s="40" t="s">
        <v>91</v>
      </c>
      <c r="LRG222" s="40" t="s">
        <v>91</v>
      </c>
      <c r="LRH222" s="40" t="s">
        <v>91</v>
      </c>
      <c r="LRI222" s="40" t="s">
        <v>91</v>
      </c>
      <c r="LRJ222" s="40" t="s">
        <v>91</v>
      </c>
      <c r="LRK222" s="40" t="s">
        <v>91</v>
      </c>
      <c r="LRL222" s="40" t="s">
        <v>91</v>
      </c>
      <c r="LRM222" s="40" t="s">
        <v>91</v>
      </c>
      <c r="LRN222" s="40" t="s">
        <v>91</v>
      </c>
      <c r="LRO222" s="40" t="s">
        <v>91</v>
      </c>
      <c r="LRP222" s="40" t="s">
        <v>91</v>
      </c>
      <c r="LRQ222" s="40" t="s">
        <v>91</v>
      </c>
      <c r="LRR222" s="40" t="s">
        <v>91</v>
      </c>
      <c r="LRS222" s="40" t="s">
        <v>91</v>
      </c>
      <c r="LRT222" s="40" t="s">
        <v>91</v>
      </c>
      <c r="LRU222" s="40" t="s">
        <v>91</v>
      </c>
      <c r="LRV222" s="40" t="s">
        <v>91</v>
      </c>
      <c r="LRW222" s="40" t="s">
        <v>91</v>
      </c>
      <c r="LRX222" s="40" t="s">
        <v>91</v>
      </c>
      <c r="LRY222" s="40" t="s">
        <v>91</v>
      </c>
      <c r="LRZ222" s="40" t="s">
        <v>91</v>
      </c>
      <c r="LSA222" s="40" t="s">
        <v>91</v>
      </c>
      <c r="LSB222" s="40" t="s">
        <v>91</v>
      </c>
      <c r="LSC222" s="40" t="s">
        <v>91</v>
      </c>
      <c r="LSD222" s="40" t="s">
        <v>91</v>
      </c>
      <c r="LSE222" s="40" t="s">
        <v>91</v>
      </c>
      <c r="LSF222" s="40" t="s">
        <v>91</v>
      </c>
      <c r="LSG222" s="40" t="s">
        <v>91</v>
      </c>
      <c r="LSH222" s="40" t="s">
        <v>91</v>
      </c>
      <c r="LSI222" s="40" t="s">
        <v>91</v>
      </c>
      <c r="LSJ222" s="40" t="s">
        <v>91</v>
      </c>
      <c r="LSK222" s="40" t="s">
        <v>91</v>
      </c>
      <c r="LSL222" s="40" t="s">
        <v>91</v>
      </c>
      <c r="LSM222" s="40" t="s">
        <v>91</v>
      </c>
      <c r="LSN222" s="40" t="s">
        <v>91</v>
      </c>
      <c r="LSO222" s="40" t="s">
        <v>91</v>
      </c>
      <c r="LSP222" s="40" t="s">
        <v>91</v>
      </c>
      <c r="LSQ222" s="40" t="s">
        <v>91</v>
      </c>
      <c r="LSR222" s="40" t="s">
        <v>91</v>
      </c>
      <c r="LSS222" s="40" t="s">
        <v>91</v>
      </c>
      <c r="LST222" s="40" t="s">
        <v>91</v>
      </c>
      <c r="LSU222" s="40" t="s">
        <v>91</v>
      </c>
      <c r="LSV222" s="40" t="s">
        <v>91</v>
      </c>
      <c r="LSW222" s="40" t="s">
        <v>91</v>
      </c>
      <c r="LSX222" s="40" t="s">
        <v>91</v>
      </c>
      <c r="LSY222" s="40" t="s">
        <v>91</v>
      </c>
      <c r="LSZ222" s="40" t="s">
        <v>91</v>
      </c>
      <c r="LTA222" s="40" t="s">
        <v>91</v>
      </c>
      <c r="LTB222" s="40" t="s">
        <v>91</v>
      </c>
      <c r="LTC222" s="40" t="s">
        <v>91</v>
      </c>
      <c r="LTD222" s="40" t="s">
        <v>91</v>
      </c>
      <c r="LTE222" s="40" t="s">
        <v>91</v>
      </c>
      <c r="LTF222" s="40" t="s">
        <v>91</v>
      </c>
      <c r="LTG222" s="40" t="s">
        <v>91</v>
      </c>
      <c r="LTH222" s="40" t="s">
        <v>91</v>
      </c>
      <c r="LTI222" s="40" t="s">
        <v>91</v>
      </c>
      <c r="LTJ222" s="40" t="s">
        <v>91</v>
      </c>
      <c r="LTK222" s="40" t="s">
        <v>91</v>
      </c>
      <c r="LTL222" s="40" t="s">
        <v>91</v>
      </c>
      <c r="LTM222" s="40" t="s">
        <v>91</v>
      </c>
      <c r="LTN222" s="40" t="s">
        <v>91</v>
      </c>
      <c r="LTO222" s="40" t="s">
        <v>91</v>
      </c>
      <c r="LTP222" s="40" t="s">
        <v>91</v>
      </c>
      <c r="LTQ222" s="40" t="s">
        <v>91</v>
      </c>
      <c r="LTR222" s="40" t="s">
        <v>91</v>
      </c>
      <c r="LTS222" s="40" t="s">
        <v>91</v>
      </c>
      <c r="LTT222" s="40" t="s">
        <v>91</v>
      </c>
      <c r="LTU222" s="40" t="s">
        <v>91</v>
      </c>
      <c r="LTV222" s="40" t="s">
        <v>91</v>
      </c>
      <c r="LTW222" s="40" t="s">
        <v>91</v>
      </c>
      <c r="LTX222" s="40" t="s">
        <v>91</v>
      </c>
      <c r="LTY222" s="40" t="s">
        <v>91</v>
      </c>
      <c r="LTZ222" s="40" t="s">
        <v>91</v>
      </c>
      <c r="LUA222" s="40" t="s">
        <v>91</v>
      </c>
      <c r="LUB222" s="40" t="s">
        <v>91</v>
      </c>
      <c r="LUC222" s="40" t="s">
        <v>91</v>
      </c>
      <c r="LUD222" s="40" t="s">
        <v>91</v>
      </c>
      <c r="LUE222" s="40" t="s">
        <v>91</v>
      </c>
      <c r="LUF222" s="40" t="s">
        <v>91</v>
      </c>
      <c r="LUG222" s="40" t="s">
        <v>91</v>
      </c>
      <c r="LUH222" s="40" t="s">
        <v>91</v>
      </c>
      <c r="LUI222" s="40" t="s">
        <v>91</v>
      </c>
      <c r="LUJ222" s="40" t="s">
        <v>91</v>
      </c>
      <c r="LUK222" s="40" t="s">
        <v>91</v>
      </c>
      <c r="LUL222" s="40" t="s">
        <v>91</v>
      </c>
      <c r="LUM222" s="40" t="s">
        <v>91</v>
      </c>
      <c r="LUN222" s="40" t="s">
        <v>91</v>
      </c>
      <c r="LUO222" s="40" t="s">
        <v>91</v>
      </c>
      <c r="LUP222" s="40" t="s">
        <v>91</v>
      </c>
      <c r="LUQ222" s="40" t="s">
        <v>91</v>
      </c>
      <c r="LUR222" s="40" t="s">
        <v>91</v>
      </c>
      <c r="LUS222" s="40" t="s">
        <v>91</v>
      </c>
      <c r="LUT222" s="40" t="s">
        <v>91</v>
      </c>
      <c r="LUU222" s="40" t="s">
        <v>91</v>
      </c>
      <c r="LUV222" s="40" t="s">
        <v>91</v>
      </c>
      <c r="LUW222" s="40" t="s">
        <v>91</v>
      </c>
      <c r="LUX222" s="40" t="s">
        <v>91</v>
      </c>
      <c r="LUY222" s="40" t="s">
        <v>91</v>
      </c>
      <c r="LUZ222" s="40" t="s">
        <v>91</v>
      </c>
      <c r="LVA222" s="40" t="s">
        <v>91</v>
      </c>
      <c r="LVB222" s="40" t="s">
        <v>91</v>
      </c>
      <c r="LVC222" s="40" t="s">
        <v>91</v>
      </c>
      <c r="LVD222" s="40" t="s">
        <v>91</v>
      </c>
      <c r="LVE222" s="40" t="s">
        <v>91</v>
      </c>
      <c r="LVF222" s="40" t="s">
        <v>91</v>
      </c>
      <c r="LVG222" s="40" t="s">
        <v>91</v>
      </c>
      <c r="LVH222" s="40" t="s">
        <v>91</v>
      </c>
      <c r="LVI222" s="40" t="s">
        <v>91</v>
      </c>
      <c r="LVJ222" s="40" t="s">
        <v>91</v>
      </c>
      <c r="LVK222" s="40" t="s">
        <v>91</v>
      </c>
      <c r="LVL222" s="40" t="s">
        <v>91</v>
      </c>
      <c r="LVM222" s="40" t="s">
        <v>91</v>
      </c>
      <c r="LVN222" s="40" t="s">
        <v>91</v>
      </c>
      <c r="LVO222" s="40" t="s">
        <v>91</v>
      </c>
      <c r="LVP222" s="40" t="s">
        <v>91</v>
      </c>
      <c r="LVQ222" s="40" t="s">
        <v>91</v>
      </c>
      <c r="LVR222" s="40" t="s">
        <v>91</v>
      </c>
      <c r="LVS222" s="40" t="s">
        <v>91</v>
      </c>
      <c r="LVT222" s="40" t="s">
        <v>91</v>
      </c>
      <c r="LVU222" s="40" t="s">
        <v>91</v>
      </c>
      <c r="LVV222" s="40" t="s">
        <v>91</v>
      </c>
      <c r="LVW222" s="40" t="s">
        <v>91</v>
      </c>
      <c r="LVX222" s="40" t="s">
        <v>91</v>
      </c>
      <c r="LVY222" s="40" t="s">
        <v>91</v>
      </c>
      <c r="LVZ222" s="40" t="s">
        <v>91</v>
      </c>
      <c r="LWA222" s="40" t="s">
        <v>91</v>
      </c>
      <c r="LWB222" s="40" t="s">
        <v>91</v>
      </c>
      <c r="LWC222" s="40" t="s">
        <v>91</v>
      </c>
      <c r="LWD222" s="40" t="s">
        <v>91</v>
      </c>
      <c r="LWE222" s="40" t="s">
        <v>91</v>
      </c>
      <c r="LWF222" s="40" t="s">
        <v>91</v>
      </c>
      <c r="LWG222" s="40" t="s">
        <v>91</v>
      </c>
      <c r="LWH222" s="40" t="s">
        <v>91</v>
      </c>
      <c r="LWI222" s="40" t="s">
        <v>91</v>
      </c>
      <c r="LWJ222" s="40" t="s">
        <v>91</v>
      </c>
      <c r="LWK222" s="40" t="s">
        <v>91</v>
      </c>
      <c r="LWL222" s="40" t="s">
        <v>91</v>
      </c>
      <c r="LWM222" s="40" t="s">
        <v>91</v>
      </c>
      <c r="LWN222" s="40" t="s">
        <v>91</v>
      </c>
      <c r="LWO222" s="40" t="s">
        <v>91</v>
      </c>
      <c r="LWP222" s="40" t="s">
        <v>91</v>
      </c>
      <c r="LWQ222" s="40" t="s">
        <v>91</v>
      </c>
      <c r="LWR222" s="40" t="s">
        <v>91</v>
      </c>
      <c r="LWS222" s="40" t="s">
        <v>91</v>
      </c>
      <c r="LWT222" s="40" t="s">
        <v>91</v>
      </c>
      <c r="LWU222" s="40" t="s">
        <v>91</v>
      </c>
      <c r="LWV222" s="40" t="s">
        <v>91</v>
      </c>
      <c r="LWW222" s="40" t="s">
        <v>91</v>
      </c>
      <c r="LWX222" s="40" t="s">
        <v>91</v>
      </c>
      <c r="LWY222" s="40" t="s">
        <v>91</v>
      </c>
      <c r="LWZ222" s="40" t="s">
        <v>91</v>
      </c>
      <c r="LXA222" s="40" t="s">
        <v>91</v>
      </c>
      <c r="LXB222" s="40" t="s">
        <v>91</v>
      </c>
      <c r="LXC222" s="40" t="s">
        <v>91</v>
      </c>
      <c r="LXD222" s="40" t="s">
        <v>91</v>
      </c>
      <c r="LXE222" s="40" t="s">
        <v>91</v>
      </c>
      <c r="LXF222" s="40" t="s">
        <v>91</v>
      </c>
      <c r="LXG222" s="40" t="s">
        <v>91</v>
      </c>
      <c r="LXH222" s="40" t="s">
        <v>91</v>
      </c>
      <c r="LXI222" s="40" t="s">
        <v>91</v>
      </c>
      <c r="LXJ222" s="40" t="s">
        <v>91</v>
      </c>
      <c r="LXK222" s="40" t="s">
        <v>91</v>
      </c>
      <c r="LXL222" s="40" t="s">
        <v>91</v>
      </c>
      <c r="LXM222" s="40" t="s">
        <v>91</v>
      </c>
      <c r="LXN222" s="40" t="s">
        <v>91</v>
      </c>
      <c r="LXO222" s="40" t="s">
        <v>91</v>
      </c>
      <c r="LXP222" s="40" t="s">
        <v>91</v>
      </c>
      <c r="LXQ222" s="40" t="s">
        <v>91</v>
      </c>
      <c r="LXR222" s="40" t="s">
        <v>91</v>
      </c>
      <c r="LXS222" s="40" t="s">
        <v>91</v>
      </c>
      <c r="LXT222" s="40" t="s">
        <v>91</v>
      </c>
      <c r="LXU222" s="40" t="s">
        <v>91</v>
      </c>
      <c r="LXV222" s="40" t="s">
        <v>91</v>
      </c>
      <c r="LXW222" s="40" t="s">
        <v>91</v>
      </c>
      <c r="LXX222" s="40" t="s">
        <v>91</v>
      </c>
      <c r="LXY222" s="40" t="s">
        <v>91</v>
      </c>
      <c r="LXZ222" s="40" t="s">
        <v>91</v>
      </c>
      <c r="LYA222" s="40" t="s">
        <v>91</v>
      </c>
      <c r="LYB222" s="40" t="s">
        <v>91</v>
      </c>
      <c r="LYC222" s="40" t="s">
        <v>91</v>
      </c>
      <c r="LYD222" s="40" t="s">
        <v>91</v>
      </c>
      <c r="LYE222" s="40" t="s">
        <v>91</v>
      </c>
      <c r="LYF222" s="40" t="s">
        <v>91</v>
      </c>
      <c r="LYG222" s="40" t="s">
        <v>91</v>
      </c>
      <c r="LYH222" s="40" t="s">
        <v>91</v>
      </c>
      <c r="LYI222" s="40" t="s">
        <v>91</v>
      </c>
      <c r="LYJ222" s="40" t="s">
        <v>91</v>
      </c>
      <c r="LYK222" s="40" t="s">
        <v>91</v>
      </c>
      <c r="LYL222" s="40" t="s">
        <v>91</v>
      </c>
      <c r="LYM222" s="40" t="s">
        <v>91</v>
      </c>
      <c r="LYN222" s="40" t="s">
        <v>91</v>
      </c>
      <c r="LYO222" s="40" t="s">
        <v>91</v>
      </c>
      <c r="LYP222" s="40" t="s">
        <v>91</v>
      </c>
      <c r="LYQ222" s="40" t="s">
        <v>91</v>
      </c>
      <c r="LYR222" s="40" t="s">
        <v>91</v>
      </c>
      <c r="LYS222" s="40" t="s">
        <v>91</v>
      </c>
      <c r="LYT222" s="40" t="s">
        <v>91</v>
      </c>
      <c r="LYU222" s="40" t="s">
        <v>91</v>
      </c>
      <c r="LYV222" s="40" t="s">
        <v>91</v>
      </c>
      <c r="LYW222" s="40" t="s">
        <v>91</v>
      </c>
      <c r="LYX222" s="40" t="s">
        <v>91</v>
      </c>
      <c r="LYY222" s="40" t="s">
        <v>91</v>
      </c>
      <c r="LYZ222" s="40" t="s">
        <v>91</v>
      </c>
      <c r="LZA222" s="40" t="s">
        <v>91</v>
      </c>
      <c r="LZB222" s="40" t="s">
        <v>91</v>
      </c>
      <c r="LZC222" s="40" t="s">
        <v>91</v>
      </c>
      <c r="LZD222" s="40" t="s">
        <v>91</v>
      </c>
      <c r="LZE222" s="40" t="s">
        <v>91</v>
      </c>
      <c r="LZF222" s="40" t="s">
        <v>91</v>
      </c>
      <c r="LZG222" s="40" t="s">
        <v>91</v>
      </c>
      <c r="LZH222" s="40" t="s">
        <v>91</v>
      </c>
      <c r="LZI222" s="40" t="s">
        <v>91</v>
      </c>
      <c r="LZJ222" s="40" t="s">
        <v>91</v>
      </c>
      <c r="LZK222" s="40" t="s">
        <v>91</v>
      </c>
      <c r="LZL222" s="40" t="s">
        <v>91</v>
      </c>
      <c r="LZM222" s="40" t="s">
        <v>91</v>
      </c>
      <c r="LZN222" s="40" t="s">
        <v>91</v>
      </c>
      <c r="LZO222" s="40" t="s">
        <v>91</v>
      </c>
      <c r="LZP222" s="40" t="s">
        <v>91</v>
      </c>
      <c r="LZQ222" s="40" t="s">
        <v>91</v>
      </c>
      <c r="LZR222" s="40" t="s">
        <v>91</v>
      </c>
      <c r="LZS222" s="40" t="s">
        <v>91</v>
      </c>
      <c r="LZT222" s="40" t="s">
        <v>91</v>
      </c>
      <c r="LZU222" s="40" t="s">
        <v>91</v>
      </c>
      <c r="LZV222" s="40" t="s">
        <v>91</v>
      </c>
      <c r="LZW222" s="40" t="s">
        <v>91</v>
      </c>
      <c r="LZX222" s="40" t="s">
        <v>91</v>
      </c>
      <c r="LZY222" s="40" t="s">
        <v>91</v>
      </c>
      <c r="LZZ222" s="40" t="s">
        <v>91</v>
      </c>
      <c r="MAA222" s="40" t="s">
        <v>91</v>
      </c>
      <c r="MAB222" s="40" t="s">
        <v>91</v>
      </c>
      <c r="MAC222" s="40" t="s">
        <v>91</v>
      </c>
      <c r="MAD222" s="40" t="s">
        <v>91</v>
      </c>
      <c r="MAE222" s="40" t="s">
        <v>91</v>
      </c>
      <c r="MAF222" s="40" t="s">
        <v>91</v>
      </c>
      <c r="MAG222" s="40" t="s">
        <v>91</v>
      </c>
      <c r="MAH222" s="40" t="s">
        <v>91</v>
      </c>
      <c r="MAI222" s="40" t="s">
        <v>91</v>
      </c>
      <c r="MAJ222" s="40" t="s">
        <v>91</v>
      </c>
      <c r="MAK222" s="40" t="s">
        <v>91</v>
      </c>
      <c r="MAL222" s="40" t="s">
        <v>91</v>
      </c>
      <c r="MAM222" s="40" t="s">
        <v>91</v>
      </c>
      <c r="MAN222" s="40" t="s">
        <v>91</v>
      </c>
      <c r="MAO222" s="40" t="s">
        <v>91</v>
      </c>
      <c r="MAP222" s="40" t="s">
        <v>91</v>
      </c>
      <c r="MAQ222" s="40" t="s">
        <v>91</v>
      </c>
      <c r="MAR222" s="40" t="s">
        <v>91</v>
      </c>
      <c r="MAS222" s="40" t="s">
        <v>91</v>
      </c>
      <c r="MAT222" s="40" t="s">
        <v>91</v>
      </c>
      <c r="MAU222" s="40" t="s">
        <v>91</v>
      </c>
      <c r="MAV222" s="40" t="s">
        <v>91</v>
      </c>
      <c r="MAW222" s="40" t="s">
        <v>91</v>
      </c>
      <c r="MAX222" s="40" t="s">
        <v>91</v>
      </c>
      <c r="MAY222" s="40" t="s">
        <v>91</v>
      </c>
      <c r="MAZ222" s="40" t="s">
        <v>91</v>
      </c>
      <c r="MBA222" s="40" t="s">
        <v>91</v>
      </c>
      <c r="MBB222" s="40" t="s">
        <v>91</v>
      </c>
      <c r="MBC222" s="40" t="s">
        <v>91</v>
      </c>
      <c r="MBD222" s="40" t="s">
        <v>91</v>
      </c>
      <c r="MBE222" s="40" t="s">
        <v>91</v>
      </c>
      <c r="MBF222" s="40" t="s">
        <v>91</v>
      </c>
      <c r="MBG222" s="40" t="s">
        <v>91</v>
      </c>
      <c r="MBH222" s="40" t="s">
        <v>91</v>
      </c>
      <c r="MBI222" s="40" t="s">
        <v>91</v>
      </c>
      <c r="MBJ222" s="40" t="s">
        <v>91</v>
      </c>
      <c r="MBK222" s="40" t="s">
        <v>91</v>
      </c>
      <c r="MBL222" s="40" t="s">
        <v>91</v>
      </c>
      <c r="MBM222" s="40" t="s">
        <v>91</v>
      </c>
      <c r="MBN222" s="40" t="s">
        <v>91</v>
      </c>
      <c r="MBO222" s="40" t="s">
        <v>91</v>
      </c>
      <c r="MBP222" s="40" t="s">
        <v>91</v>
      </c>
      <c r="MBQ222" s="40" t="s">
        <v>91</v>
      </c>
      <c r="MBR222" s="40" t="s">
        <v>91</v>
      </c>
      <c r="MBS222" s="40" t="s">
        <v>91</v>
      </c>
      <c r="MBT222" s="40" t="s">
        <v>91</v>
      </c>
      <c r="MBU222" s="40" t="s">
        <v>91</v>
      </c>
      <c r="MBV222" s="40" t="s">
        <v>91</v>
      </c>
      <c r="MBW222" s="40" t="s">
        <v>91</v>
      </c>
      <c r="MBX222" s="40" t="s">
        <v>91</v>
      </c>
      <c r="MBY222" s="40" t="s">
        <v>91</v>
      </c>
      <c r="MBZ222" s="40" t="s">
        <v>91</v>
      </c>
      <c r="MCA222" s="40" t="s">
        <v>91</v>
      </c>
      <c r="MCB222" s="40" t="s">
        <v>91</v>
      </c>
      <c r="MCC222" s="40" t="s">
        <v>91</v>
      </c>
      <c r="MCD222" s="40" t="s">
        <v>91</v>
      </c>
      <c r="MCE222" s="40" t="s">
        <v>91</v>
      </c>
      <c r="MCF222" s="40" t="s">
        <v>91</v>
      </c>
      <c r="MCG222" s="40" t="s">
        <v>91</v>
      </c>
      <c r="MCH222" s="40" t="s">
        <v>91</v>
      </c>
      <c r="MCI222" s="40" t="s">
        <v>91</v>
      </c>
      <c r="MCJ222" s="40" t="s">
        <v>91</v>
      </c>
      <c r="MCK222" s="40" t="s">
        <v>91</v>
      </c>
      <c r="MCL222" s="40" t="s">
        <v>91</v>
      </c>
      <c r="MCM222" s="40" t="s">
        <v>91</v>
      </c>
      <c r="MCN222" s="40" t="s">
        <v>91</v>
      </c>
      <c r="MCO222" s="40" t="s">
        <v>91</v>
      </c>
      <c r="MCP222" s="40" t="s">
        <v>91</v>
      </c>
      <c r="MCQ222" s="40" t="s">
        <v>91</v>
      </c>
      <c r="MCR222" s="40" t="s">
        <v>91</v>
      </c>
      <c r="MCS222" s="40" t="s">
        <v>91</v>
      </c>
      <c r="MCT222" s="40" t="s">
        <v>91</v>
      </c>
      <c r="MCU222" s="40" t="s">
        <v>91</v>
      </c>
      <c r="MCV222" s="40" t="s">
        <v>91</v>
      </c>
      <c r="MCW222" s="40" t="s">
        <v>91</v>
      </c>
      <c r="MCX222" s="40" t="s">
        <v>91</v>
      </c>
      <c r="MCY222" s="40" t="s">
        <v>91</v>
      </c>
      <c r="MCZ222" s="40" t="s">
        <v>91</v>
      </c>
      <c r="MDA222" s="40" t="s">
        <v>91</v>
      </c>
      <c r="MDB222" s="40" t="s">
        <v>91</v>
      </c>
      <c r="MDC222" s="40" t="s">
        <v>91</v>
      </c>
      <c r="MDD222" s="40" t="s">
        <v>91</v>
      </c>
      <c r="MDE222" s="40" t="s">
        <v>91</v>
      </c>
      <c r="MDF222" s="40" t="s">
        <v>91</v>
      </c>
      <c r="MDG222" s="40" t="s">
        <v>91</v>
      </c>
      <c r="MDH222" s="40" t="s">
        <v>91</v>
      </c>
      <c r="MDI222" s="40" t="s">
        <v>91</v>
      </c>
      <c r="MDJ222" s="40" t="s">
        <v>91</v>
      </c>
      <c r="MDK222" s="40" t="s">
        <v>91</v>
      </c>
      <c r="MDL222" s="40" t="s">
        <v>91</v>
      </c>
      <c r="MDM222" s="40" t="s">
        <v>91</v>
      </c>
      <c r="MDN222" s="40" t="s">
        <v>91</v>
      </c>
      <c r="MDO222" s="40" t="s">
        <v>91</v>
      </c>
      <c r="MDP222" s="40" t="s">
        <v>91</v>
      </c>
      <c r="MDQ222" s="40" t="s">
        <v>91</v>
      </c>
      <c r="MDR222" s="40" t="s">
        <v>91</v>
      </c>
      <c r="MDS222" s="40" t="s">
        <v>91</v>
      </c>
      <c r="MDT222" s="40" t="s">
        <v>91</v>
      </c>
      <c r="MDU222" s="40" t="s">
        <v>91</v>
      </c>
      <c r="MDV222" s="40" t="s">
        <v>91</v>
      </c>
      <c r="MDW222" s="40" t="s">
        <v>91</v>
      </c>
      <c r="MDX222" s="40" t="s">
        <v>91</v>
      </c>
      <c r="MDY222" s="40" t="s">
        <v>91</v>
      </c>
      <c r="MDZ222" s="40" t="s">
        <v>91</v>
      </c>
      <c r="MEA222" s="40" t="s">
        <v>91</v>
      </c>
      <c r="MEB222" s="40" t="s">
        <v>91</v>
      </c>
      <c r="MEC222" s="40" t="s">
        <v>91</v>
      </c>
      <c r="MED222" s="40" t="s">
        <v>91</v>
      </c>
      <c r="MEE222" s="40" t="s">
        <v>91</v>
      </c>
      <c r="MEF222" s="40" t="s">
        <v>91</v>
      </c>
      <c r="MEG222" s="40" t="s">
        <v>91</v>
      </c>
      <c r="MEH222" s="40" t="s">
        <v>91</v>
      </c>
      <c r="MEI222" s="40" t="s">
        <v>91</v>
      </c>
      <c r="MEJ222" s="40" t="s">
        <v>91</v>
      </c>
      <c r="MEK222" s="40" t="s">
        <v>91</v>
      </c>
      <c r="MEL222" s="40" t="s">
        <v>91</v>
      </c>
      <c r="MEM222" s="40" t="s">
        <v>91</v>
      </c>
      <c r="MEN222" s="40" t="s">
        <v>91</v>
      </c>
      <c r="MEO222" s="40" t="s">
        <v>91</v>
      </c>
      <c r="MEP222" s="40" t="s">
        <v>91</v>
      </c>
      <c r="MEQ222" s="40" t="s">
        <v>91</v>
      </c>
      <c r="MER222" s="40" t="s">
        <v>91</v>
      </c>
      <c r="MES222" s="40" t="s">
        <v>91</v>
      </c>
      <c r="MET222" s="40" t="s">
        <v>91</v>
      </c>
      <c r="MEU222" s="40" t="s">
        <v>91</v>
      </c>
      <c r="MEV222" s="40" t="s">
        <v>91</v>
      </c>
      <c r="MEW222" s="40" t="s">
        <v>91</v>
      </c>
      <c r="MEX222" s="40" t="s">
        <v>91</v>
      </c>
      <c r="MEY222" s="40" t="s">
        <v>91</v>
      </c>
      <c r="MEZ222" s="40" t="s">
        <v>91</v>
      </c>
      <c r="MFA222" s="40" t="s">
        <v>91</v>
      </c>
      <c r="MFB222" s="40" t="s">
        <v>91</v>
      </c>
      <c r="MFC222" s="40" t="s">
        <v>91</v>
      </c>
      <c r="MFD222" s="40" t="s">
        <v>91</v>
      </c>
      <c r="MFE222" s="40" t="s">
        <v>91</v>
      </c>
      <c r="MFF222" s="40" t="s">
        <v>91</v>
      </c>
      <c r="MFG222" s="40" t="s">
        <v>91</v>
      </c>
      <c r="MFH222" s="40" t="s">
        <v>91</v>
      </c>
      <c r="MFI222" s="40" t="s">
        <v>91</v>
      </c>
      <c r="MFJ222" s="40" t="s">
        <v>91</v>
      </c>
      <c r="MFK222" s="40" t="s">
        <v>91</v>
      </c>
      <c r="MFL222" s="40" t="s">
        <v>91</v>
      </c>
      <c r="MFM222" s="40" t="s">
        <v>91</v>
      </c>
      <c r="MFN222" s="40" t="s">
        <v>91</v>
      </c>
      <c r="MFO222" s="40" t="s">
        <v>91</v>
      </c>
      <c r="MFP222" s="40" t="s">
        <v>91</v>
      </c>
      <c r="MFQ222" s="40" t="s">
        <v>91</v>
      </c>
      <c r="MFR222" s="40" t="s">
        <v>91</v>
      </c>
      <c r="MFS222" s="40" t="s">
        <v>91</v>
      </c>
      <c r="MFT222" s="40" t="s">
        <v>91</v>
      </c>
      <c r="MFU222" s="40" t="s">
        <v>91</v>
      </c>
      <c r="MFV222" s="40" t="s">
        <v>91</v>
      </c>
      <c r="MFW222" s="40" t="s">
        <v>91</v>
      </c>
      <c r="MFX222" s="40" t="s">
        <v>91</v>
      </c>
      <c r="MFY222" s="40" t="s">
        <v>91</v>
      </c>
      <c r="MFZ222" s="40" t="s">
        <v>91</v>
      </c>
      <c r="MGA222" s="40" t="s">
        <v>91</v>
      </c>
      <c r="MGB222" s="40" t="s">
        <v>91</v>
      </c>
      <c r="MGC222" s="40" t="s">
        <v>91</v>
      </c>
      <c r="MGD222" s="40" t="s">
        <v>91</v>
      </c>
      <c r="MGE222" s="40" t="s">
        <v>91</v>
      </c>
      <c r="MGF222" s="40" t="s">
        <v>91</v>
      </c>
      <c r="MGG222" s="40" t="s">
        <v>91</v>
      </c>
      <c r="MGH222" s="40" t="s">
        <v>91</v>
      </c>
      <c r="MGI222" s="40" t="s">
        <v>91</v>
      </c>
      <c r="MGJ222" s="40" t="s">
        <v>91</v>
      </c>
      <c r="MGK222" s="40" t="s">
        <v>91</v>
      </c>
      <c r="MGL222" s="40" t="s">
        <v>91</v>
      </c>
      <c r="MGM222" s="40" t="s">
        <v>91</v>
      </c>
      <c r="MGN222" s="40" t="s">
        <v>91</v>
      </c>
      <c r="MGO222" s="40" t="s">
        <v>91</v>
      </c>
      <c r="MGP222" s="40" t="s">
        <v>91</v>
      </c>
      <c r="MGQ222" s="40" t="s">
        <v>91</v>
      </c>
      <c r="MGR222" s="40" t="s">
        <v>91</v>
      </c>
      <c r="MGS222" s="40" t="s">
        <v>91</v>
      </c>
      <c r="MGT222" s="40" t="s">
        <v>91</v>
      </c>
      <c r="MGU222" s="40" t="s">
        <v>91</v>
      </c>
      <c r="MGV222" s="40" t="s">
        <v>91</v>
      </c>
      <c r="MGW222" s="40" t="s">
        <v>91</v>
      </c>
      <c r="MGX222" s="40" t="s">
        <v>91</v>
      </c>
      <c r="MGY222" s="40" t="s">
        <v>91</v>
      </c>
      <c r="MGZ222" s="40" t="s">
        <v>91</v>
      </c>
      <c r="MHA222" s="40" t="s">
        <v>91</v>
      </c>
      <c r="MHB222" s="40" t="s">
        <v>91</v>
      </c>
      <c r="MHC222" s="40" t="s">
        <v>91</v>
      </c>
      <c r="MHD222" s="40" t="s">
        <v>91</v>
      </c>
      <c r="MHE222" s="40" t="s">
        <v>91</v>
      </c>
      <c r="MHF222" s="40" t="s">
        <v>91</v>
      </c>
      <c r="MHG222" s="40" t="s">
        <v>91</v>
      </c>
      <c r="MHH222" s="40" t="s">
        <v>91</v>
      </c>
      <c r="MHI222" s="40" t="s">
        <v>91</v>
      </c>
      <c r="MHJ222" s="40" t="s">
        <v>91</v>
      </c>
      <c r="MHK222" s="40" t="s">
        <v>91</v>
      </c>
      <c r="MHL222" s="40" t="s">
        <v>91</v>
      </c>
      <c r="MHM222" s="40" t="s">
        <v>91</v>
      </c>
      <c r="MHN222" s="40" t="s">
        <v>91</v>
      </c>
      <c r="MHO222" s="40" t="s">
        <v>91</v>
      </c>
      <c r="MHP222" s="40" t="s">
        <v>91</v>
      </c>
      <c r="MHQ222" s="40" t="s">
        <v>91</v>
      </c>
      <c r="MHR222" s="40" t="s">
        <v>91</v>
      </c>
      <c r="MHS222" s="40" t="s">
        <v>91</v>
      </c>
      <c r="MHT222" s="40" t="s">
        <v>91</v>
      </c>
      <c r="MHU222" s="40" t="s">
        <v>91</v>
      </c>
      <c r="MHV222" s="40" t="s">
        <v>91</v>
      </c>
      <c r="MHW222" s="40" t="s">
        <v>91</v>
      </c>
      <c r="MHX222" s="40" t="s">
        <v>91</v>
      </c>
      <c r="MHY222" s="40" t="s">
        <v>91</v>
      </c>
      <c r="MHZ222" s="40" t="s">
        <v>91</v>
      </c>
      <c r="MIA222" s="40" t="s">
        <v>91</v>
      </c>
      <c r="MIB222" s="40" t="s">
        <v>91</v>
      </c>
      <c r="MIC222" s="40" t="s">
        <v>91</v>
      </c>
      <c r="MID222" s="40" t="s">
        <v>91</v>
      </c>
      <c r="MIE222" s="40" t="s">
        <v>91</v>
      </c>
      <c r="MIF222" s="40" t="s">
        <v>91</v>
      </c>
      <c r="MIG222" s="40" t="s">
        <v>91</v>
      </c>
      <c r="MIH222" s="40" t="s">
        <v>91</v>
      </c>
      <c r="MII222" s="40" t="s">
        <v>91</v>
      </c>
      <c r="MIJ222" s="40" t="s">
        <v>91</v>
      </c>
      <c r="MIK222" s="40" t="s">
        <v>91</v>
      </c>
      <c r="MIL222" s="40" t="s">
        <v>91</v>
      </c>
      <c r="MIM222" s="40" t="s">
        <v>91</v>
      </c>
      <c r="MIN222" s="40" t="s">
        <v>91</v>
      </c>
      <c r="MIO222" s="40" t="s">
        <v>91</v>
      </c>
      <c r="MIP222" s="40" t="s">
        <v>91</v>
      </c>
      <c r="MIQ222" s="40" t="s">
        <v>91</v>
      </c>
      <c r="MIR222" s="40" t="s">
        <v>91</v>
      </c>
      <c r="MIS222" s="40" t="s">
        <v>91</v>
      </c>
      <c r="MIT222" s="40" t="s">
        <v>91</v>
      </c>
      <c r="MIU222" s="40" t="s">
        <v>91</v>
      </c>
      <c r="MIV222" s="40" t="s">
        <v>91</v>
      </c>
      <c r="MIW222" s="40" t="s">
        <v>91</v>
      </c>
      <c r="MIX222" s="40" t="s">
        <v>91</v>
      </c>
      <c r="MIY222" s="40" t="s">
        <v>91</v>
      </c>
      <c r="MIZ222" s="40" t="s">
        <v>91</v>
      </c>
      <c r="MJA222" s="40" t="s">
        <v>91</v>
      </c>
      <c r="MJB222" s="40" t="s">
        <v>91</v>
      </c>
      <c r="MJC222" s="40" t="s">
        <v>91</v>
      </c>
      <c r="MJD222" s="40" t="s">
        <v>91</v>
      </c>
      <c r="MJE222" s="40" t="s">
        <v>91</v>
      </c>
      <c r="MJF222" s="40" t="s">
        <v>91</v>
      </c>
      <c r="MJG222" s="40" t="s">
        <v>91</v>
      </c>
      <c r="MJH222" s="40" t="s">
        <v>91</v>
      </c>
      <c r="MJI222" s="40" t="s">
        <v>91</v>
      </c>
      <c r="MJJ222" s="40" t="s">
        <v>91</v>
      </c>
      <c r="MJK222" s="40" t="s">
        <v>91</v>
      </c>
      <c r="MJL222" s="40" t="s">
        <v>91</v>
      </c>
      <c r="MJM222" s="40" t="s">
        <v>91</v>
      </c>
      <c r="MJN222" s="40" t="s">
        <v>91</v>
      </c>
      <c r="MJO222" s="40" t="s">
        <v>91</v>
      </c>
      <c r="MJP222" s="40" t="s">
        <v>91</v>
      </c>
      <c r="MJQ222" s="40" t="s">
        <v>91</v>
      </c>
      <c r="MJR222" s="40" t="s">
        <v>91</v>
      </c>
      <c r="MJS222" s="40" t="s">
        <v>91</v>
      </c>
      <c r="MJT222" s="40" t="s">
        <v>91</v>
      </c>
      <c r="MJU222" s="40" t="s">
        <v>91</v>
      </c>
      <c r="MJV222" s="40" t="s">
        <v>91</v>
      </c>
      <c r="MJW222" s="40" t="s">
        <v>91</v>
      </c>
      <c r="MJX222" s="40" t="s">
        <v>91</v>
      </c>
      <c r="MJY222" s="40" t="s">
        <v>91</v>
      </c>
      <c r="MJZ222" s="40" t="s">
        <v>91</v>
      </c>
      <c r="MKA222" s="40" t="s">
        <v>91</v>
      </c>
      <c r="MKB222" s="40" t="s">
        <v>91</v>
      </c>
      <c r="MKC222" s="40" t="s">
        <v>91</v>
      </c>
      <c r="MKD222" s="40" t="s">
        <v>91</v>
      </c>
      <c r="MKE222" s="40" t="s">
        <v>91</v>
      </c>
      <c r="MKF222" s="40" t="s">
        <v>91</v>
      </c>
      <c r="MKG222" s="40" t="s">
        <v>91</v>
      </c>
      <c r="MKH222" s="40" t="s">
        <v>91</v>
      </c>
      <c r="MKI222" s="40" t="s">
        <v>91</v>
      </c>
      <c r="MKJ222" s="40" t="s">
        <v>91</v>
      </c>
      <c r="MKK222" s="40" t="s">
        <v>91</v>
      </c>
      <c r="MKL222" s="40" t="s">
        <v>91</v>
      </c>
      <c r="MKM222" s="40" t="s">
        <v>91</v>
      </c>
      <c r="MKN222" s="40" t="s">
        <v>91</v>
      </c>
      <c r="MKO222" s="40" t="s">
        <v>91</v>
      </c>
      <c r="MKP222" s="40" t="s">
        <v>91</v>
      </c>
      <c r="MKQ222" s="40" t="s">
        <v>91</v>
      </c>
      <c r="MKR222" s="40" t="s">
        <v>91</v>
      </c>
      <c r="MKS222" s="40" t="s">
        <v>91</v>
      </c>
      <c r="MKT222" s="40" t="s">
        <v>91</v>
      </c>
      <c r="MKU222" s="40" t="s">
        <v>91</v>
      </c>
      <c r="MKV222" s="40" t="s">
        <v>91</v>
      </c>
      <c r="MKW222" s="40" t="s">
        <v>91</v>
      </c>
      <c r="MKX222" s="40" t="s">
        <v>91</v>
      </c>
      <c r="MKY222" s="40" t="s">
        <v>91</v>
      </c>
      <c r="MKZ222" s="40" t="s">
        <v>91</v>
      </c>
      <c r="MLA222" s="40" t="s">
        <v>91</v>
      </c>
      <c r="MLB222" s="40" t="s">
        <v>91</v>
      </c>
      <c r="MLC222" s="40" t="s">
        <v>91</v>
      </c>
      <c r="MLD222" s="40" t="s">
        <v>91</v>
      </c>
      <c r="MLE222" s="40" t="s">
        <v>91</v>
      </c>
      <c r="MLF222" s="40" t="s">
        <v>91</v>
      </c>
      <c r="MLG222" s="40" t="s">
        <v>91</v>
      </c>
      <c r="MLH222" s="40" t="s">
        <v>91</v>
      </c>
      <c r="MLI222" s="40" t="s">
        <v>91</v>
      </c>
      <c r="MLJ222" s="40" t="s">
        <v>91</v>
      </c>
      <c r="MLK222" s="40" t="s">
        <v>91</v>
      </c>
      <c r="MLL222" s="40" t="s">
        <v>91</v>
      </c>
      <c r="MLM222" s="40" t="s">
        <v>91</v>
      </c>
      <c r="MLN222" s="40" t="s">
        <v>91</v>
      </c>
      <c r="MLO222" s="40" t="s">
        <v>91</v>
      </c>
      <c r="MLP222" s="40" t="s">
        <v>91</v>
      </c>
      <c r="MLQ222" s="40" t="s">
        <v>91</v>
      </c>
      <c r="MLR222" s="40" t="s">
        <v>91</v>
      </c>
      <c r="MLS222" s="40" t="s">
        <v>91</v>
      </c>
      <c r="MLT222" s="40" t="s">
        <v>91</v>
      </c>
      <c r="MLU222" s="40" t="s">
        <v>91</v>
      </c>
      <c r="MLV222" s="40" t="s">
        <v>91</v>
      </c>
      <c r="MLW222" s="40" t="s">
        <v>91</v>
      </c>
      <c r="MLX222" s="40" t="s">
        <v>91</v>
      </c>
      <c r="MLY222" s="40" t="s">
        <v>91</v>
      </c>
      <c r="MLZ222" s="40" t="s">
        <v>91</v>
      </c>
      <c r="MMA222" s="40" t="s">
        <v>91</v>
      </c>
      <c r="MMB222" s="40" t="s">
        <v>91</v>
      </c>
      <c r="MMC222" s="40" t="s">
        <v>91</v>
      </c>
      <c r="MMD222" s="40" t="s">
        <v>91</v>
      </c>
      <c r="MME222" s="40" t="s">
        <v>91</v>
      </c>
      <c r="MMF222" s="40" t="s">
        <v>91</v>
      </c>
      <c r="MMG222" s="40" t="s">
        <v>91</v>
      </c>
      <c r="MMH222" s="40" t="s">
        <v>91</v>
      </c>
      <c r="MMI222" s="40" t="s">
        <v>91</v>
      </c>
      <c r="MMJ222" s="40" t="s">
        <v>91</v>
      </c>
      <c r="MMK222" s="40" t="s">
        <v>91</v>
      </c>
      <c r="MML222" s="40" t="s">
        <v>91</v>
      </c>
      <c r="MMM222" s="40" t="s">
        <v>91</v>
      </c>
      <c r="MMN222" s="40" t="s">
        <v>91</v>
      </c>
      <c r="MMO222" s="40" t="s">
        <v>91</v>
      </c>
      <c r="MMP222" s="40" t="s">
        <v>91</v>
      </c>
      <c r="MMQ222" s="40" t="s">
        <v>91</v>
      </c>
      <c r="MMR222" s="40" t="s">
        <v>91</v>
      </c>
      <c r="MMS222" s="40" t="s">
        <v>91</v>
      </c>
      <c r="MMT222" s="40" t="s">
        <v>91</v>
      </c>
      <c r="MMU222" s="40" t="s">
        <v>91</v>
      </c>
      <c r="MMV222" s="40" t="s">
        <v>91</v>
      </c>
      <c r="MMW222" s="40" t="s">
        <v>91</v>
      </c>
      <c r="MMX222" s="40" t="s">
        <v>91</v>
      </c>
      <c r="MMY222" s="40" t="s">
        <v>91</v>
      </c>
      <c r="MMZ222" s="40" t="s">
        <v>91</v>
      </c>
      <c r="MNA222" s="40" t="s">
        <v>91</v>
      </c>
      <c r="MNB222" s="40" t="s">
        <v>91</v>
      </c>
      <c r="MNC222" s="40" t="s">
        <v>91</v>
      </c>
      <c r="MND222" s="40" t="s">
        <v>91</v>
      </c>
      <c r="MNE222" s="40" t="s">
        <v>91</v>
      </c>
      <c r="MNF222" s="40" t="s">
        <v>91</v>
      </c>
      <c r="MNG222" s="40" t="s">
        <v>91</v>
      </c>
      <c r="MNH222" s="40" t="s">
        <v>91</v>
      </c>
      <c r="MNI222" s="40" t="s">
        <v>91</v>
      </c>
      <c r="MNJ222" s="40" t="s">
        <v>91</v>
      </c>
      <c r="MNK222" s="40" t="s">
        <v>91</v>
      </c>
      <c r="MNL222" s="40" t="s">
        <v>91</v>
      </c>
      <c r="MNM222" s="40" t="s">
        <v>91</v>
      </c>
      <c r="MNN222" s="40" t="s">
        <v>91</v>
      </c>
      <c r="MNO222" s="40" t="s">
        <v>91</v>
      </c>
      <c r="MNP222" s="40" t="s">
        <v>91</v>
      </c>
      <c r="MNQ222" s="40" t="s">
        <v>91</v>
      </c>
      <c r="MNR222" s="40" t="s">
        <v>91</v>
      </c>
      <c r="MNS222" s="40" t="s">
        <v>91</v>
      </c>
      <c r="MNT222" s="40" t="s">
        <v>91</v>
      </c>
      <c r="MNU222" s="40" t="s">
        <v>91</v>
      </c>
      <c r="MNV222" s="40" t="s">
        <v>91</v>
      </c>
      <c r="MNW222" s="40" t="s">
        <v>91</v>
      </c>
      <c r="MNX222" s="40" t="s">
        <v>91</v>
      </c>
      <c r="MNY222" s="40" t="s">
        <v>91</v>
      </c>
      <c r="MNZ222" s="40" t="s">
        <v>91</v>
      </c>
      <c r="MOA222" s="40" t="s">
        <v>91</v>
      </c>
      <c r="MOB222" s="40" t="s">
        <v>91</v>
      </c>
      <c r="MOC222" s="40" t="s">
        <v>91</v>
      </c>
      <c r="MOD222" s="40" t="s">
        <v>91</v>
      </c>
      <c r="MOE222" s="40" t="s">
        <v>91</v>
      </c>
      <c r="MOF222" s="40" t="s">
        <v>91</v>
      </c>
      <c r="MOG222" s="40" t="s">
        <v>91</v>
      </c>
      <c r="MOH222" s="40" t="s">
        <v>91</v>
      </c>
      <c r="MOI222" s="40" t="s">
        <v>91</v>
      </c>
      <c r="MOJ222" s="40" t="s">
        <v>91</v>
      </c>
      <c r="MOK222" s="40" t="s">
        <v>91</v>
      </c>
      <c r="MOL222" s="40" t="s">
        <v>91</v>
      </c>
      <c r="MOM222" s="40" t="s">
        <v>91</v>
      </c>
      <c r="MON222" s="40" t="s">
        <v>91</v>
      </c>
      <c r="MOO222" s="40" t="s">
        <v>91</v>
      </c>
      <c r="MOP222" s="40" t="s">
        <v>91</v>
      </c>
      <c r="MOQ222" s="40" t="s">
        <v>91</v>
      </c>
      <c r="MOR222" s="40" t="s">
        <v>91</v>
      </c>
      <c r="MOS222" s="40" t="s">
        <v>91</v>
      </c>
      <c r="MOT222" s="40" t="s">
        <v>91</v>
      </c>
      <c r="MOU222" s="40" t="s">
        <v>91</v>
      </c>
      <c r="MOV222" s="40" t="s">
        <v>91</v>
      </c>
      <c r="MOW222" s="40" t="s">
        <v>91</v>
      </c>
      <c r="MOX222" s="40" t="s">
        <v>91</v>
      </c>
      <c r="MOY222" s="40" t="s">
        <v>91</v>
      </c>
      <c r="MOZ222" s="40" t="s">
        <v>91</v>
      </c>
      <c r="MPA222" s="40" t="s">
        <v>91</v>
      </c>
      <c r="MPB222" s="40" t="s">
        <v>91</v>
      </c>
      <c r="MPC222" s="40" t="s">
        <v>91</v>
      </c>
      <c r="MPD222" s="40" t="s">
        <v>91</v>
      </c>
      <c r="MPE222" s="40" t="s">
        <v>91</v>
      </c>
      <c r="MPF222" s="40" t="s">
        <v>91</v>
      </c>
      <c r="MPG222" s="40" t="s">
        <v>91</v>
      </c>
      <c r="MPH222" s="40" t="s">
        <v>91</v>
      </c>
      <c r="MPI222" s="40" t="s">
        <v>91</v>
      </c>
      <c r="MPJ222" s="40" t="s">
        <v>91</v>
      </c>
      <c r="MPK222" s="40" t="s">
        <v>91</v>
      </c>
      <c r="MPL222" s="40" t="s">
        <v>91</v>
      </c>
      <c r="MPM222" s="40" t="s">
        <v>91</v>
      </c>
      <c r="MPN222" s="40" t="s">
        <v>91</v>
      </c>
      <c r="MPO222" s="40" t="s">
        <v>91</v>
      </c>
      <c r="MPP222" s="40" t="s">
        <v>91</v>
      </c>
      <c r="MPQ222" s="40" t="s">
        <v>91</v>
      </c>
      <c r="MPR222" s="40" t="s">
        <v>91</v>
      </c>
      <c r="MPS222" s="40" t="s">
        <v>91</v>
      </c>
      <c r="MPT222" s="40" t="s">
        <v>91</v>
      </c>
      <c r="MPU222" s="40" t="s">
        <v>91</v>
      </c>
      <c r="MPV222" s="40" t="s">
        <v>91</v>
      </c>
      <c r="MPW222" s="40" t="s">
        <v>91</v>
      </c>
      <c r="MPX222" s="40" t="s">
        <v>91</v>
      </c>
      <c r="MPY222" s="40" t="s">
        <v>91</v>
      </c>
      <c r="MPZ222" s="40" t="s">
        <v>91</v>
      </c>
      <c r="MQA222" s="40" t="s">
        <v>91</v>
      </c>
      <c r="MQB222" s="40" t="s">
        <v>91</v>
      </c>
      <c r="MQC222" s="40" t="s">
        <v>91</v>
      </c>
      <c r="MQD222" s="40" t="s">
        <v>91</v>
      </c>
      <c r="MQE222" s="40" t="s">
        <v>91</v>
      </c>
      <c r="MQF222" s="40" t="s">
        <v>91</v>
      </c>
      <c r="MQG222" s="40" t="s">
        <v>91</v>
      </c>
      <c r="MQH222" s="40" t="s">
        <v>91</v>
      </c>
      <c r="MQI222" s="40" t="s">
        <v>91</v>
      </c>
      <c r="MQJ222" s="40" t="s">
        <v>91</v>
      </c>
      <c r="MQK222" s="40" t="s">
        <v>91</v>
      </c>
      <c r="MQL222" s="40" t="s">
        <v>91</v>
      </c>
      <c r="MQM222" s="40" t="s">
        <v>91</v>
      </c>
      <c r="MQN222" s="40" t="s">
        <v>91</v>
      </c>
      <c r="MQO222" s="40" t="s">
        <v>91</v>
      </c>
      <c r="MQP222" s="40" t="s">
        <v>91</v>
      </c>
      <c r="MQQ222" s="40" t="s">
        <v>91</v>
      </c>
      <c r="MQR222" s="40" t="s">
        <v>91</v>
      </c>
      <c r="MQS222" s="40" t="s">
        <v>91</v>
      </c>
      <c r="MQT222" s="40" t="s">
        <v>91</v>
      </c>
      <c r="MQU222" s="40" t="s">
        <v>91</v>
      </c>
      <c r="MQV222" s="40" t="s">
        <v>91</v>
      </c>
      <c r="MQW222" s="40" t="s">
        <v>91</v>
      </c>
      <c r="MQX222" s="40" t="s">
        <v>91</v>
      </c>
      <c r="MQY222" s="40" t="s">
        <v>91</v>
      </c>
      <c r="MQZ222" s="40" t="s">
        <v>91</v>
      </c>
      <c r="MRA222" s="40" t="s">
        <v>91</v>
      </c>
      <c r="MRB222" s="40" t="s">
        <v>91</v>
      </c>
      <c r="MRC222" s="40" t="s">
        <v>91</v>
      </c>
      <c r="MRD222" s="40" t="s">
        <v>91</v>
      </c>
      <c r="MRE222" s="40" t="s">
        <v>91</v>
      </c>
      <c r="MRF222" s="40" t="s">
        <v>91</v>
      </c>
      <c r="MRG222" s="40" t="s">
        <v>91</v>
      </c>
      <c r="MRH222" s="40" t="s">
        <v>91</v>
      </c>
      <c r="MRI222" s="40" t="s">
        <v>91</v>
      </c>
      <c r="MRJ222" s="40" t="s">
        <v>91</v>
      </c>
      <c r="MRK222" s="40" t="s">
        <v>91</v>
      </c>
      <c r="MRL222" s="40" t="s">
        <v>91</v>
      </c>
      <c r="MRM222" s="40" t="s">
        <v>91</v>
      </c>
      <c r="MRN222" s="40" t="s">
        <v>91</v>
      </c>
      <c r="MRO222" s="40" t="s">
        <v>91</v>
      </c>
      <c r="MRP222" s="40" t="s">
        <v>91</v>
      </c>
      <c r="MRQ222" s="40" t="s">
        <v>91</v>
      </c>
      <c r="MRR222" s="40" t="s">
        <v>91</v>
      </c>
      <c r="MRS222" s="40" t="s">
        <v>91</v>
      </c>
      <c r="MRT222" s="40" t="s">
        <v>91</v>
      </c>
      <c r="MRU222" s="40" t="s">
        <v>91</v>
      </c>
      <c r="MRV222" s="40" t="s">
        <v>91</v>
      </c>
      <c r="MRW222" s="40" t="s">
        <v>91</v>
      </c>
      <c r="MRX222" s="40" t="s">
        <v>91</v>
      </c>
      <c r="MRY222" s="40" t="s">
        <v>91</v>
      </c>
      <c r="MRZ222" s="40" t="s">
        <v>91</v>
      </c>
      <c r="MSA222" s="40" t="s">
        <v>91</v>
      </c>
      <c r="MSB222" s="40" t="s">
        <v>91</v>
      </c>
      <c r="MSC222" s="40" t="s">
        <v>91</v>
      </c>
      <c r="MSD222" s="40" t="s">
        <v>91</v>
      </c>
      <c r="MSE222" s="40" t="s">
        <v>91</v>
      </c>
      <c r="MSF222" s="40" t="s">
        <v>91</v>
      </c>
      <c r="MSG222" s="40" t="s">
        <v>91</v>
      </c>
      <c r="MSH222" s="40" t="s">
        <v>91</v>
      </c>
      <c r="MSI222" s="40" t="s">
        <v>91</v>
      </c>
      <c r="MSJ222" s="40" t="s">
        <v>91</v>
      </c>
      <c r="MSK222" s="40" t="s">
        <v>91</v>
      </c>
      <c r="MSL222" s="40" t="s">
        <v>91</v>
      </c>
      <c r="MSM222" s="40" t="s">
        <v>91</v>
      </c>
      <c r="MSN222" s="40" t="s">
        <v>91</v>
      </c>
      <c r="MSO222" s="40" t="s">
        <v>91</v>
      </c>
      <c r="MSP222" s="40" t="s">
        <v>91</v>
      </c>
      <c r="MSQ222" s="40" t="s">
        <v>91</v>
      </c>
      <c r="MSR222" s="40" t="s">
        <v>91</v>
      </c>
      <c r="MSS222" s="40" t="s">
        <v>91</v>
      </c>
      <c r="MST222" s="40" t="s">
        <v>91</v>
      </c>
      <c r="MSU222" s="40" t="s">
        <v>91</v>
      </c>
      <c r="MSV222" s="40" t="s">
        <v>91</v>
      </c>
      <c r="MSW222" s="40" t="s">
        <v>91</v>
      </c>
      <c r="MSX222" s="40" t="s">
        <v>91</v>
      </c>
      <c r="MSY222" s="40" t="s">
        <v>91</v>
      </c>
      <c r="MSZ222" s="40" t="s">
        <v>91</v>
      </c>
      <c r="MTA222" s="40" t="s">
        <v>91</v>
      </c>
      <c r="MTB222" s="40" t="s">
        <v>91</v>
      </c>
      <c r="MTC222" s="40" t="s">
        <v>91</v>
      </c>
      <c r="MTD222" s="40" t="s">
        <v>91</v>
      </c>
      <c r="MTE222" s="40" t="s">
        <v>91</v>
      </c>
      <c r="MTF222" s="40" t="s">
        <v>91</v>
      </c>
      <c r="MTG222" s="40" t="s">
        <v>91</v>
      </c>
      <c r="MTH222" s="40" t="s">
        <v>91</v>
      </c>
      <c r="MTI222" s="40" t="s">
        <v>91</v>
      </c>
      <c r="MTJ222" s="40" t="s">
        <v>91</v>
      </c>
      <c r="MTK222" s="40" t="s">
        <v>91</v>
      </c>
      <c r="MTL222" s="40" t="s">
        <v>91</v>
      </c>
      <c r="MTM222" s="40" t="s">
        <v>91</v>
      </c>
      <c r="MTN222" s="40" t="s">
        <v>91</v>
      </c>
      <c r="MTO222" s="40" t="s">
        <v>91</v>
      </c>
      <c r="MTP222" s="40" t="s">
        <v>91</v>
      </c>
      <c r="MTQ222" s="40" t="s">
        <v>91</v>
      </c>
      <c r="MTR222" s="40" t="s">
        <v>91</v>
      </c>
      <c r="MTS222" s="40" t="s">
        <v>91</v>
      </c>
      <c r="MTT222" s="40" t="s">
        <v>91</v>
      </c>
      <c r="MTU222" s="40" t="s">
        <v>91</v>
      </c>
      <c r="MTV222" s="40" t="s">
        <v>91</v>
      </c>
      <c r="MTW222" s="40" t="s">
        <v>91</v>
      </c>
      <c r="MTX222" s="40" t="s">
        <v>91</v>
      </c>
      <c r="MTY222" s="40" t="s">
        <v>91</v>
      </c>
      <c r="MTZ222" s="40" t="s">
        <v>91</v>
      </c>
      <c r="MUA222" s="40" t="s">
        <v>91</v>
      </c>
      <c r="MUB222" s="40" t="s">
        <v>91</v>
      </c>
      <c r="MUC222" s="40" t="s">
        <v>91</v>
      </c>
      <c r="MUD222" s="40" t="s">
        <v>91</v>
      </c>
      <c r="MUE222" s="40" t="s">
        <v>91</v>
      </c>
      <c r="MUF222" s="40" t="s">
        <v>91</v>
      </c>
      <c r="MUG222" s="40" t="s">
        <v>91</v>
      </c>
      <c r="MUH222" s="40" t="s">
        <v>91</v>
      </c>
      <c r="MUI222" s="40" t="s">
        <v>91</v>
      </c>
      <c r="MUJ222" s="40" t="s">
        <v>91</v>
      </c>
      <c r="MUK222" s="40" t="s">
        <v>91</v>
      </c>
      <c r="MUL222" s="40" t="s">
        <v>91</v>
      </c>
      <c r="MUM222" s="40" t="s">
        <v>91</v>
      </c>
      <c r="MUN222" s="40" t="s">
        <v>91</v>
      </c>
      <c r="MUO222" s="40" t="s">
        <v>91</v>
      </c>
      <c r="MUP222" s="40" t="s">
        <v>91</v>
      </c>
      <c r="MUQ222" s="40" t="s">
        <v>91</v>
      </c>
      <c r="MUR222" s="40" t="s">
        <v>91</v>
      </c>
      <c r="MUS222" s="40" t="s">
        <v>91</v>
      </c>
      <c r="MUT222" s="40" t="s">
        <v>91</v>
      </c>
      <c r="MUU222" s="40" t="s">
        <v>91</v>
      </c>
      <c r="MUV222" s="40" t="s">
        <v>91</v>
      </c>
      <c r="MUW222" s="40" t="s">
        <v>91</v>
      </c>
      <c r="MUX222" s="40" t="s">
        <v>91</v>
      </c>
      <c r="MUY222" s="40" t="s">
        <v>91</v>
      </c>
      <c r="MUZ222" s="40" t="s">
        <v>91</v>
      </c>
      <c r="MVA222" s="40" t="s">
        <v>91</v>
      </c>
      <c r="MVB222" s="40" t="s">
        <v>91</v>
      </c>
      <c r="MVC222" s="40" t="s">
        <v>91</v>
      </c>
      <c r="MVD222" s="40" t="s">
        <v>91</v>
      </c>
      <c r="MVE222" s="40" t="s">
        <v>91</v>
      </c>
      <c r="MVF222" s="40" t="s">
        <v>91</v>
      </c>
      <c r="MVG222" s="40" t="s">
        <v>91</v>
      </c>
      <c r="MVH222" s="40" t="s">
        <v>91</v>
      </c>
      <c r="MVI222" s="40" t="s">
        <v>91</v>
      </c>
      <c r="MVJ222" s="40" t="s">
        <v>91</v>
      </c>
      <c r="MVK222" s="40" t="s">
        <v>91</v>
      </c>
      <c r="MVL222" s="40" t="s">
        <v>91</v>
      </c>
      <c r="MVM222" s="40" t="s">
        <v>91</v>
      </c>
      <c r="MVN222" s="40" t="s">
        <v>91</v>
      </c>
      <c r="MVO222" s="40" t="s">
        <v>91</v>
      </c>
      <c r="MVP222" s="40" t="s">
        <v>91</v>
      </c>
      <c r="MVQ222" s="40" t="s">
        <v>91</v>
      </c>
      <c r="MVR222" s="40" t="s">
        <v>91</v>
      </c>
      <c r="MVS222" s="40" t="s">
        <v>91</v>
      </c>
      <c r="MVT222" s="40" t="s">
        <v>91</v>
      </c>
      <c r="MVU222" s="40" t="s">
        <v>91</v>
      </c>
      <c r="MVV222" s="40" t="s">
        <v>91</v>
      </c>
      <c r="MVW222" s="40" t="s">
        <v>91</v>
      </c>
      <c r="MVX222" s="40" t="s">
        <v>91</v>
      </c>
      <c r="MVY222" s="40" t="s">
        <v>91</v>
      </c>
      <c r="MVZ222" s="40" t="s">
        <v>91</v>
      </c>
      <c r="MWA222" s="40" t="s">
        <v>91</v>
      </c>
      <c r="MWB222" s="40" t="s">
        <v>91</v>
      </c>
      <c r="MWC222" s="40" t="s">
        <v>91</v>
      </c>
      <c r="MWD222" s="40" t="s">
        <v>91</v>
      </c>
      <c r="MWE222" s="40" t="s">
        <v>91</v>
      </c>
      <c r="MWF222" s="40" t="s">
        <v>91</v>
      </c>
      <c r="MWG222" s="40" t="s">
        <v>91</v>
      </c>
      <c r="MWH222" s="40" t="s">
        <v>91</v>
      </c>
      <c r="MWI222" s="40" t="s">
        <v>91</v>
      </c>
      <c r="MWJ222" s="40" t="s">
        <v>91</v>
      </c>
      <c r="MWK222" s="40" t="s">
        <v>91</v>
      </c>
      <c r="MWL222" s="40" t="s">
        <v>91</v>
      </c>
      <c r="MWM222" s="40" t="s">
        <v>91</v>
      </c>
      <c r="MWN222" s="40" t="s">
        <v>91</v>
      </c>
      <c r="MWO222" s="40" t="s">
        <v>91</v>
      </c>
      <c r="MWP222" s="40" t="s">
        <v>91</v>
      </c>
      <c r="MWQ222" s="40" t="s">
        <v>91</v>
      </c>
      <c r="MWR222" s="40" t="s">
        <v>91</v>
      </c>
      <c r="MWS222" s="40" t="s">
        <v>91</v>
      </c>
      <c r="MWT222" s="40" t="s">
        <v>91</v>
      </c>
      <c r="MWU222" s="40" t="s">
        <v>91</v>
      </c>
      <c r="MWV222" s="40" t="s">
        <v>91</v>
      </c>
      <c r="MWW222" s="40" t="s">
        <v>91</v>
      </c>
      <c r="MWX222" s="40" t="s">
        <v>91</v>
      </c>
      <c r="MWY222" s="40" t="s">
        <v>91</v>
      </c>
      <c r="MWZ222" s="40" t="s">
        <v>91</v>
      </c>
      <c r="MXA222" s="40" t="s">
        <v>91</v>
      </c>
      <c r="MXB222" s="40" t="s">
        <v>91</v>
      </c>
      <c r="MXC222" s="40" t="s">
        <v>91</v>
      </c>
      <c r="MXD222" s="40" t="s">
        <v>91</v>
      </c>
      <c r="MXE222" s="40" t="s">
        <v>91</v>
      </c>
      <c r="MXF222" s="40" t="s">
        <v>91</v>
      </c>
      <c r="MXG222" s="40" t="s">
        <v>91</v>
      </c>
      <c r="MXH222" s="40" t="s">
        <v>91</v>
      </c>
      <c r="MXI222" s="40" t="s">
        <v>91</v>
      </c>
      <c r="MXJ222" s="40" t="s">
        <v>91</v>
      </c>
      <c r="MXK222" s="40" t="s">
        <v>91</v>
      </c>
      <c r="MXL222" s="40" t="s">
        <v>91</v>
      </c>
      <c r="MXM222" s="40" t="s">
        <v>91</v>
      </c>
      <c r="MXN222" s="40" t="s">
        <v>91</v>
      </c>
      <c r="MXO222" s="40" t="s">
        <v>91</v>
      </c>
      <c r="MXP222" s="40" t="s">
        <v>91</v>
      </c>
      <c r="MXQ222" s="40" t="s">
        <v>91</v>
      </c>
      <c r="MXR222" s="40" t="s">
        <v>91</v>
      </c>
      <c r="MXS222" s="40" t="s">
        <v>91</v>
      </c>
      <c r="MXT222" s="40" t="s">
        <v>91</v>
      </c>
      <c r="MXU222" s="40" t="s">
        <v>91</v>
      </c>
      <c r="MXV222" s="40" t="s">
        <v>91</v>
      </c>
      <c r="MXW222" s="40" t="s">
        <v>91</v>
      </c>
      <c r="MXX222" s="40" t="s">
        <v>91</v>
      </c>
      <c r="MXY222" s="40" t="s">
        <v>91</v>
      </c>
      <c r="MXZ222" s="40" t="s">
        <v>91</v>
      </c>
      <c r="MYA222" s="40" t="s">
        <v>91</v>
      </c>
      <c r="MYB222" s="40" t="s">
        <v>91</v>
      </c>
      <c r="MYC222" s="40" t="s">
        <v>91</v>
      </c>
      <c r="MYD222" s="40" t="s">
        <v>91</v>
      </c>
      <c r="MYE222" s="40" t="s">
        <v>91</v>
      </c>
      <c r="MYF222" s="40" t="s">
        <v>91</v>
      </c>
      <c r="MYG222" s="40" t="s">
        <v>91</v>
      </c>
      <c r="MYH222" s="40" t="s">
        <v>91</v>
      </c>
      <c r="MYI222" s="40" t="s">
        <v>91</v>
      </c>
      <c r="MYJ222" s="40" t="s">
        <v>91</v>
      </c>
      <c r="MYK222" s="40" t="s">
        <v>91</v>
      </c>
      <c r="MYL222" s="40" t="s">
        <v>91</v>
      </c>
      <c r="MYM222" s="40" t="s">
        <v>91</v>
      </c>
      <c r="MYN222" s="40" t="s">
        <v>91</v>
      </c>
      <c r="MYO222" s="40" t="s">
        <v>91</v>
      </c>
      <c r="MYP222" s="40" t="s">
        <v>91</v>
      </c>
      <c r="MYQ222" s="40" t="s">
        <v>91</v>
      </c>
      <c r="MYR222" s="40" t="s">
        <v>91</v>
      </c>
      <c r="MYS222" s="40" t="s">
        <v>91</v>
      </c>
      <c r="MYT222" s="40" t="s">
        <v>91</v>
      </c>
      <c r="MYU222" s="40" t="s">
        <v>91</v>
      </c>
      <c r="MYV222" s="40" t="s">
        <v>91</v>
      </c>
      <c r="MYW222" s="40" t="s">
        <v>91</v>
      </c>
      <c r="MYX222" s="40" t="s">
        <v>91</v>
      </c>
      <c r="MYY222" s="40" t="s">
        <v>91</v>
      </c>
      <c r="MYZ222" s="40" t="s">
        <v>91</v>
      </c>
      <c r="MZA222" s="40" t="s">
        <v>91</v>
      </c>
      <c r="MZB222" s="40" t="s">
        <v>91</v>
      </c>
      <c r="MZC222" s="40" t="s">
        <v>91</v>
      </c>
      <c r="MZD222" s="40" t="s">
        <v>91</v>
      </c>
      <c r="MZE222" s="40" t="s">
        <v>91</v>
      </c>
      <c r="MZF222" s="40" t="s">
        <v>91</v>
      </c>
      <c r="MZG222" s="40" t="s">
        <v>91</v>
      </c>
      <c r="MZH222" s="40" t="s">
        <v>91</v>
      </c>
      <c r="MZI222" s="40" t="s">
        <v>91</v>
      </c>
      <c r="MZJ222" s="40" t="s">
        <v>91</v>
      </c>
      <c r="MZK222" s="40" t="s">
        <v>91</v>
      </c>
      <c r="MZL222" s="40" t="s">
        <v>91</v>
      </c>
      <c r="MZM222" s="40" t="s">
        <v>91</v>
      </c>
      <c r="MZN222" s="40" t="s">
        <v>91</v>
      </c>
      <c r="MZO222" s="40" t="s">
        <v>91</v>
      </c>
      <c r="MZP222" s="40" t="s">
        <v>91</v>
      </c>
      <c r="MZQ222" s="40" t="s">
        <v>91</v>
      </c>
      <c r="MZR222" s="40" t="s">
        <v>91</v>
      </c>
      <c r="MZS222" s="40" t="s">
        <v>91</v>
      </c>
      <c r="MZT222" s="40" t="s">
        <v>91</v>
      </c>
      <c r="MZU222" s="40" t="s">
        <v>91</v>
      </c>
      <c r="MZV222" s="40" t="s">
        <v>91</v>
      </c>
      <c r="MZW222" s="40" t="s">
        <v>91</v>
      </c>
      <c r="MZX222" s="40" t="s">
        <v>91</v>
      </c>
      <c r="MZY222" s="40" t="s">
        <v>91</v>
      </c>
      <c r="MZZ222" s="40" t="s">
        <v>91</v>
      </c>
      <c r="NAA222" s="40" t="s">
        <v>91</v>
      </c>
      <c r="NAB222" s="40" t="s">
        <v>91</v>
      </c>
      <c r="NAC222" s="40" t="s">
        <v>91</v>
      </c>
      <c r="NAD222" s="40" t="s">
        <v>91</v>
      </c>
      <c r="NAE222" s="40" t="s">
        <v>91</v>
      </c>
      <c r="NAF222" s="40" t="s">
        <v>91</v>
      </c>
      <c r="NAG222" s="40" t="s">
        <v>91</v>
      </c>
      <c r="NAH222" s="40" t="s">
        <v>91</v>
      </c>
      <c r="NAI222" s="40" t="s">
        <v>91</v>
      </c>
      <c r="NAJ222" s="40" t="s">
        <v>91</v>
      </c>
      <c r="NAK222" s="40" t="s">
        <v>91</v>
      </c>
      <c r="NAL222" s="40" t="s">
        <v>91</v>
      </c>
      <c r="NAM222" s="40" t="s">
        <v>91</v>
      </c>
      <c r="NAN222" s="40" t="s">
        <v>91</v>
      </c>
      <c r="NAO222" s="40" t="s">
        <v>91</v>
      </c>
      <c r="NAP222" s="40" t="s">
        <v>91</v>
      </c>
      <c r="NAQ222" s="40" t="s">
        <v>91</v>
      </c>
      <c r="NAR222" s="40" t="s">
        <v>91</v>
      </c>
      <c r="NAS222" s="40" t="s">
        <v>91</v>
      </c>
      <c r="NAT222" s="40" t="s">
        <v>91</v>
      </c>
      <c r="NAU222" s="40" t="s">
        <v>91</v>
      </c>
      <c r="NAV222" s="40" t="s">
        <v>91</v>
      </c>
      <c r="NAW222" s="40" t="s">
        <v>91</v>
      </c>
      <c r="NAX222" s="40" t="s">
        <v>91</v>
      </c>
      <c r="NAY222" s="40" t="s">
        <v>91</v>
      </c>
      <c r="NAZ222" s="40" t="s">
        <v>91</v>
      </c>
      <c r="NBA222" s="40" t="s">
        <v>91</v>
      </c>
      <c r="NBB222" s="40" t="s">
        <v>91</v>
      </c>
      <c r="NBC222" s="40" t="s">
        <v>91</v>
      </c>
      <c r="NBD222" s="40" t="s">
        <v>91</v>
      </c>
      <c r="NBE222" s="40" t="s">
        <v>91</v>
      </c>
      <c r="NBF222" s="40" t="s">
        <v>91</v>
      </c>
      <c r="NBG222" s="40" t="s">
        <v>91</v>
      </c>
      <c r="NBH222" s="40" t="s">
        <v>91</v>
      </c>
      <c r="NBI222" s="40" t="s">
        <v>91</v>
      </c>
      <c r="NBJ222" s="40" t="s">
        <v>91</v>
      </c>
      <c r="NBK222" s="40" t="s">
        <v>91</v>
      </c>
      <c r="NBL222" s="40" t="s">
        <v>91</v>
      </c>
      <c r="NBM222" s="40" t="s">
        <v>91</v>
      </c>
      <c r="NBN222" s="40" t="s">
        <v>91</v>
      </c>
      <c r="NBO222" s="40" t="s">
        <v>91</v>
      </c>
      <c r="NBP222" s="40" t="s">
        <v>91</v>
      </c>
      <c r="NBQ222" s="40" t="s">
        <v>91</v>
      </c>
      <c r="NBR222" s="40" t="s">
        <v>91</v>
      </c>
      <c r="NBS222" s="40" t="s">
        <v>91</v>
      </c>
      <c r="NBT222" s="40" t="s">
        <v>91</v>
      </c>
      <c r="NBU222" s="40" t="s">
        <v>91</v>
      </c>
      <c r="NBV222" s="40" t="s">
        <v>91</v>
      </c>
      <c r="NBW222" s="40" t="s">
        <v>91</v>
      </c>
      <c r="NBX222" s="40" t="s">
        <v>91</v>
      </c>
      <c r="NBY222" s="40" t="s">
        <v>91</v>
      </c>
      <c r="NBZ222" s="40" t="s">
        <v>91</v>
      </c>
      <c r="NCA222" s="40" t="s">
        <v>91</v>
      </c>
      <c r="NCB222" s="40" t="s">
        <v>91</v>
      </c>
      <c r="NCC222" s="40" t="s">
        <v>91</v>
      </c>
      <c r="NCD222" s="40" t="s">
        <v>91</v>
      </c>
      <c r="NCE222" s="40" t="s">
        <v>91</v>
      </c>
      <c r="NCF222" s="40" t="s">
        <v>91</v>
      </c>
      <c r="NCG222" s="40" t="s">
        <v>91</v>
      </c>
      <c r="NCH222" s="40" t="s">
        <v>91</v>
      </c>
      <c r="NCI222" s="40" t="s">
        <v>91</v>
      </c>
      <c r="NCJ222" s="40" t="s">
        <v>91</v>
      </c>
      <c r="NCK222" s="40" t="s">
        <v>91</v>
      </c>
      <c r="NCL222" s="40" t="s">
        <v>91</v>
      </c>
      <c r="NCM222" s="40" t="s">
        <v>91</v>
      </c>
      <c r="NCN222" s="40" t="s">
        <v>91</v>
      </c>
      <c r="NCO222" s="40" t="s">
        <v>91</v>
      </c>
      <c r="NCP222" s="40" t="s">
        <v>91</v>
      </c>
      <c r="NCQ222" s="40" t="s">
        <v>91</v>
      </c>
      <c r="NCR222" s="40" t="s">
        <v>91</v>
      </c>
      <c r="NCS222" s="40" t="s">
        <v>91</v>
      </c>
      <c r="NCT222" s="40" t="s">
        <v>91</v>
      </c>
      <c r="NCU222" s="40" t="s">
        <v>91</v>
      </c>
      <c r="NCV222" s="40" t="s">
        <v>91</v>
      </c>
      <c r="NCW222" s="40" t="s">
        <v>91</v>
      </c>
      <c r="NCX222" s="40" t="s">
        <v>91</v>
      </c>
      <c r="NCY222" s="40" t="s">
        <v>91</v>
      </c>
      <c r="NCZ222" s="40" t="s">
        <v>91</v>
      </c>
      <c r="NDA222" s="40" t="s">
        <v>91</v>
      </c>
      <c r="NDB222" s="40" t="s">
        <v>91</v>
      </c>
      <c r="NDC222" s="40" t="s">
        <v>91</v>
      </c>
      <c r="NDD222" s="40" t="s">
        <v>91</v>
      </c>
      <c r="NDE222" s="40" t="s">
        <v>91</v>
      </c>
      <c r="NDF222" s="40" t="s">
        <v>91</v>
      </c>
      <c r="NDG222" s="40" t="s">
        <v>91</v>
      </c>
      <c r="NDH222" s="40" t="s">
        <v>91</v>
      </c>
      <c r="NDI222" s="40" t="s">
        <v>91</v>
      </c>
      <c r="NDJ222" s="40" t="s">
        <v>91</v>
      </c>
      <c r="NDK222" s="40" t="s">
        <v>91</v>
      </c>
      <c r="NDL222" s="40" t="s">
        <v>91</v>
      </c>
      <c r="NDM222" s="40" t="s">
        <v>91</v>
      </c>
      <c r="NDN222" s="40" t="s">
        <v>91</v>
      </c>
      <c r="NDO222" s="40" t="s">
        <v>91</v>
      </c>
      <c r="NDP222" s="40" t="s">
        <v>91</v>
      </c>
      <c r="NDQ222" s="40" t="s">
        <v>91</v>
      </c>
      <c r="NDR222" s="40" t="s">
        <v>91</v>
      </c>
      <c r="NDS222" s="40" t="s">
        <v>91</v>
      </c>
      <c r="NDT222" s="40" t="s">
        <v>91</v>
      </c>
      <c r="NDU222" s="40" t="s">
        <v>91</v>
      </c>
      <c r="NDV222" s="40" t="s">
        <v>91</v>
      </c>
      <c r="NDW222" s="40" t="s">
        <v>91</v>
      </c>
      <c r="NDX222" s="40" t="s">
        <v>91</v>
      </c>
      <c r="NDY222" s="40" t="s">
        <v>91</v>
      </c>
      <c r="NDZ222" s="40" t="s">
        <v>91</v>
      </c>
      <c r="NEA222" s="40" t="s">
        <v>91</v>
      </c>
      <c r="NEB222" s="40" t="s">
        <v>91</v>
      </c>
      <c r="NEC222" s="40" t="s">
        <v>91</v>
      </c>
      <c r="NED222" s="40" t="s">
        <v>91</v>
      </c>
      <c r="NEE222" s="40" t="s">
        <v>91</v>
      </c>
      <c r="NEF222" s="40" t="s">
        <v>91</v>
      </c>
      <c r="NEG222" s="40" t="s">
        <v>91</v>
      </c>
      <c r="NEH222" s="40" t="s">
        <v>91</v>
      </c>
      <c r="NEI222" s="40" t="s">
        <v>91</v>
      </c>
      <c r="NEJ222" s="40" t="s">
        <v>91</v>
      </c>
      <c r="NEK222" s="40" t="s">
        <v>91</v>
      </c>
      <c r="NEL222" s="40" t="s">
        <v>91</v>
      </c>
      <c r="NEM222" s="40" t="s">
        <v>91</v>
      </c>
      <c r="NEN222" s="40" t="s">
        <v>91</v>
      </c>
      <c r="NEO222" s="40" t="s">
        <v>91</v>
      </c>
      <c r="NEP222" s="40" t="s">
        <v>91</v>
      </c>
      <c r="NEQ222" s="40" t="s">
        <v>91</v>
      </c>
      <c r="NER222" s="40" t="s">
        <v>91</v>
      </c>
      <c r="NES222" s="40" t="s">
        <v>91</v>
      </c>
      <c r="NET222" s="40" t="s">
        <v>91</v>
      </c>
      <c r="NEU222" s="40" t="s">
        <v>91</v>
      </c>
      <c r="NEV222" s="40" t="s">
        <v>91</v>
      </c>
      <c r="NEW222" s="40" t="s">
        <v>91</v>
      </c>
      <c r="NEX222" s="40" t="s">
        <v>91</v>
      </c>
      <c r="NEY222" s="40" t="s">
        <v>91</v>
      </c>
      <c r="NEZ222" s="40" t="s">
        <v>91</v>
      </c>
      <c r="NFA222" s="40" t="s">
        <v>91</v>
      </c>
      <c r="NFB222" s="40" t="s">
        <v>91</v>
      </c>
      <c r="NFC222" s="40" t="s">
        <v>91</v>
      </c>
      <c r="NFD222" s="40" t="s">
        <v>91</v>
      </c>
      <c r="NFE222" s="40" t="s">
        <v>91</v>
      </c>
      <c r="NFF222" s="40" t="s">
        <v>91</v>
      </c>
      <c r="NFG222" s="40" t="s">
        <v>91</v>
      </c>
      <c r="NFH222" s="40" t="s">
        <v>91</v>
      </c>
      <c r="NFI222" s="40" t="s">
        <v>91</v>
      </c>
      <c r="NFJ222" s="40" t="s">
        <v>91</v>
      </c>
      <c r="NFK222" s="40" t="s">
        <v>91</v>
      </c>
      <c r="NFL222" s="40" t="s">
        <v>91</v>
      </c>
      <c r="NFM222" s="40" t="s">
        <v>91</v>
      </c>
      <c r="NFN222" s="40" t="s">
        <v>91</v>
      </c>
      <c r="NFO222" s="40" t="s">
        <v>91</v>
      </c>
      <c r="NFP222" s="40" t="s">
        <v>91</v>
      </c>
      <c r="NFQ222" s="40" t="s">
        <v>91</v>
      </c>
      <c r="NFR222" s="40" t="s">
        <v>91</v>
      </c>
      <c r="NFS222" s="40" t="s">
        <v>91</v>
      </c>
      <c r="NFT222" s="40" t="s">
        <v>91</v>
      </c>
      <c r="NFU222" s="40" t="s">
        <v>91</v>
      </c>
      <c r="NFV222" s="40" t="s">
        <v>91</v>
      </c>
      <c r="NFW222" s="40" t="s">
        <v>91</v>
      </c>
      <c r="NFX222" s="40" t="s">
        <v>91</v>
      </c>
      <c r="NFY222" s="40" t="s">
        <v>91</v>
      </c>
      <c r="NFZ222" s="40" t="s">
        <v>91</v>
      </c>
      <c r="NGA222" s="40" t="s">
        <v>91</v>
      </c>
      <c r="NGB222" s="40" t="s">
        <v>91</v>
      </c>
      <c r="NGC222" s="40" t="s">
        <v>91</v>
      </c>
      <c r="NGD222" s="40" t="s">
        <v>91</v>
      </c>
      <c r="NGE222" s="40" t="s">
        <v>91</v>
      </c>
      <c r="NGF222" s="40" t="s">
        <v>91</v>
      </c>
      <c r="NGG222" s="40" t="s">
        <v>91</v>
      </c>
      <c r="NGH222" s="40" t="s">
        <v>91</v>
      </c>
      <c r="NGI222" s="40" t="s">
        <v>91</v>
      </c>
      <c r="NGJ222" s="40" t="s">
        <v>91</v>
      </c>
      <c r="NGK222" s="40" t="s">
        <v>91</v>
      </c>
      <c r="NGL222" s="40" t="s">
        <v>91</v>
      </c>
      <c r="NGM222" s="40" t="s">
        <v>91</v>
      </c>
      <c r="NGN222" s="40" t="s">
        <v>91</v>
      </c>
      <c r="NGO222" s="40" t="s">
        <v>91</v>
      </c>
      <c r="NGP222" s="40" t="s">
        <v>91</v>
      </c>
      <c r="NGQ222" s="40" t="s">
        <v>91</v>
      </c>
      <c r="NGR222" s="40" t="s">
        <v>91</v>
      </c>
      <c r="NGS222" s="40" t="s">
        <v>91</v>
      </c>
      <c r="NGT222" s="40" t="s">
        <v>91</v>
      </c>
      <c r="NGU222" s="40" t="s">
        <v>91</v>
      </c>
      <c r="NGV222" s="40" t="s">
        <v>91</v>
      </c>
      <c r="NGW222" s="40" t="s">
        <v>91</v>
      </c>
      <c r="NGX222" s="40" t="s">
        <v>91</v>
      </c>
      <c r="NGY222" s="40" t="s">
        <v>91</v>
      </c>
      <c r="NGZ222" s="40" t="s">
        <v>91</v>
      </c>
      <c r="NHA222" s="40" t="s">
        <v>91</v>
      </c>
      <c r="NHB222" s="40" t="s">
        <v>91</v>
      </c>
      <c r="NHC222" s="40" t="s">
        <v>91</v>
      </c>
      <c r="NHD222" s="40" t="s">
        <v>91</v>
      </c>
      <c r="NHE222" s="40" t="s">
        <v>91</v>
      </c>
      <c r="NHF222" s="40" t="s">
        <v>91</v>
      </c>
      <c r="NHG222" s="40" t="s">
        <v>91</v>
      </c>
      <c r="NHH222" s="40" t="s">
        <v>91</v>
      </c>
      <c r="NHI222" s="40" t="s">
        <v>91</v>
      </c>
      <c r="NHJ222" s="40" t="s">
        <v>91</v>
      </c>
      <c r="NHK222" s="40" t="s">
        <v>91</v>
      </c>
      <c r="NHL222" s="40" t="s">
        <v>91</v>
      </c>
      <c r="NHM222" s="40" t="s">
        <v>91</v>
      </c>
      <c r="NHN222" s="40" t="s">
        <v>91</v>
      </c>
      <c r="NHO222" s="40" t="s">
        <v>91</v>
      </c>
      <c r="NHP222" s="40" t="s">
        <v>91</v>
      </c>
      <c r="NHQ222" s="40" t="s">
        <v>91</v>
      </c>
      <c r="NHR222" s="40" t="s">
        <v>91</v>
      </c>
      <c r="NHS222" s="40" t="s">
        <v>91</v>
      </c>
      <c r="NHT222" s="40" t="s">
        <v>91</v>
      </c>
      <c r="NHU222" s="40" t="s">
        <v>91</v>
      </c>
      <c r="NHV222" s="40" t="s">
        <v>91</v>
      </c>
      <c r="NHW222" s="40" t="s">
        <v>91</v>
      </c>
      <c r="NHX222" s="40" t="s">
        <v>91</v>
      </c>
      <c r="NHY222" s="40" t="s">
        <v>91</v>
      </c>
      <c r="NHZ222" s="40" t="s">
        <v>91</v>
      </c>
      <c r="NIA222" s="40" t="s">
        <v>91</v>
      </c>
      <c r="NIB222" s="40" t="s">
        <v>91</v>
      </c>
      <c r="NIC222" s="40" t="s">
        <v>91</v>
      </c>
      <c r="NID222" s="40" t="s">
        <v>91</v>
      </c>
      <c r="NIE222" s="40" t="s">
        <v>91</v>
      </c>
      <c r="NIF222" s="40" t="s">
        <v>91</v>
      </c>
      <c r="NIG222" s="40" t="s">
        <v>91</v>
      </c>
      <c r="NIH222" s="40" t="s">
        <v>91</v>
      </c>
      <c r="NII222" s="40" t="s">
        <v>91</v>
      </c>
      <c r="NIJ222" s="40" t="s">
        <v>91</v>
      </c>
      <c r="NIK222" s="40" t="s">
        <v>91</v>
      </c>
      <c r="NIL222" s="40" t="s">
        <v>91</v>
      </c>
      <c r="NIM222" s="40" t="s">
        <v>91</v>
      </c>
      <c r="NIN222" s="40" t="s">
        <v>91</v>
      </c>
      <c r="NIO222" s="40" t="s">
        <v>91</v>
      </c>
      <c r="NIP222" s="40" t="s">
        <v>91</v>
      </c>
      <c r="NIQ222" s="40" t="s">
        <v>91</v>
      </c>
      <c r="NIR222" s="40" t="s">
        <v>91</v>
      </c>
      <c r="NIS222" s="40" t="s">
        <v>91</v>
      </c>
      <c r="NIT222" s="40" t="s">
        <v>91</v>
      </c>
      <c r="NIU222" s="40" t="s">
        <v>91</v>
      </c>
      <c r="NIV222" s="40" t="s">
        <v>91</v>
      </c>
      <c r="NIW222" s="40" t="s">
        <v>91</v>
      </c>
      <c r="NIX222" s="40" t="s">
        <v>91</v>
      </c>
      <c r="NIY222" s="40" t="s">
        <v>91</v>
      </c>
      <c r="NIZ222" s="40" t="s">
        <v>91</v>
      </c>
      <c r="NJA222" s="40" t="s">
        <v>91</v>
      </c>
      <c r="NJB222" s="40" t="s">
        <v>91</v>
      </c>
      <c r="NJC222" s="40" t="s">
        <v>91</v>
      </c>
      <c r="NJD222" s="40" t="s">
        <v>91</v>
      </c>
      <c r="NJE222" s="40" t="s">
        <v>91</v>
      </c>
      <c r="NJF222" s="40" t="s">
        <v>91</v>
      </c>
      <c r="NJG222" s="40" t="s">
        <v>91</v>
      </c>
      <c r="NJH222" s="40" t="s">
        <v>91</v>
      </c>
      <c r="NJI222" s="40" t="s">
        <v>91</v>
      </c>
      <c r="NJJ222" s="40" t="s">
        <v>91</v>
      </c>
      <c r="NJK222" s="40" t="s">
        <v>91</v>
      </c>
      <c r="NJL222" s="40" t="s">
        <v>91</v>
      </c>
      <c r="NJM222" s="40" t="s">
        <v>91</v>
      </c>
      <c r="NJN222" s="40" t="s">
        <v>91</v>
      </c>
      <c r="NJO222" s="40" t="s">
        <v>91</v>
      </c>
      <c r="NJP222" s="40" t="s">
        <v>91</v>
      </c>
      <c r="NJQ222" s="40" t="s">
        <v>91</v>
      </c>
      <c r="NJR222" s="40" t="s">
        <v>91</v>
      </c>
      <c r="NJS222" s="40" t="s">
        <v>91</v>
      </c>
      <c r="NJT222" s="40" t="s">
        <v>91</v>
      </c>
      <c r="NJU222" s="40" t="s">
        <v>91</v>
      </c>
      <c r="NJV222" s="40" t="s">
        <v>91</v>
      </c>
      <c r="NJW222" s="40" t="s">
        <v>91</v>
      </c>
      <c r="NJX222" s="40" t="s">
        <v>91</v>
      </c>
      <c r="NJY222" s="40" t="s">
        <v>91</v>
      </c>
      <c r="NJZ222" s="40" t="s">
        <v>91</v>
      </c>
      <c r="NKA222" s="40" t="s">
        <v>91</v>
      </c>
      <c r="NKB222" s="40" t="s">
        <v>91</v>
      </c>
      <c r="NKC222" s="40" t="s">
        <v>91</v>
      </c>
      <c r="NKD222" s="40" t="s">
        <v>91</v>
      </c>
      <c r="NKE222" s="40" t="s">
        <v>91</v>
      </c>
      <c r="NKF222" s="40" t="s">
        <v>91</v>
      </c>
      <c r="NKG222" s="40" t="s">
        <v>91</v>
      </c>
      <c r="NKH222" s="40" t="s">
        <v>91</v>
      </c>
      <c r="NKI222" s="40" t="s">
        <v>91</v>
      </c>
      <c r="NKJ222" s="40" t="s">
        <v>91</v>
      </c>
      <c r="NKK222" s="40" t="s">
        <v>91</v>
      </c>
      <c r="NKL222" s="40" t="s">
        <v>91</v>
      </c>
      <c r="NKM222" s="40" t="s">
        <v>91</v>
      </c>
      <c r="NKN222" s="40" t="s">
        <v>91</v>
      </c>
      <c r="NKO222" s="40" t="s">
        <v>91</v>
      </c>
      <c r="NKP222" s="40" t="s">
        <v>91</v>
      </c>
      <c r="NKQ222" s="40" t="s">
        <v>91</v>
      </c>
      <c r="NKR222" s="40" t="s">
        <v>91</v>
      </c>
      <c r="NKS222" s="40" t="s">
        <v>91</v>
      </c>
      <c r="NKT222" s="40" t="s">
        <v>91</v>
      </c>
      <c r="NKU222" s="40" t="s">
        <v>91</v>
      </c>
      <c r="NKV222" s="40" t="s">
        <v>91</v>
      </c>
      <c r="NKW222" s="40" t="s">
        <v>91</v>
      </c>
      <c r="NKX222" s="40" t="s">
        <v>91</v>
      </c>
      <c r="NKY222" s="40" t="s">
        <v>91</v>
      </c>
      <c r="NKZ222" s="40" t="s">
        <v>91</v>
      </c>
      <c r="NLA222" s="40" t="s">
        <v>91</v>
      </c>
      <c r="NLB222" s="40" t="s">
        <v>91</v>
      </c>
      <c r="NLC222" s="40" t="s">
        <v>91</v>
      </c>
      <c r="NLD222" s="40" t="s">
        <v>91</v>
      </c>
      <c r="NLE222" s="40" t="s">
        <v>91</v>
      </c>
      <c r="NLF222" s="40" t="s">
        <v>91</v>
      </c>
      <c r="NLG222" s="40" t="s">
        <v>91</v>
      </c>
      <c r="NLH222" s="40" t="s">
        <v>91</v>
      </c>
      <c r="NLI222" s="40" t="s">
        <v>91</v>
      </c>
      <c r="NLJ222" s="40" t="s">
        <v>91</v>
      </c>
      <c r="NLK222" s="40" t="s">
        <v>91</v>
      </c>
      <c r="NLL222" s="40" t="s">
        <v>91</v>
      </c>
      <c r="NLM222" s="40" t="s">
        <v>91</v>
      </c>
      <c r="NLN222" s="40" t="s">
        <v>91</v>
      </c>
      <c r="NLO222" s="40" t="s">
        <v>91</v>
      </c>
      <c r="NLP222" s="40" t="s">
        <v>91</v>
      </c>
      <c r="NLQ222" s="40" t="s">
        <v>91</v>
      </c>
      <c r="NLR222" s="40" t="s">
        <v>91</v>
      </c>
      <c r="NLS222" s="40" t="s">
        <v>91</v>
      </c>
      <c r="NLT222" s="40" t="s">
        <v>91</v>
      </c>
      <c r="NLU222" s="40" t="s">
        <v>91</v>
      </c>
      <c r="NLV222" s="40" t="s">
        <v>91</v>
      </c>
      <c r="NLW222" s="40" t="s">
        <v>91</v>
      </c>
      <c r="NLX222" s="40" t="s">
        <v>91</v>
      </c>
      <c r="NLY222" s="40" t="s">
        <v>91</v>
      </c>
      <c r="NLZ222" s="40" t="s">
        <v>91</v>
      </c>
      <c r="NMA222" s="40" t="s">
        <v>91</v>
      </c>
      <c r="NMB222" s="40" t="s">
        <v>91</v>
      </c>
      <c r="NMC222" s="40" t="s">
        <v>91</v>
      </c>
      <c r="NMD222" s="40" t="s">
        <v>91</v>
      </c>
      <c r="NME222" s="40" t="s">
        <v>91</v>
      </c>
      <c r="NMF222" s="40" t="s">
        <v>91</v>
      </c>
      <c r="NMG222" s="40" t="s">
        <v>91</v>
      </c>
      <c r="NMH222" s="40" t="s">
        <v>91</v>
      </c>
      <c r="NMI222" s="40" t="s">
        <v>91</v>
      </c>
      <c r="NMJ222" s="40" t="s">
        <v>91</v>
      </c>
      <c r="NMK222" s="40" t="s">
        <v>91</v>
      </c>
      <c r="NML222" s="40" t="s">
        <v>91</v>
      </c>
      <c r="NMM222" s="40" t="s">
        <v>91</v>
      </c>
      <c r="NMN222" s="40" t="s">
        <v>91</v>
      </c>
      <c r="NMO222" s="40" t="s">
        <v>91</v>
      </c>
      <c r="NMP222" s="40" t="s">
        <v>91</v>
      </c>
      <c r="NMQ222" s="40" t="s">
        <v>91</v>
      </c>
      <c r="NMR222" s="40" t="s">
        <v>91</v>
      </c>
      <c r="NMS222" s="40" t="s">
        <v>91</v>
      </c>
      <c r="NMT222" s="40" t="s">
        <v>91</v>
      </c>
      <c r="NMU222" s="40" t="s">
        <v>91</v>
      </c>
      <c r="NMV222" s="40" t="s">
        <v>91</v>
      </c>
      <c r="NMW222" s="40" t="s">
        <v>91</v>
      </c>
      <c r="NMX222" s="40" t="s">
        <v>91</v>
      </c>
      <c r="NMY222" s="40" t="s">
        <v>91</v>
      </c>
      <c r="NMZ222" s="40" t="s">
        <v>91</v>
      </c>
      <c r="NNA222" s="40" t="s">
        <v>91</v>
      </c>
      <c r="NNB222" s="40" t="s">
        <v>91</v>
      </c>
      <c r="NNC222" s="40" t="s">
        <v>91</v>
      </c>
      <c r="NND222" s="40" t="s">
        <v>91</v>
      </c>
      <c r="NNE222" s="40" t="s">
        <v>91</v>
      </c>
      <c r="NNF222" s="40" t="s">
        <v>91</v>
      </c>
      <c r="NNG222" s="40" t="s">
        <v>91</v>
      </c>
      <c r="NNH222" s="40" t="s">
        <v>91</v>
      </c>
      <c r="NNI222" s="40" t="s">
        <v>91</v>
      </c>
      <c r="NNJ222" s="40" t="s">
        <v>91</v>
      </c>
      <c r="NNK222" s="40" t="s">
        <v>91</v>
      </c>
      <c r="NNL222" s="40" t="s">
        <v>91</v>
      </c>
      <c r="NNM222" s="40" t="s">
        <v>91</v>
      </c>
      <c r="NNN222" s="40" t="s">
        <v>91</v>
      </c>
      <c r="NNO222" s="40" t="s">
        <v>91</v>
      </c>
      <c r="NNP222" s="40" t="s">
        <v>91</v>
      </c>
      <c r="NNQ222" s="40" t="s">
        <v>91</v>
      </c>
      <c r="NNR222" s="40" t="s">
        <v>91</v>
      </c>
      <c r="NNS222" s="40" t="s">
        <v>91</v>
      </c>
      <c r="NNT222" s="40" t="s">
        <v>91</v>
      </c>
      <c r="NNU222" s="40" t="s">
        <v>91</v>
      </c>
      <c r="NNV222" s="40" t="s">
        <v>91</v>
      </c>
      <c r="NNW222" s="40" t="s">
        <v>91</v>
      </c>
      <c r="NNX222" s="40" t="s">
        <v>91</v>
      </c>
      <c r="NNY222" s="40" t="s">
        <v>91</v>
      </c>
      <c r="NNZ222" s="40" t="s">
        <v>91</v>
      </c>
      <c r="NOA222" s="40" t="s">
        <v>91</v>
      </c>
      <c r="NOB222" s="40" t="s">
        <v>91</v>
      </c>
      <c r="NOC222" s="40" t="s">
        <v>91</v>
      </c>
      <c r="NOD222" s="40" t="s">
        <v>91</v>
      </c>
      <c r="NOE222" s="40" t="s">
        <v>91</v>
      </c>
      <c r="NOF222" s="40" t="s">
        <v>91</v>
      </c>
      <c r="NOG222" s="40" t="s">
        <v>91</v>
      </c>
      <c r="NOH222" s="40" t="s">
        <v>91</v>
      </c>
      <c r="NOI222" s="40" t="s">
        <v>91</v>
      </c>
      <c r="NOJ222" s="40" t="s">
        <v>91</v>
      </c>
      <c r="NOK222" s="40" t="s">
        <v>91</v>
      </c>
      <c r="NOL222" s="40" t="s">
        <v>91</v>
      </c>
      <c r="NOM222" s="40" t="s">
        <v>91</v>
      </c>
      <c r="NON222" s="40" t="s">
        <v>91</v>
      </c>
      <c r="NOO222" s="40" t="s">
        <v>91</v>
      </c>
      <c r="NOP222" s="40" t="s">
        <v>91</v>
      </c>
      <c r="NOQ222" s="40" t="s">
        <v>91</v>
      </c>
      <c r="NOR222" s="40" t="s">
        <v>91</v>
      </c>
      <c r="NOS222" s="40" t="s">
        <v>91</v>
      </c>
      <c r="NOT222" s="40" t="s">
        <v>91</v>
      </c>
      <c r="NOU222" s="40" t="s">
        <v>91</v>
      </c>
      <c r="NOV222" s="40" t="s">
        <v>91</v>
      </c>
      <c r="NOW222" s="40" t="s">
        <v>91</v>
      </c>
      <c r="NOX222" s="40" t="s">
        <v>91</v>
      </c>
      <c r="NOY222" s="40" t="s">
        <v>91</v>
      </c>
      <c r="NOZ222" s="40" t="s">
        <v>91</v>
      </c>
      <c r="NPA222" s="40" t="s">
        <v>91</v>
      </c>
      <c r="NPB222" s="40" t="s">
        <v>91</v>
      </c>
      <c r="NPC222" s="40" t="s">
        <v>91</v>
      </c>
      <c r="NPD222" s="40" t="s">
        <v>91</v>
      </c>
      <c r="NPE222" s="40" t="s">
        <v>91</v>
      </c>
      <c r="NPF222" s="40" t="s">
        <v>91</v>
      </c>
      <c r="NPG222" s="40" t="s">
        <v>91</v>
      </c>
      <c r="NPH222" s="40" t="s">
        <v>91</v>
      </c>
      <c r="NPI222" s="40" t="s">
        <v>91</v>
      </c>
      <c r="NPJ222" s="40" t="s">
        <v>91</v>
      </c>
      <c r="NPK222" s="40" t="s">
        <v>91</v>
      </c>
      <c r="NPL222" s="40" t="s">
        <v>91</v>
      </c>
      <c r="NPM222" s="40" t="s">
        <v>91</v>
      </c>
      <c r="NPN222" s="40" t="s">
        <v>91</v>
      </c>
      <c r="NPO222" s="40" t="s">
        <v>91</v>
      </c>
      <c r="NPP222" s="40" t="s">
        <v>91</v>
      </c>
      <c r="NPQ222" s="40" t="s">
        <v>91</v>
      </c>
      <c r="NPR222" s="40" t="s">
        <v>91</v>
      </c>
      <c r="NPS222" s="40" t="s">
        <v>91</v>
      </c>
      <c r="NPT222" s="40" t="s">
        <v>91</v>
      </c>
      <c r="NPU222" s="40" t="s">
        <v>91</v>
      </c>
      <c r="NPV222" s="40" t="s">
        <v>91</v>
      </c>
      <c r="NPW222" s="40" t="s">
        <v>91</v>
      </c>
      <c r="NPX222" s="40" t="s">
        <v>91</v>
      </c>
      <c r="NPY222" s="40" t="s">
        <v>91</v>
      </c>
      <c r="NPZ222" s="40" t="s">
        <v>91</v>
      </c>
      <c r="NQA222" s="40" t="s">
        <v>91</v>
      </c>
      <c r="NQB222" s="40" t="s">
        <v>91</v>
      </c>
      <c r="NQC222" s="40" t="s">
        <v>91</v>
      </c>
      <c r="NQD222" s="40" t="s">
        <v>91</v>
      </c>
      <c r="NQE222" s="40" t="s">
        <v>91</v>
      </c>
      <c r="NQF222" s="40" t="s">
        <v>91</v>
      </c>
      <c r="NQG222" s="40" t="s">
        <v>91</v>
      </c>
      <c r="NQH222" s="40" t="s">
        <v>91</v>
      </c>
      <c r="NQI222" s="40" t="s">
        <v>91</v>
      </c>
      <c r="NQJ222" s="40" t="s">
        <v>91</v>
      </c>
      <c r="NQK222" s="40" t="s">
        <v>91</v>
      </c>
      <c r="NQL222" s="40" t="s">
        <v>91</v>
      </c>
      <c r="NQM222" s="40" t="s">
        <v>91</v>
      </c>
      <c r="NQN222" s="40" t="s">
        <v>91</v>
      </c>
      <c r="NQO222" s="40" t="s">
        <v>91</v>
      </c>
      <c r="NQP222" s="40" t="s">
        <v>91</v>
      </c>
      <c r="NQQ222" s="40" t="s">
        <v>91</v>
      </c>
      <c r="NQR222" s="40" t="s">
        <v>91</v>
      </c>
      <c r="NQS222" s="40" t="s">
        <v>91</v>
      </c>
      <c r="NQT222" s="40" t="s">
        <v>91</v>
      </c>
      <c r="NQU222" s="40" t="s">
        <v>91</v>
      </c>
      <c r="NQV222" s="40" t="s">
        <v>91</v>
      </c>
      <c r="NQW222" s="40" t="s">
        <v>91</v>
      </c>
      <c r="NQX222" s="40" t="s">
        <v>91</v>
      </c>
      <c r="NQY222" s="40" t="s">
        <v>91</v>
      </c>
      <c r="NQZ222" s="40" t="s">
        <v>91</v>
      </c>
      <c r="NRA222" s="40" t="s">
        <v>91</v>
      </c>
      <c r="NRB222" s="40" t="s">
        <v>91</v>
      </c>
      <c r="NRC222" s="40" t="s">
        <v>91</v>
      </c>
      <c r="NRD222" s="40" t="s">
        <v>91</v>
      </c>
      <c r="NRE222" s="40" t="s">
        <v>91</v>
      </c>
      <c r="NRF222" s="40" t="s">
        <v>91</v>
      </c>
      <c r="NRG222" s="40" t="s">
        <v>91</v>
      </c>
      <c r="NRH222" s="40" t="s">
        <v>91</v>
      </c>
      <c r="NRI222" s="40" t="s">
        <v>91</v>
      </c>
      <c r="NRJ222" s="40" t="s">
        <v>91</v>
      </c>
      <c r="NRK222" s="40" t="s">
        <v>91</v>
      </c>
      <c r="NRL222" s="40" t="s">
        <v>91</v>
      </c>
      <c r="NRM222" s="40" t="s">
        <v>91</v>
      </c>
      <c r="NRN222" s="40" t="s">
        <v>91</v>
      </c>
      <c r="NRO222" s="40" t="s">
        <v>91</v>
      </c>
      <c r="NRP222" s="40" t="s">
        <v>91</v>
      </c>
      <c r="NRQ222" s="40" t="s">
        <v>91</v>
      </c>
      <c r="NRR222" s="40" t="s">
        <v>91</v>
      </c>
      <c r="NRS222" s="40" t="s">
        <v>91</v>
      </c>
      <c r="NRT222" s="40" t="s">
        <v>91</v>
      </c>
      <c r="NRU222" s="40" t="s">
        <v>91</v>
      </c>
      <c r="NRV222" s="40" t="s">
        <v>91</v>
      </c>
      <c r="NRW222" s="40" t="s">
        <v>91</v>
      </c>
      <c r="NRX222" s="40" t="s">
        <v>91</v>
      </c>
      <c r="NRY222" s="40" t="s">
        <v>91</v>
      </c>
      <c r="NRZ222" s="40" t="s">
        <v>91</v>
      </c>
      <c r="NSA222" s="40" t="s">
        <v>91</v>
      </c>
      <c r="NSB222" s="40" t="s">
        <v>91</v>
      </c>
      <c r="NSC222" s="40" t="s">
        <v>91</v>
      </c>
      <c r="NSD222" s="40" t="s">
        <v>91</v>
      </c>
      <c r="NSE222" s="40" t="s">
        <v>91</v>
      </c>
      <c r="NSF222" s="40" t="s">
        <v>91</v>
      </c>
      <c r="NSG222" s="40" t="s">
        <v>91</v>
      </c>
      <c r="NSH222" s="40" t="s">
        <v>91</v>
      </c>
      <c r="NSI222" s="40" t="s">
        <v>91</v>
      </c>
      <c r="NSJ222" s="40" t="s">
        <v>91</v>
      </c>
      <c r="NSK222" s="40" t="s">
        <v>91</v>
      </c>
      <c r="NSL222" s="40" t="s">
        <v>91</v>
      </c>
      <c r="NSM222" s="40" t="s">
        <v>91</v>
      </c>
      <c r="NSN222" s="40" t="s">
        <v>91</v>
      </c>
      <c r="NSO222" s="40" t="s">
        <v>91</v>
      </c>
      <c r="NSP222" s="40" t="s">
        <v>91</v>
      </c>
      <c r="NSQ222" s="40" t="s">
        <v>91</v>
      </c>
      <c r="NSR222" s="40" t="s">
        <v>91</v>
      </c>
      <c r="NSS222" s="40" t="s">
        <v>91</v>
      </c>
      <c r="NST222" s="40" t="s">
        <v>91</v>
      </c>
      <c r="NSU222" s="40" t="s">
        <v>91</v>
      </c>
      <c r="NSV222" s="40" t="s">
        <v>91</v>
      </c>
      <c r="NSW222" s="40" t="s">
        <v>91</v>
      </c>
      <c r="NSX222" s="40" t="s">
        <v>91</v>
      </c>
      <c r="NSY222" s="40" t="s">
        <v>91</v>
      </c>
      <c r="NSZ222" s="40" t="s">
        <v>91</v>
      </c>
      <c r="NTA222" s="40" t="s">
        <v>91</v>
      </c>
      <c r="NTB222" s="40" t="s">
        <v>91</v>
      </c>
      <c r="NTC222" s="40" t="s">
        <v>91</v>
      </c>
      <c r="NTD222" s="40" t="s">
        <v>91</v>
      </c>
      <c r="NTE222" s="40" t="s">
        <v>91</v>
      </c>
      <c r="NTF222" s="40" t="s">
        <v>91</v>
      </c>
      <c r="NTG222" s="40" t="s">
        <v>91</v>
      </c>
      <c r="NTH222" s="40" t="s">
        <v>91</v>
      </c>
      <c r="NTI222" s="40" t="s">
        <v>91</v>
      </c>
      <c r="NTJ222" s="40" t="s">
        <v>91</v>
      </c>
      <c r="NTK222" s="40" t="s">
        <v>91</v>
      </c>
      <c r="NTL222" s="40" t="s">
        <v>91</v>
      </c>
      <c r="NTM222" s="40" t="s">
        <v>91</v>
      </c>
      <c r="NTN222" s="40" t="s">
        <v>91</v>
      </c>
      <c r="NTO222" s="40" t="s">
        <v>91</v>
      </c>
      <c r="NTP222" s="40" t="s">
        <v>91</v>
      </c>
      <c r="NTQ222" s="40" t="s">
        <v>91</v>
      </c>
      <c r="NTR222" s="40" t="s">
        <v>91</v>
      </c>
      <c r="NTS222" s="40" t="s">
        <v>91</v>
      </c>
      <c r="NTT222" s="40" t="s">
        <v>91</v>
      </c>
      <c r="NTU222" s="40" t="s">
        <v>91</v>
      </c>
      <c r="NTV222" s="40" t="s">
        <v>91</v>
      </c>
      <c r="NTW222" s="40" t="s">
        <v>91</v>
      </c>
      <c r="NTX222" s="40" t="s">
        <v>91</v>
      </c>
      <c r="NTY222" s="40" t="s">
        <v>91</v>
      </c>
      <c r="NTZ222" s="40" t="s">
        <v>91</v>
      </c>
      <c r="NUA222" s="40" t="s">
        <v>91</v>
      </c>
      <c r="NUB222" s="40" t="s">
        <v>91</v>
      </c>
      <c r="NUC222" s="40" t="s">
        <v>91</v>
      </c>
      <c r="NUD222" s="40" t="s">
        <v>91</v>
      </c>
      <c r="NUE222" s="40" t="s">
        <v>91</v>
      </c>
      <c r="NUF222" s="40" t="s">
        <v>91</v>
      </c>
      <c r="NUG222" s="40" t="s">
        <v>91</v>
      </c>
      <c r="NUH222" s="40" t="s">
        <v>91</v>
      </c>
      <c r="NUI222" s="40" t="s">
        <v>91</v>
      </c>
      <c r="NUJ222" s="40" t="s">
        <v>91</v>
      </c>
      <c r="NUK222" s="40" t="s">
        <v>91</v>
      </c>
      <c r="NUL222" s="40" t="s">
        <v>91</v>
      </c>
      <c r="NUM222" s="40" t="s">
        <v>91</v>
      </c>
      <c r="NUN222" s="40" t="s">
        <v>91</v>
      </c>
      <c r="NUO222" s="40" t="s">
        <v>91</v>
      </c>
      <c r="NUP222" s="40" t="s">
        <v>91</v>
      </c>
      <c r="NUQ222" s="40" t="s">
        <v>91</v>
      </c>
      <c r="NUR222" s="40" t="s">
        <v>91</v>
      </c>
      <c r="NUS222" s="40" t="s">
        <v>91</v>
      </c>
      <c r="NUT222" s="40" t="s">
        <v>91</v>
      </c>
      <c r="NUU222" s="40" t="s">
        <v>91</v>
      </c>
      <c r="NUV222" s="40" t="s">
        <v>91</v>
      </c>
      <c r="NUW222" s="40" t="s">
        <v>91</v>
      </c>
      <c r="NUX222" s="40" t="s">
        <v>91</v>
      </c>
      <c r="NUY222" s="40" t="s">
        <v>91</v>
      </c>
      <c r="NUZ222" s="40" t="s">
        <v>91</v>
      </c>
      <c r="NVA222" s="40" t="s">
        <v>91</v>
      </c>
      <c r="NVB222" s="40" t="s">
        <v>91</v>
      </c>
      <c r="NVC222" s="40" t="s">
        <v>91</v>
      </c>
      <c r="NVD222" s="40" t="s">
        <v>91</v>
      </c>
      <c r="NVE222" s="40" t="s">
        <v>91</v>
      </c>
      <c r="NVF222" s="40" t="s">
        <v>91</v>
      </c>
      <c r="NVG222" s="40" t="s">
        <v>91</v>
      </c>
      <c r="NVH222" s="40" t="s">
        <v>91</v>
      </c>
      <c r="NVI222" s="40" t="s">
        <v>91</v>
      </c>
      <c r="NVJ222" s="40" t="s">
        <v>91</v>
      </c>
      <c r="NVK222" s="40" t="s">
        <v>91</v>
      </c>
      <c r="NVL222" s="40" t="s">
        <v>91</v>
      </c>
      <c r="NVM222" s="40" t="s">
        <v>91</v>
      </c>
      <c r="NVN222" s="40" t="s">
        <v>91</v>
      </c>
      <c r="NVO222" s="40" t="s">
        <v>91</v>
      </c>
      <c r="NVP222" s="40" t="s">
        <v>91</v>
      </c>
      <c r="NVQ222" s="40" t="s">
        <v>91</v>
      </c>
      <c r="NVR222" s="40" t="s">
        <v>91</v>
      </c>
      <c r="NVS222" s="40" t="s">
        <v>91</v>
      </c>
      <c r="NVT222" s="40" t="s">
        <v>91</v>
      </c>
      <c r="NVU222" s="40" t="s">
        <v>91</v>
      </c>
      <c r="NVV222" s="40" t="s">
        <v>91</v>
      </c>
      <c r="NVW222" s="40" t="s">
        <v>91</v>
      </c>
      <c r="NVX222" s="40" t="s">
        <v>91</v>
      </c>
      <c r="NVY222" s="40" t="s">
        <v>91</v>
      </c>
      <c r="NVZ222" s="40" t="s">
        <v>91</v>
      </c>
      <c r="NWA222" s="40" t="s">
        <v>91</v>
      </c>
      <c r="NWB222" s="40" t="s">
        <v>91</v>
      </c>
      <c r="NWC222" s="40" t="s">
        <v>91</v>
      </c>
      <c r="NWD222" s="40" t="s">
        <v>91</v>
      </c>
      <c r="NWE222" s="40" t="s">
        <v>91</v>
      </c>
      <c r="NWF222" s="40" t="s">
        <v>91</v>
      </c>
      <c r="NWG222" s="40" t="s">
        <v>91</v>
      </c>
      <c r="NWH222" s="40" t="s">
        <v>91</v>
      </c>
      <c r="NWI222" s="40" t="s">
        <v>91</v>
      </c>
      <c r="NWJ222" s="40" t="s">
        <v>91</v>
      </c>
      <c r="NWK222" s="40" t="s">
        <v>91</v>
      </c>
      <c r="NWL222" s="40" t="s">
        <v>91</v>
      </c>
      <c r="NWM222" s="40" t="s">
        <v>91</v>
      </c>
      <c r="NWN222" s="40" t="s">
        <v>91</v>
      </c>
      <c r="NWO222" s="40" t="s">
        <v>91</v>
      </c>
      <c r="NWP222" s="40" t="s">
        <v>91</v>
      </c>
      <c r="NWQ222" s="40" t="s">
        <v>91</v>
      </c>
      <c r="NWR222" s="40" t="s">
        <v>91</v>
      </c>
      <c r="NWS222" s="40" t="s">
        <v>91</v>
      </c>
      <c r="NWT222" s="40" t="s">
        <v>91</v>
      </c>
      <c r="NWU222" s="40" t="s">
        <v>91</v>
      </c>
      <c r="NWV222" s="40" t="s">
        <v>91</v>
      </c>
      <c r="NWW222" s="40" t="s">
        <v>91</v>
      </c>
      <c r="NWX222" s="40" t="s">
        <v>91</v>
      </c>
      <c r="NWY222" s="40" t="s">
        <v>91</v>
      </c>
      <c r="NWZ222" s="40" t="s">
        <v>91</v>
      </c>
      <c r="NXA222" s="40" t="s">
        <v>91</v>
      </c>
      <c r="NXB222" s="40" t="s">
        <v>91</v>
      </c>
      <c r="NXC222" s="40" t="s">
        <v>91</v>
      </c>
      <c r="NXD222" s="40" t="s">
        <v>91</v>
      </c>
      <c r="NXE222" s="40" t="s">
        <v>91</v>
      </c>
      <c r="NXF222" s="40" t="s">
        <v>91</v>
      </c>
      <c r="NXG222" s="40" t="s">
        <v>91</v>
      </c>
      <c r="NXH222" s="40" t="s">
        <v>91</v>
      </c>
      <c r="NXI222" s="40" t="s">
        <v>91</v>
      </c>
      <c r="NXJ222" s="40" t="s">
        <v>91</v>
      </c>
      <c r="NXK222" s="40" t="s">
        <v>91</v>
      </c>
      <c r="NXL222" s="40" t="s">
        <v>91</v>
      </c>
      <c r="NXM222" s="40" t="s">
        <v>91</v>
      </c>
      <c r="NXN222" s="40" t="s">
        <v>91</v>
      </c>
      <c r="NXO222" s="40" t="s">
        <v>91</v>
      </c>
      <c r="NXP222" s="40" t="s">
        <v>91</v>
      </c>
      <c r="NXQ222" s="40" t="s">
        <v>91</v>
      </c>
      <c r="NXR222" s="40" t="s">
        <v>91</v>
      </c>
      <c r="NXS222" s="40" t="s">
        <v>91</v>
      </c>
      <c r="NXT222" s="40" t="s">
        <v>91</v>
      </c>
      <c r="NXU222" s="40" t="s">
        <v>91</v>
      </c>
      <c r="NXV222" s="40" t="s">
        <v>91</v>
      </c>
      <c r="NXW222" s="40" t="s">
        <v>91</v>
      </c>
      <c r="NXX222" s="40" t="s">
        <v>91</v>
      </c>
      <c r="NXY222" s="40" t="s">
        <v>91</v>
      </c>
      <c r="NXZ222" s="40" t="s">
        <v>91</v>
      </c>
      <c r="NYA222" s="40" t="s">
        <v>91</v>
      </c>
      <c r="NYB222" s="40" t="s">
        <v>91</v>
      </c>
      <c r="NYC222" s="40" t="s">
        <v>91</v>
      </c>
      <c r="NYD222" s="40" t="s">
        <v>91</v>
      </c>
      <c r="NYE222" s="40" t="s">
        <v>91</v>
      </c>
      <c r="NYF222" s="40" t="s">
        <v>91</v>
      </c>
      <c r="NYG222" s="40" t="s">
        <v>91</v>
      </c>
      <c r="NYH222" s="40" t="s">
        <v>91</v>
      </c>
      <c r="NYI222" s="40" t="s">
        <v>91</v>
      </c>
      <c r="NYJ222" s="40" t="s">
        <v>91</v>
      </c>
      <c r="NYK222" s="40" t="s">
        <v>91</v>
      </c>
      <c r="NYL222" s="40" t="s">
        <v>91</v>
      </c>
      <c r="NYM222" s="40" t="s">
        <v>91</v>
      </c>
      <c r="NYN222" s="40" t="s">
        <v>91</v>
      </c>
      <c r="NYO222" s="40" t="s">
        <v>91</v>
      </c>
      <c r="NYP222" s="40" t="s">
        <v>91</v>
      </c>
      <c r="NYQ222" s="40" t="s">
        <v>91</v>
      </c>
      <c r="NYR222" s="40" t="s">
        <v>91</v>
      </c>
      <c r="NYS222" s="40" t="s">
        <v>91</v>
      </c>
      <c r="NYT222" s="40" t="s">
        <v>91</v>
      </c>
      <c r="NYU222" s="40" t="s">
        <v>91</v>
      </c>
      <c r="NYV222" s="40" t="s">
        <v>91</v>
      </c>
      <c r="NYW222" s="40" t="s">
        <v>91</v>
      </c>
      <c r="NYX222" s="40" t="s">
        <v>91</v>
      </c>
      <c r="NYY222" s="40" t="s">
        <v>91</v>
      </c>
      <c r="NYZ222" s="40" t="s">
        <v>91</v>
      </c>
      <c r="NZA222" s="40" t="s">
        <v>91</v>
      </c>
      <c r="NZB222" s="40" t="s">
        <v>91</v>
      </c>
      <c r="NZC222" s="40" t="s">
        <v>91</v>
      </c>
      <c r="NZD222" s="40" t="s">
        <v>91</v>
      </c>
      <c r="NZE222" s="40" t="s">
        <v>91</v>
      </c>
      <c r="NZF222" s="40" t="s">
        <v>91</v>
      </c>
      <c r="NZG222" s="40" t="s">
        <v>91</v>
      </c>
      <c r="NZH222" s="40" t="s">
        <v>91</v>
      </c>
      <c r="NZI222" s="40" t="s">
        <v>91</v>
      </c>
      <c r="NZJ222" s="40" t="s">
        <v>91</v>
      </c>
      <c r="NZK222" s="40" t="s">
        <v>91</v>
      </c>
      <c r="NZL222" s="40" t="s">
        <v>91</v>
      </c>
      <c r="NZM222" s="40" t="s">
        <v>91</v>
      </c>
      <c r="NZN222" s="40" t="s">
        <v>91</v>
      </c>
      <c r="NZO222" s="40" t="s">
        <v>91</v>
      </c>
      <c r="NZP222" s="40" t="s">
        <v>91</v>
      </c>
      <c r="NZQ222" s="40" t="s">
        <v>91</v>
      </c>
      <c r="NZR222" s="40" t="s">
        <v>91</v>
      </c>
      <c r="NZS222" s="40" t="s">
        <v>91</v>
      </c>
      <c r="NZT222" s="40" t="s">
        <v>91</v>
      </c>
      <c r="NZU222" s="40" t="s">
        <v>91</v>
      </c>
      <c r="NZV222" s="40" t="s">
        <v>91</v>
      </c>
      <c r="NZW222" s="40" t="s">
        <v>91</v>
      </c>
      <c r="NZX222" s="40" t="s">
        <v>91</v>
      </c>
      <c r="NZY222" s="40" t="s">
        <v>91</v>
      </c>
      <c r="NZZ222" s="40" t="s">
        <v>91</v>
      </c>
      <c r="OAA222" s="40" t="s">
        <v>91</v>
      </c>
      <c r="OAB222" s="40" t="s">
        <v>91</v>
      </c>
      <c r="OAC222" s="40" t="s">
        <v>91</v>
      </c>
      <c r="OAD222" s="40" t="s">
        <v>91</v>
      </c>
      <c r="OAE222" s="40" t="s">
        <v>91</v>
      </c>
      <c r="OAF222" s="40" t="s">
        <v>91</v>
      </c>
      <c r="OAG222" s="40" t="s">
        <v>91</v>
      </c>
      <c r="OAH222" s="40" t="s">
        <v>91</v>
      </c>
      <c r="OAI222" s="40" t="s">
        <v>91</v>
      </c>
      <c r="OAJ222" s="40" t="s">
        <v>91</v>
      </c>
      <c r="OAK222" s="40" t="s">
        <v>91</v>
      </c>
      <c r="OAL222" s="40" t="s">
        <v>91</v>
      </c>
      <c r="OAM222" s="40" t="s">
        <v>91</v>
      </c>
      <c r="OAN222" s="40" t="s">
        <v>91</v>
      </c>
      <c r="OAO222" s="40" t="s">
        <v>91</v>
      </c>
      <c r="OAP222" s="40" t="s">
        <v>91</v>
      </c>
      <c r="OAQ222" s="40" t="s">
        <v>91</v>
      </c>
      <c r="OAR222" s="40" t="s">
        <v>91</v>
      </c>
      <c r="OAS222" s="40" t="s">
        <v>91</v>
      </c>
      <c r="OAT222" s="40" t="s">
        <v>91</v>
      </c>
      <c r="OAU222" s="40" t="s">
        <v>91</v>
      </c>
      <c r="OAV222" s="40" t="s">
        <v>91</v>
      </c>
      <c r="OAW222" s="40" t="s">
        <v>91</v>
      </c>
      <c r="OAX222" s="40" t="s">
        <v>91</v>
      </c>
      <c r="OAY222" s="40" t="s">
        <v>91</v>
      </c>
      <c r="OAZ222" s="40" t="s">
        <v>91</v>
      </c>
      <c r="OBA222" s="40" t="s">
        <v>91</v>
      </c>
      <c r="OBB222" s="40" t="s">
        <v>91</v>
      </c>
      <c r="OBC222" s="40" t="s">
        <v>91</v>
      </c>
      <c r="OBD222" s="40" t="s">
        <v>91</v>
      </c>
      <c r="OBE222" s="40" t="s">
        <v>91</v>
      </c>
      <c r="OBF222" s="40" t="s">
        <v>91</v>
      </c>
      <c r="OBG222" s="40" t="s">
        <v>91</v>
      </c>
      <c r="OBH222" s="40" t="s">
        <v>91</v>
      </c>
      <c r="OBI222" s="40" t="s">
        <v>91</v>
      </c>
      <c r="OBJ222" s="40" t="s">
        <v>91</v>
      </c>
      <c r="OBK222" s="40" t="s">
        <v>91</v>
      </c>
      <c r="OBL222" s="40" t="s">
        <v>91</v>
      </c>
      <c r="OBM222" s="40" t="s">
        <v>91</v>
      </c>
      <c r="OBN222" s="40" t="s">
        <v>91</v>
      </c>
      <c r="OBO222" s="40" t="s">
        <v>91</v>
      </c>
      <c r="OBP222" s="40" t="s">
        <v>91</v>
      </c>
      <c r="OBQ222" s="40" t="s">
        <v>91</v>
      </c>
      <c r="OBR222" s="40" t="s">
        <v>91</v>
      </c>
      <c r="OBS222" s="40" t="s">
        <v>91</v>
      </c>
      <c r="OBT222" s="40" t="s">
        <v>91</v>
      </c>
      <c r="OBU222" s="40" t="s">
        <v>91</v>
      </c>
      <c r="OBV222" s="40" t="s">
        <v>91</v>
      </c>
      <c r="OBW222" s="40" t="s">
        <v>91</v>
      </c>
      <c r="OBX222" s="40" t="s">
        <v>91</v>
      </c>
      <c r="OBY222" s="40" t="s">
        <v>91</v>
      </c>
      <c r="OBZ222" s="40" t="s">
        <v>91</v>
      </c>
      <c r="OCA222" s="40" t="s">
        <v>91</v>
      </c>
      <c r="OCB222" s="40" t="s">
        <v>91</v>
      </c>
      <c r="OCC222" s="40" t="s">
        <v>91</v>
      </c>
      <c r="OCD222" s="40" t="s">
        <v>91</v>
      </c>
      <c r="OCE222" s="40" t="s">
        <v>91</v>
      </c>
      <c r="OCF222" s="40" t="s">
        <v>91</v>
      </c>
      <c r="OCG222" s="40" t="s">
        <v>91</v>
      </c>
      <c r="OCH222" s="40" t="s">
        <v>91</v>
      </c>
      <c r="OCI222" s="40" t="s">
        <v>91</v>
      </c>
      <c r="OCJ222" s="40" t="s">
        <v>91</v>
      </c>
      <c r="OCK222" s="40" t="s">
        <v>91</v>
      </c>
      <c r="OCL222" s="40" t="s">
        <v>91</v>
      </c>
      <c r="OCM222" s="40" t="s">
        <v>91</v>
      </c>
      <c r="OCN222" s="40" t="s">
        <v>91</v>
      </c>
      <c r="OCO222" s="40" t="s">
        <v>91</v>
      </c>
      <c r="OCP222" s="40" t="s">
        <v>91</v>
      </c>
      <c r="OCQ222" s="40" t="s">
        <v>91</v>
      </c>
      <c r="OCR222" s="40" t="s">
        <v>91</v>
      </c>
      <c r="OCS222" s="40" t="s">
        <v>91</v>
      </c>
      <c r="OCT222" s="40" t="s">
        <v>91</v>
      </c>
      <c r="OCU222" s="40" t="s">
        <v>91</v>
      </c>
      <c r="OCV222" s="40" t="s">
        <v>91</v>
      </c>
      <c r="OCW222" s="40" t="s">
        <v>91</v>
      </c>
      <c r="OCX222" s="40" t="s">
        <v>91</v>
      </c>
      <c r="OCY222" s="40" t="s">
        <v>91</v>
      </c>
      <c r="OCZ222" s="40" t="s">
        <v>91</v>
      </c>
      <c r="ODA222" s="40" t="s">
        <v>91</v>
      </c>
      <c r="ODB222" s="40" t="s">
        <v>91</v>
      </c>
      <c r="ODC222" s="40" t="s">
        <v>91</v>
      </c>
      <c r="ODD222" s="40" t="s">
        <v>91</v>
      </c>
      <c r="ODE222" s="40" t="s">
        <v>91</v>
      </c>
      <c r="ODF222" s="40" t="s">
        <v>91</v>
      </c>
      <c r="ODG222" s="40" t="s">
        <v>91</v>
      </c>
      <c r="ODH222" s="40" t="s">
        <v>91</v>
      </c>
      <c r="ODI222" s="40" t="s">
        <v>91</v>
      </c>
      <c r="ODJ222" s="40" t="s">
        <v>91</v>
      </c>
      <c r="ODK222" s="40" t="s">
        <v>91</v>
      </c>
      <c r="ODL222" s="40" t="s">
        <v>91</v>
      </c>
      <c r="ODM222" s="40" t="s">
        <v>91</v>
      </c>
      <c r="ODN222" s="40" t="s">
        <v>91</v>
      </c>
      <c r="ODO222" s="40" t="s">
        <v>91</v>
      </c>
      <c r="ODP222" s="40" t="s">
        <v>91</v>
      </c>
      <c r="ODQ222" s="40" t="s">
        <v>91</v>
      </c>
      <c r="ODR222" s="40" t="s">
        <v>91</v>
      </c>
      <c r="ODS222" s="40" t="s">
        <v>91</v>
      </c>
      <c r="ODT222" s="40" t="s">
        <v>91</v>
      </c>
      <c r="ODU222" s="40" t="s">
        <v>91</v>
      </c>
      <c r="ODV222" s="40" t="s">
        <v>91</v>
      </c>
      <c r="ODW222" s="40" t="s">
        <v>91</v>
      </c>
      <c r="ODX222" s="40" t="s">
        <v>91</v>
      </c>
      <c r="ODY222" s="40" t="s">
        <v>91</v>
      </c>
      <c r="ODZ222" s="40" t="s">
        <v>91</v>
      </c>
      <c r="OEA222" s="40" t="s">
        <v>91</v>
      </c>
      <c r="OEB222" s="40" t="s">
        <v>91</v>
      </c>
      <c r="OEC222" s="40" t="s">
        <v>91</v>
      </c>
      <c r="OED222" s="40" t="s">
        <v>91</v>
      </c>
      <c r="OEE222" s="40" t="s">
        <v>91</v>
      </c>
      <c r="OEF222" s="40" t="s">
        <v>91</v>
      </c>
      <c r="OEG222" s="40" t="s">
        <v>91</v>
      </c>
      <c r="OEH222" s="40" t="s">
        <v>91</v>
      </c>
      <c r="OEI222" s="40" t="s">
        <v>91</v>
      </c>
      <c r="OEJ222" s="40" t="s">
        <v>91</v>
      </c>
      <c r="OEK222" s="40" t="s">
        <v>91</v>
      </c>
      <c r="OEL222" s="40" t="s">
        <v>91</v>
      </c>
      <c r="OEM222" s="40" t="s">
        <v>91</v>
      </c>
      <c r="OEN222" s="40" t="s">
        <v>91</v>
      </c>
      <c r="OEO222" s="40" t="s">
        <v>91</v>
      </c>
      <c r="OEP222" s="40" t="s">
        <v>91</v>
      </c>
      <c r="OEQ222" s="40" t="s">
        <v>91</v>
      </c>
      <c r="OER222" s="40" t="s">
        <v>91</v>
      </c>
      <c r="OES222" s="40" t="s">
        <v>91</v>
      </c>
      <c r="OET222" s="40" t="s">
        <v>91</v>
      </c>
      <c r="OEU222" s="40" t="s">
        <v>91</v>
      </c>
      <c r="OEV222" s="40" t="s">
        <v>91</v>
      </c>
      <c r="OEW222" s="40" t="s">
        <v>91</v>
      </c>
      <c r="OEX222" s="40" t="s">
        <v>91</v>
      </c>
      <c r="OEY222" s="40" t="s">
        <v>91</v>
      </c>
      <c r="OEZ222" s="40" t="s">
        <v>91</v>
      </c>
      <c r="OFA222" s="40" t="s">
        <v>91</v>
      </c>
      <c r="OFB222" s="40" t="s">
        <v>91</v>
      </c>
      <c r="OFC222" s="40" t="s">
        <v>91</v>
      </c>
      <c r="OFD222" s="40" t="s">
        <v>91</v>
      </c>
      <c r="OFE222" s="40" t="s">
        <v>91</v>
      </c>
      <c r="OFF222" s="40" t="s">
        <v>91</v>
      </c>
      <c r="OFG222" s="40" t="s">
        <v>91</v>
      </c>
      <c r="OFH222" s="40" t="s">
        <v>91</v>
      </c>
      <c r="OFI222" s="40" t="s">
        <v>91</v>
      </c>
      <c r="OFJ222" s="40" t="s">
        <v>91</v>
      </c>
      <c r="OFK222" s="40" t="s">
        <v>91</v>
      </c>
      <c r="OFL222" s="40" t="s">
        <v>91</v>
      </c>
      <c r="OFM222" s="40" t="s">
        <v>91</v>
      </c>
      <c r="OFN222" s="40" t="s">
        <v>91</v>
      </c>
      <c r="OFO222" s="40" t="s">
        <v>91</v>
      </c>
      <c r="OFP222" s="40" t="s">
        <v>91</v>
      </c>
      <c r="OFQ222" s="40" t="s">
        <v>91</v>
      </c>
      <c r="OFR222" s="40" t="s">
        <v>91</v>
      </c>
      <c r="OFS222" s="40" t="s">
        <v>91</v>
      </c>
      <c r="OFT222" s="40" t="s">
        <v>91</v>
      </c>
      <c r="OFU222" s="40" t="s">
        <v>91</v>
      </c>
      <c r="OFV222" s="40" t="s">
        <v>91</v>
      </c>
      <c r="OFW222" s="40" t="s">
        <v>91</v>
      </c>
      <c r="OFX222" s="40" t="s">
        <v>91</v>
      </c>
      <c r="OFY222" s="40" t="s">
        <v>91</v>
      </c>
      <c r="OFZ222" s="40" t="s">
        <v>91</v>
      </c>
      <c r="OGA222" s="40" t="s">
        <v>91</v>
      </c>
      <c r="OGB222" s="40" t="s">
        <v>91</v>
      </c>
      <c r="OGC222" s="40" t="s">
        <v>91</v>
      </c>
      <c r="OGD222" s="40" t="s">
        <v>91</v>
      </c>
      <c r="OGE222" s="40" t="s">
        <v>91</v>
      </c>
      <c r="OGF222" s="40" t="s">
        <v>91</v>
      </c>
      <c r="OGG222" s="40" t="s">
        <v>91</v>
      </c>
      <c r="OGH222" s="40" t="s">
        <v>91</v>
      </c>
      <c r="OGI222" s="40" t="s">
        <v>91</v>
      </c>
      <c r="OGJ222" s="40" t="s">
        <v>91</v>
      </c>
      <c r="OGK222" s="40" t="s">
        <v>91</v>
      </c>
      <c r="OGL222" s="40" t="s">
        <v>91</v>
      </c>
      <c r="OGM222" s="40" t="s">
        <v>91</v>
      </c>
      <c r="OGN222" s="40" t="s">
        <v>91</v>
      </c>
      <c r="OGO222" s="40" t="s">
        <v>91</v>
      </c>
      <c r="OGP222" s="40" t="s">
        <v>91</v>
      </c>
      <c r="OGQ222" s="40" t="s">
        <v>91</v>
      </c>
      <c r="OGR222" s="40" t="s">
        <v>91</v>
      </c>
      <c r="OGS222" s="40" t="s">
        <v>91</v>
      </c>
      <c r="OGT222" s="40" t="s">
        <v>91</v>
      </c>
      <c r="OGU222" s="40" t="s">
        <v>91</v>
      </c>
      <c r="OGV222" s="40" t="s">
        <v>91</v>
      </c>
      <c r="OGW222" s="40" t="s">
        <v>91</v>
      </c>
      <c r="OGX222" s="40" t="s">
        <v>91</v>
      </c>
      <c r="OGY222" s="40" t="s">
        <v>91</v>
      </c>
      <c r="OGZ222" s="40" t="s">
        <v>91</v>
      </c>
      <c r="OHA222" s="40" t="s">
        <v>91</v>
      </c>
      <c r="OHB222" s="40" t="s">
        <v>91</v>
      </c>
      <c r="OHC222" s="40" t="s">
        <v>91</v>
      </c>
      <c r="OHD222" s="40" t="s">
        <v>91</v>
      </c>
      <c r="OHE222" s="40" t="s">
        <v>91</v>
      </c>
      <c r="OHF222" s="40" t="s">
        <v>91</v>
      </c>
      <c r="OHG222" s="40" t="s">
        <v>91</v>
      </c>
      <c r="OHH222" s="40" t="s">
        <v>91</v>
      </c>
      <c r="OHI222" s="40" t="s">
        <v>91</v>
      </c>
      <c r="OHJ222" s="40" t="s">
        <v>91</v>
      </c>
      <c r="OHK222" s="40" t="s">
        <v>91</v>
      </c>
      <c r="OHL222" s="40" t="s">
        <v>91</v>
      </c>
      <c r="OHM222" s="40" t="s">
        <v>91</v>
      </c>
      <c r="OHN222" s="40" t="s">
        <v>91</v>
      </c>
      <c r="OHO222" s="40" t="s">
        <v>91</v>
      </c>
      <c r="OHP222" s="40" t="s">
        <v>91</v>
      </c>
      <c r="OHQ222" s="40" t="s">
        <v>91</v>
      </c>
      <c r="OHR222" s="40" t="s">
        <v>91</v>
      </c>
      <c r="OHS222" s="40" t="s">
        <v>91</v>
      </c>
      <c r="OHT222" s="40" t="s">
        <v>91</v>
      </c>
      <c r="OHU222" s="40" t="s">
        <v>91</v>
      </c>
      <c r="OHV222" s="40" t="s">
        <v>91</v>
      </c>
      <c r="OHW222" s="40" t="s">
        <v>91</v>
      </c>
      <c r="OHX222" s="40" t="s">
        <v>91</v>
      </c>
      <c r="OHY222" s="40" t="s">
        <v>91</v>
      </c>
      <c r="OHZ222" s="40" t="s">
        <v>91</v>
      </c>
      <c r="OIA222" s="40" t="s">
        <v>91</v>
      </c>
      <c r="OIB222" s="40" t="s">
        <v>91</v>
      </c>
      <c r="OIC222" s="40" t="s">
        <v>91</v>
      </c>
      <c r="OID222" s="40" t="s">
        <v>91</v>
      </c>
      <c r="OIE222" s="40" t="s">
        <v>91</v>
      </c>
      <c r="OIF222" s="40" t="s">
        <v>91</v>
      </c>
      <c r="OIG222" s="40" t="s">
        <v>91</v>
      </c>
      <c r="OIH222" s="40" t="s">
        <v>91</v>
      </c>
      <c r="OII222" s="40" t="s">
        <v>91</v>
      </c>
      <c r="OIJ222" s="40" t="s">
        <v>91</v>
      </c>
      <c r="OIK222" s="40" t="s">
        <v>91</v>
      </c>
      <c r="OIL222" s="40" t="s">
        <v>91</v>
      </c>
      <c r="OIM222" s="40" t="s">
        <v>91</v>
      </c>
      <c r="OIN222" s="40" t="s">
        <v>91</v>
      </c>
      <c r="OIO222" s="40" t="s">
        <v>91</v>
      </c>
      <c r="OIP222" s="40" t="s">
        <v>91</v>
      </c>
      <c r="OIQ222" s="40" t="s">
        <v>91</v>
      </c>
      <c r="OIR222" s="40" t="s">
        <v>91</v>
      </c>
      <c r="OIS222" s="40" t="s">
        <v>91</v>
      </c>
      <c r="OIT222" s="40" t="s">
        <v>91</v>
      </c>
      <c r="OIU222" s="40" t="s">
        <v>91</v>
      </c>
      <c r="OIV222" s="40" t="s">
        <v>91</v>
      </c>
      <c r="OIW222" s="40" t="s">
        <v>91</v>
      </c>
      <c r="OIX222" s="40" t="s">
        <v>91</v>
      </c>
      <c r="OIY222" s="40" t="s">
        <v>91</v>
      </c>
      <c r="OIZ222" s="40" t="s">
        <v>91</v>
      </c>
      <c r="OJA222" s="40" t="s">
        <v>91</v>
      </c>
      <c r="OJB222" s="40" t="s">
        <v>91</v>
      </c>
      <c r="OJC222" s="40" t="s">
        <v>91</v>
      </c>
      <c r="OJD222" s="40" t="s">
        <v>91</v>
      </c>
      <c r="OJE222" s="40" t="s">
        <v>91</v>
      </c>
      <c r="OJF222" s="40" t="s">
        <v>91</v>
      </c>
      <c r="OJG222" s="40" t="s">
        <v>91</v>
      </c>
      <c r="OJH222" s="40" t="s">
        <v>91</v>
      </c>
      <c r="OJI222" s="40" t="s">
        <v>91</v>
      </c>
      <c r="OJJ222" s="40" t="s">
        <v>91</v>
      </c>
      <c r="OJK222" s="40" t="s">
        <v>91</v>
      </c>
      <c r="OJL222" s="40" t="s">
        <v>91</v>
      </c>
      <c r="OJM222" s="40" t="s">
        <v>91</v>
      </c>
      <c r="OJN222" s="40" t="s">
        <v>91</v>
      </c>
      <c r="OJO222" s="40" t="s">
        <v>91</v>
      </c>
      <c r="OJP222" s="40" t="s">
        <v>91</v>
      </c>
      <c r="OJQ222" s="40" t="s">
        <v>91</v>
      </c>
      <c r="OJR222" s="40" t="s">
        <v>91</v>
      </c>
      <c r="OJS222" s="40" t="s">
        <v>91</v>
      </c>
      <c r="OJT222" s="40" t="s">
        <v>91</v>
      </c>
      <c r="OJU222" s="40" t="s">
        <v>91</v>
      </c>
      <c r="OJV222" s="40" t="s">
        <v>91</v>
      </c>
      <c r="OJW222" s="40" t="s">
        <v>91</v>
      </c>
      <c r="OJX222" s="40" t="s">
        <v>91</v>
      </c>
      <c r="OJY222" s="40" t="s">
        <v>91</v>
      </c>
      <c r="OJZ222" s="40" t="s">
        <v>91</v>
      </c>
      <c r="OKA222" s="40" t="s">
        <v>91</v>
      </c>
      <c r="OKB222" s="40" t="s">
        <v>91</v>
      </c>
      <c r="OKC222" s="40" t="s">
        <v>91</v>
      </c>
      <c r="OKD222" s="40" t="s">
        <v>91</v>
      </c>
      <c r="OKE222" s="40" t="s">
        <v>91</v>
      </c>
      <c r="OKF222" s="40" t="s">
        <v>91</v>
      </c>
      <c r="OKG222" s="40" t="s">
        <v>91</v>
      </c>
      <c r="OKH222" s="40" t="s">
        <v>91</v>
      </c>
      <c r="OKI222" s="40" t="s">
        <v>91</v>
      </c>
      <c r="OKJ222" s="40" t="s">
        <v>91</v>
      </c>
      <c r="OKK222" s="40" t="s">
        <v>91</v>
      </c>
      <c r="OKL222" s="40" t="s">
        <v>91</v>
      </c>
      <c r="OKM222" s="40" t="s">
        <v>91</v>
      </c>
      <c r="OKN222" s="40" t="s">
        <v>91</v>
      </c>
      <c r="OKO222" s="40" t="s">
        <v>91</v>
      </c>
      <c r="OKP222" s="40" t="s">
        <v>91</v>
      </c>
      <c r="OKQ222" s="40" t="s">
        <v>91</v>
      </c>
      <c r="OKR222" s="40" t="s">
        <v>91</v>
      </c>
      <c r="OKS222" s="40" t="s">
        <v>91</v>
      </c>
      <c r="OKT222" s="40" t="s">
        <v>91</v>
      </c>
      <c r="OKU222" s="40" t="s">
        <v>91</v>
      </c>
      <c r="OKV222" s="40" t="s">
        <v>91</v>
      </c>
      <c r="OKW222" s="40" t="s">
        <v>91</v>
      </c>
      <c r="OKX222" s="40" t="s">
        <v>91</v>
      </c>
      <c r="OKY222" s="40" t="s">
        <v>91</v>
      </c>
      <c r="OKZ222" s="40" t="s">
        <v>91</v>
      </c>
      <c r="OLA222" s="40" t="s">
        <v>91</v>
      </c>
      <c r="OLB222" s="40" t="s">
        <v>91</v>
      </c>
      <c r="OLC222" s="40" t="s">
        <v>91</v>
      </c>
      <c r="OLD222" s="40" t="s">
        <v>91</v>
      </c>
      <c r="OLE222" s="40" t="s">
        <v>91</v>
      </c>
      <c r="OLF222" s="40" t="s">
        <v>91</v>
      </c>
      <c r="OLG222" s="40" t="s">
        <v>91</v>
      </c>
      <c r="OLH222" s="40" t="s">
        <v>91</v>
      </c>
      <c r="OLI222" s="40" t="s">
        <v>91</v>
      </c>
      <c r="OLJ222" s="40" t="s">
        <v>91</v>
      </c>
      <c r="OLK222" s="40" t="s">
        <v>91</v>
      </c>
      <c r="OLL222" s="40" t="s">
        <v>91</v>
      </c>
      <c r="OLM222" s="40" t="s">
        <v>91</v>
      </c>
      <c r="OLN222" s="40" t="s">
        <v>91</v>
      </c>
      <c r="OLO222" s="40" t="s">
        <v>91</v>
      </c>
      <c r="OLP222" s="40" t="s">
        <v>91</v>
      </c>
      <c r="OLQ222" s="40" t="s">
        <v>91</v>
      </c>
      <c r="OLR222" s="40" t="s">
        <v>91</v>
      </c>
      <c r="OLS222" s="40" t="s">
        <v>91</v>
      </c>
      <c r="OLT222" s="40" t="s">
        <v>91</v>
      </c>
      <c r="OLU222" s="40" t="s">
        <v>91</v>
      </c>
      <c r="OLV222" s="40" t="s">
        <v>91</v>
      </c>
      <c r="OLW222" s="40" t="s">
        <v>91</v>
      </c>
      <c r="OLX222" s="40" t="s">
        <v>91</v>
      </c>
      <c r="OLY222" s="40" t="s">
        <v>91</v>
      </c>
      <c r="OLZ222" s="40" t="s">
        <v>91</v>
      </c>
      <c r="OMA222" s="40" t="s">
        <v>91</v>
      </c>
      <c r="OMB222" s="40" t="s">
        <v>91</v>
      </c>
      <c r="OMC222" s="40" t="s">
        <v>91</v>
      </c>
      <c r="OMD222" s="40" t="s">
        <v>91</v>
      </c>
      <c r="OME222" s="40" t="s">
        <v>91</v>
      </c>
      <c r="OMF222" s="40" t="s">
        <v>91</v>
      </c>
      <c r="OMG222" s="40" t="s">
        <v>91</v>
      </c>
      <c r="OMH222" s="40" t="s">
        <v>91</v>
      </c>
      <c r="OMI222" s="40" t="s">
        <v>91</v>
      </c>
      <c r="OMJ222" s="40" t="s">
        <v>91</v>
      </c>
      <c r="OMK222" s="40" t="s">
        <v>91</v>
      </c>
      <c r="OML222" s="40" t="s">
        <v>91</v>
      </c>
      <c r="OMM222" s="40" t="s">
        <v>91</v>
      </c>
      <c r="OMN222" s="40" t="s">
        <v>91</v>
      </c>
      <c r="OMO222" s="40" t="s">
        <v>91</v>
      </c>
      <c r="OMP222" s="40" t="s">
        <v>91</v>
      </c>
      <c r="OMQ222" s="40" t="s">
        <v>91</v>
      </c>
      <c r="OMR222" s="40" t="s">
        <v>91</v>
      </c>
      <c r="OMS222" s="40" t="s">
        <v>91</v>
      </c>
      <c r="OMT222" s="40" t="s">
        <v>91</v>
      </c>
      <c r="OMU222" s="40" t="s">
        <v>91</v>
      </c>
      <c r="OMV222" s="40" t="s">
        <v>91</v>
      </c>
      <c r="OMW222" s="40" t="s">
        <v>91</v>
      </c>
      <c r="OMX222" s="40" t="s">
        <v>91</v>
      </c>
      <c r="OMY222" s="40" t="s">
        <v>91</v>
      </c>
      <c r="OMZ222" s="40" t="s">
        <v>91</v>
      </c>
      <c r="ONA222" s="40" t="s">
        <v>91</v>
      </c>
      <c r="ONB222" s="40" t="s">
        <v>91</v>
      </c>
      <c r="ONC222" s="40" t="s">
        <v>91</v>
      </c>
      <c r="OND222" s="40" t="s">
        <v>91</v>
      </c>
      <c r="ONE222" s="40" t="s">
        <v>91</v>
      </c>
      <c r="ONF222" s="40" t="s">
        <v>91</v>
      </c>
      <c r="ONG222" s="40" t="s">
        <v>91</v>
      </c>
      <c r="ONH222" s="40" t="s">
        <v>91</v>
      </c>
      <c r="ONI222" s="40" t="s">
        <v>91</v>
      </c>
      <c r="ONJ222" s="40" t="s">
        <v>91</v>
      </c>
      <c r="ONK222" s="40" t="s">
        <v>91</v>
      </c>
      <c r="ONL222" s="40" t="s">
        <v>91</v>
      </c>
      <c r="ONM222" s="40" t="s">
        <v>91</v>
      </c>
      <c r="ONN222" s="40" t="s">
        <v>91</v>
      </c>
      <c r="ONO222" s="40" t="s">
        <v>91</v>
      </c>
      <c r="ONP222" s="40" t="s">
        <v>91</v>
      </c>
      <c r="ONQ222" s="40" t="s">
        <v>91</v>
      </c>
      <c r="ONR222" s="40" t="s">
        <v>91</v>
      </c>
      <c r="ONS222" s="40" t="s">
        <v>91</v>
      </c>
      <c r="ONT222" s="40" t="s">
        <v>91</v>
      </c>
      <c r="ONU222" s="40" t="s">
        <v>91</v>
      </c>
      <c r="ONV222" s="40" t="s">
        <v>91</v>
      </c>
      <c r="ONW222" s="40" t="s">
        <v>91</v>
      </c>
      <c r="ONX222" s="40" t="s">
        <v>91</v>
      </c>
      <c r="ONY222" s="40" t="s">
        <v>91</v>
      </c>
      <c r="ONZ222" s="40" t="s">
        <v>91</v>
      </c>
      <c r="OOA222" s="40" t="s">
        <v>91</v>
      </c>
      <c r="OOB222" s="40" t="s">
        <v>91</v>
      </c>
      <c r="OOC222" s="40" t="s">
        <v>91</v>
      </c>
      <c r="OOD222" s="40" t="s">
        <v>91</v>
      </c>
      <c r="OOE222" s="40" t="s">
        <v>91</v>
      </c>
      <c r="OOF222" s="40" t="s">
        <v>91</v>
      </c>
      <c r="OOG222" s="40" t="s">
        <v>91</v>
      </c>
      <c r="OOH222" s="40" t="s">
        <v>91</v>
      </c>
      <c r="OOI222" s="40" t="s">
        <v>91</v>
      </c>
      <c r="OOJ222" s="40" t="s">
        <v>91</v>
      </c>
      <c r="OOK222" s="40" t="s">
        <v>91</v>
      </c>
      <c r="OOL222" s="40" t="s">
        <v>91</v>
      </c>
      <c r="OOM222" s="40" t="s">
        <v>91</v>
      </c>
      <c r="OON222" s="40" t="s">
        <v>91</v>
      </c>
      <c r="OOO222" s="40" t="s">
        <v>91</v>
      </c>
      <c r="OOP222" s="40" t="s">
        <v>91</v>
      </c>
      <c r="OOQ222" s="40" t="s">
        <v>91</v>
      </c>
      <c r="OOR222" s="40" t="s">
        <v>91</v>
      </c>
      <c r="OOS222" s="40" t="s">
        <v>91</v>
      </c>
      <c r="OOT222" s="40" t="s">
        <v>91</v>
      </c>
      <c r="OOU222" s="40" t="s">
        <v>91</v>
      </c>
      <c r="OOV222" s="40" t="s">
        <v>91</v>
      </c>
      <c r="OOW222" s="40" t="s">
        <v>91</v>
      </c>
      <c r="OOX222" s="40" t="s">
        <v>91</v>
      </c>
      <c r="OOY222" s="40" t="s">
        <v>91</v>
      </c>
      <c r="OOZ222" s="40" t="s">
        <v>91</v>
      </c>
      <c r="OPA222" s="40" t="s">
        <v>91</v>
      </c>
      <c r="OPB222" s="40" t="s">
        <v>91</v>
      </c>
      <c r="OPC222" s="40" t="s">
        <v>91</v>
      </c>
      <c r="OPD222" s="40" t="s">
        <v>91</v>
      </c>
      <c r="OPE222" s="40" t="s">
        <v>91</v>
      </c>
      <c r="OPF222" s="40" t="s">
        <v>91</v>
      </c>
      <c r="OPG222" s="40" t="s">
        <v>91</v>
      </c>
      <c r="OPH222" s="40" t="s">
        <v>91</v>
      </c>
      <c r="OPI222" s="40" t="s">
        <v>91</v>
      </c>
      <c r="OPJ222" s="40" t="s">
        <v>91</v>
      </c>
      <c r="OPK222" s="40" t="s">
        <v>91</v>
      </c>
      <c r="OPL222" s="40" t="s">
        <v>91</v>
      </c>
      <c r="OPM222" s="40" t="s">
        <v>91</v>
      </c>
      <c r="OPN222" s="40" t="s">
        <v>91</v>
      </c>
      <c r="OPO222" s="40" t="s">
        <v>91</v>
      </c>
      <c r="OPP222" s="40" t="s">
        <v>91</v>
      </c>
      <c r="OPQ222" s="40" t="s">
        <v>91</v>
      </c>
      <c r="OPR222" s="40" t="s">
        <v>91</v>
      </c>
      <c r="OPS222" s="40" t="s">
        <v>91</v>
      </c>
      <c r="OPT222" s="40" t="s">
        <v>91</v>
      </c>
      <c r="OPU222" s="40" t="s">
        <v>91</v>
      </c>
      <c r="OPV222" s="40" t="s">
        <v>91</v>
      </c>
      <c r="OPW222" s="40" t="s">
        <v>91</v>
      </c>
      <c r="OPX222" s="40" t="s">
        <v>91</v>
      </c>
      <c r="OPY222" s="40" t="s">
        <v>91</v>
      </c>
      <c r="OPZ222" s="40" t="s">
        <v>91</v>
      </c>
      <c r="OQA222" s="40" t="s">
        <v>91</v>
      </c>
      <c r="OQB222" s="40" t="s">
        <v>91</v>
      </c>
      <c r="OQC222" s="40" t="s">
        <v>91</v>
      </c>
      <c r="OQD222" s="40" t="s">
        <v>91</v>
      </c>
      <c r="OQE222" s="40" t="s">
        <v>91</v>
      </c>
      <c r="OQF222" s="40" t="s">
        <v>91</v>
      </c>
      <c r="OQG222" s="40" t="s">
        <v>91</v>
      </c>
      <c r="OQH222" s="40" t="s">
        <v>91</v>
      </c>
      <c r="OQI222" s="40" t="s">
        <v>91</v>
      </c>
      <c r="OQJ222" s="40" t="s">
        <v>91</v>
      </c>
      <c r="OQK222" s="40" t="s">
        <v>91</v>
      </c>
      <c r="OQL222" s="40" t="s">
        <v>91</v>
      </c>
      <c r="OQM222" s="40" t="s">
        <v>91</v>
      </c>
      <c r="OQN222" s="40" t="s">
        <v>91</v>
      </c>
      <c r="OQO222" s="40" t="s">
        <v>91</v>
      </c>
      <c r="OQP222" s="40" t="s">
        <v>91</v>
      </c>
      <c r="OQQ222" s="40" t="s">
        <v>91</v>
      </c>
      <c r="OQR222" s="40" t="s">
        <v>91</v>
      </c>
      <c r="OQS222" s="40" t="s">
        <v>91</v>
      </c>
      <c r="OQT222" s="40" t="s">
        <v>91</v>
      </c>
      <c r="OQU222" s="40" t="s">
        <v>91</v>
      </c>
      <c r="OQV222" s="40" t="s">
        <v>91</v>
      </c>
      <c r="OQW222" s="40" t="s">
        <v>91</v>
      </c>
      <c r="OQX222" s="40" t="s">
        <v>91</v>
      </c>
      <c r="OQY222" s="40" t="s">
        <v>91</v>
      </c>
      <c r="OQZ222" s="40" t="s">
        <v>91</v>
      </c>
      <c r="ORA222" s="40" t="s">
        <v>91</v>
      </c>
      <c r="ORB222" s="40" t="s">
        <v>91</v>
      </c>
      <c r="ORC222" s="40" t="s">
        <v>91</v>
      </c>
      <c r="ORD222" s="40" t="s">
        <v>91</v>
      </c>
      <c r="ORE222" s="40" t="s">
        <v>91</v>
      </c>
      <c r="ORF222" s="40" t="s">
        <v>91</v>
      </c>
      <c r="ORG222" s="40" t="s">
        <v>91</v>
      </c>
      <c r="ORH222" s="40" t="s">
        <v>91</v>
      </c>
      <c r="ORI222" s="40" t="s">
        <v>91</v>
      </c>
      <c r="ORJ222" s="40" t="s">
        <v>91</v>
      </c>
      <c r="ORK222" s="40" t="s">
        <v>91</v>
      </c>
      <c r="ORL222" s="40" t="s">
        <v>91</v>
      </c>
      <c r="ORM222" s="40" t="s">
        <v>91</v>
      </c>
      <c r="ORN222" s="40" t="s">
        <v>91</v>
      </c>
      <c r="ORO222" s="40" t="s">
        <v>91</v>
      </c>
      <c r="ORP222" s="40" t="s">
        <v>91</v>
      </c>
      <c r="ORQ222" s="40" t="s">
        <v>91</v>
      </c>
      <c r="ORR222" s="40" t="s">
        <v>91</v>
      </c>
      <c r="ORS222" s="40" t="s">
        <v>91</v>
      </c>
      <c r="ORT222" s="40" t="s">
        <v>91</v>
      </c>
      <c r="ORU222" s="40" t="s">
        <v>91</v>
      </c>
      <c r="ORV222" s="40" t="s">
        <v>91</v>
      </c>
      <c r="ORW222" s="40" t="s">
        <v>91</v>
      </c>
      <c r="ORX222" s="40" t="s">
        <v>91</v>
      </c>
      <c r="ORY222" s="40" t="s">
        <v>91</v>
      </c>
      <c r="ORZ222" s="40" t="s">
        <v>91</v>
      </c>
      <c r="OSA222" s="40" t="s">
        <v>91</v>
      </c>
      <c r="OSB222" s="40" t="s">
        <v>91</v>
      </c>
      <c r="OSC222" s="40" t="s">
        <v>91</v>
      </c>
      <c r="OSD222" s="40" t="s">
        <v>91</v>
      </c>
      <c r="OSE222" s="40" t="s">
        <v>91</v>
      </c>
      <c r="OSF222" s="40" t="s">
        <v>91</v>
      </c>
      <c r="OSG222" s="40" t="s">
        <v>91</v>
      </c>
      <c r="OSH222" s="40" t="s">
        <v>91</v>
      </c>
      <c r="OSI222" s="40" t="s">
        <v>91</v>
      </c>
      <c r="OSJ222" s="40" t="s">
        <v>91</v>
      </c>
      <c r="OSK222" s="40" t="s">
        <v>91</v>
      </c>
      <c r="OSL222" s="40" t="s">
        <v>91</v>
      </c>
      <c r="OSM222" s="40" t="s">
        <v>91</v>
      </c>
      <c r="OSN222" s="40" t="s">
        <v>91</v>
      </c>
      <c r="OSO222" s="40" t="s">
        <v>91</v>
      </c>
      <c r="OSP222" s="40" t="s">
        <v>91</v>
      </c>
      <c r="OSQ222" s="40" t="s">
        <v>91</v>
      </c>
      <c r="OSR222" s="40" t="s">
        <v>91</v>
      </c>
      <c r="OSS222" s="40" t="s">
        <v>91</v>
      </c>
      <c r="OST222" s="40" t="s">
        <v>91</v>
      </c>
      <c r="OSU222" s="40" t="s">
        <v>91</v>
      </c>
      <c r="OSV222" s="40" t="s">
        <v>91</v>
      </c>
      <c r="OSW222" s="40" t="s">
        <v>91</v>
      </c>
      <c r="OSX222" s="40" t="s">
        <v>91</v>
      </c>
      <c r="OSY222" s="40" t="s">
        <v>91</v>
      </c>
      <c r="OSZ222" s="40" t="s">
        <v>91</v>
      </c>
      <c r="OTA222" s="40" t="s">
        <v>91</v>
      </c>
      <c r="OTB222" s="40" t="s">
        <v>91</v>
      </c>
      <c r="OTC222" s="40" t="s">
        <v>91</v>
      </c>
      <c r="OTD222" s="40" t="s">
        <v>91</v>
      </c>
      <c r="OTE222" s="40" t="s">
        <v>91</v>
      </c>
      <c r="OTF222" s="40" t="s">
        <v>91</v>
      </c>
      <c r="OTG222" s="40" t="s">
        <v>91</v>
      </c>
      <c r="OTH222" s="40" t="s">
        <v>91</v>
      </c>
      <c r="OTI222" s="40" t="s">
        <v>91</v>
      </c>
      <c r="OTJ222" s="40" t="s">
        <v>91</v>
      </c>
      <c r="OTK222" s="40" t="s">
        <v>91</v>
      </c>
      <c r="OTL222" s="40" t="s">
        <v>91</v>
      </c>
      <c r="OTM222" s="40" t="s">
        <v>91</v>
      </c>
      <c r="OTN222" s="40" t="s">
        <v>91</v>
      </c>
      <c r="OTO222" s="40" t="s">
        <v>91</v>
      </c>
      <c r="OTP222" s="40" t="s">
        <v>91</v>
      </c>
      <c r="OTQ222" s="40" t="s">
        <v>91</v>
      </c>
      <c r="OTR222" s="40" t="s">
        <v>91</v>
      </c>
      <c r="OTS222" s="40" t="s">
        <v>91</v>
      </c>
      <c r="OTT222" s="40" t="s">
        <v>91</v>
      </c>
      <c r="OTU222" s="40" t="s">
        <v>91</v>
      </c>
      <c r="OTV222" s="40" t="s">
        <v>91</v>
      </c>
      <c r="OTW222" s="40" t="s">
        <v>91</v>
      </c>
      <c r="OTX222" s="40" t="s">
        <v>91</v>
      </c>
      <c r="OTY222" s="40" t="s">
        <v>91</v>
      </c>
      <c r="OTZ222" s="40" t="s">
        <v>91</v>
      </c>
      <c r="OUA222" s="40" t="s">
        <v>91</v>
      </c>
      <c r="OUB222" s="40" t="s">
        <v>91</v>
      </c>
      <c r="OUC222" s="40" t="s">
        <v>91</v>
      </c>
      <c r="OUD222" s="40" t="s">
        <v>91</v>
      </c>
      <c r="OUE222" s="40" t="s">
        <v>91</v>
      </c>
      <c r="OUF222" s="40" t="s">
        <v>91</v>
      </c>
      <c r="OUG222" s="40" t="s">
        <v>91</v>
      </c>
      <c r="OUH222" s="40" t="s">
        <v>91</v>
      </c>
      <c r="OUI222" s="40" t="s">
        <v>91</v>
      </c>
      <c r="OUJ222" s="40" t="s">
        <v>91</v>
      </c>
      <c r="OUK222" s="40" t="s">
        <v>91</v>
      </c>
      <c r="OUL222" s="40" t="s">
        <v>91</v>
      </c>
      <c r="OUM222" s="40" t="s">
        <v>91</v>
      </c>
      <c r="OUN222" s="40" t="s">
        <v>91</v>
      </c>
      <c r="OUO222" s="40" t="s">
        <v>91</v>
      </c>
      <c r="OUP222" s="40" t="s">
        <v>91</v>
      </c>
      <c r="OUQ222" s="40" t="s">
        <v>91</v>
      </c>
      <c r="OUR222" s="40" t="s">
        <v>91</v>
      </c>
      <c r="OUS222" s="40" t="s">
        <v>91</v>
      </c>
      <c r="OUT222" s="40" t="s">
        <v>91</v>
      </c>
      <c r="OUU222" s="40" t="s">
        <v>91</v>
      </c>
      <c r="OUV222" s="40" t="s">
        <v>91</v>
      </c>
      <c r="OUW222" s="40" t="s">
        <v>91</v>
      </c>
      <c r="OUX222" s="40" t="s">
        <v>91</v>
      </c>
      <c r="OUY222" s="40" t="s">
        <v>91</v>
      </c>
      <c r="OUZ222" s="40" t="s">
        <v>91</v>
      </c>
      <c r="OVA222" s="40" t="s">
        <v>91</v>
      </c>
      <c r="OVB222" s="40" t="s">
        <v>91</v>
      </c>
      <c r="OVC222" s="40" t="s">
        <v>91</v>
      </c>
      <c r="OVD222" s="40" t="s">
        <v>91</v>
      </c>
      <c r="OVE222" s="40" t="s">
        <v>91</v>
      </c>
      <c r="OVF222" s="40" t="s">
        <v>91</v>
      </c>
      <c r="OVG222" s="40" t="s">
        <v>91</v>
      </c>
      <c r="OVH222" s="40" t="s">
        <v>91</v>
      </c>
      <c r="OVI222" s="40" t="s">
        <v>91</v>
      </c>
      <c r="OVJ222" s="40" t="s">
        <v>91</v>
      </c>
      <c r="OVK222" s="40" t="s">
        <v>91</v>
      </c>
      <c r="OVL222" s="40" t="s">
        <v>91</v>
      </c>
      <c r="OVM222" s="40" t="s">
        <v>91</v>
      </c>
      <c r="OVN222" s="40" t="s">
        <v>91</v>
      </c>
      <c r="OVO222" s="40" t="s">
        <v>91</v>
      </c>
      <c r="OVP222" s="40" t="s">
        <v>91</v>
      </c>
      <c r="OVQ222" s="40" t="s">
        <v>91</v>
      </c>
      <c r="OVR222" s="40" t="s">
        <v>91</v>
      </c>
      <c r="OVS222" s="40" t="s">
        <v>91</v>
      </c>
      <c r="OVT222" s="40" t="s">
        <v>91</v>
      </c>
      <c r="OVU222" s="40" t="s">
        <v>91</v>
      </c>
      <c r="OVV222" s="40" t="s">
        <v>91</v>
      </c>
      <c r="OVW222" s="40" t="s">
        <v>91</v>
      </c>
      <c r="OVX222" s="40" t="s">
        <v>91</v>
      </c>
      <c r="OVY222" s="40" t="s">
        <v>91</v>
      </c>
      <c r="OVZ222" s="40" t="s">
        <v>91</v>
      </c>
      <c r="OWA222" s="40" t="s">
        <v>91</v>
      </c>
      <c r="OWB222" s="40" t="s">
        <v>91</v>
      </c>
      <c r="OWC222" s="40" t="s">
        <v>91</v>
      </c>
      <c r="OWD222" s="40" t="s">
        <v>91</v>
      </c>
      <c r="OWE222" s="40" t="s">
        <v>91</v>
      </c>
      <c r="OWF222" s="40" t="s">
        <v>91</v>
      </c>
      <c r="OWG222" s="40" t="s">
        <v>91</v>
      </c>
      <c r="OWH222" s="40" t="s">
        <v>91</v>
      </c>
      <c r="OWI222" s="40" t="s">
        <v>91</v>
      </c>
      <c r="OWJ222" s="40" t="s">
        <v>91</v>
      </c>
      <c r="OWK222" s="40" t="s">
        <v>91</v>
      </c>
      <c r="OWL222" s="40" t="s">
        <v>91</v>
      </c>
      <c r="OWM222" s="40" t="s">
        <v>91</v>
      </c>
      <c r="OWN222" s="40" t="s">
        <v>91</v>
      </c>
      <c r="OWO222" s="40" t="s">
        <v>91</v>
      </c>
      <c r="OWP222" s="40" t="s">
        <v>91</v>
      </c>
      <c r="OWQ222" s="40" t="s">
        <v>91</v>
      </c>
      <c r="OWR222" s="40" t="s">
        <v>91</v>
      </c>
      <c r="OWS222" s="40" t="s">
        <v>91</v>
      </c>
      <c r="OWT222" s="40" t="s">
        <v>91</v>
      </c>
      <c r="OWU222" s="40" t="s">
        <v>91</v>
      </c>
      <c r="OWV222" s="40" t="s">
        <v>91</v>
      </c>
      <c r="OWW222" s="40" t="s">
        <v>91</v>
      </c>
      <c r="OWX222" s="40" t="s">
        <v>91</v>
      </c>
      <c r="OWY222" s="40" t="s">
        <v>91</v>
      </c>
      <c r="OWZ222" s="40" t="s">
        <v>91</v>
      </c>
      <c r="OXA222" s="40" t="s">
        <v>91</v>
      </c>
      <c r="OXB222" s="40" t="s">
        <v>91</v>
      </c>
      <c r="OXC222" s="40" t="s">
        <v>91</v>
      </c>
      <c r="OXD222" s="40" t="s">
        <v>91</v>
      </c>
      <c r="OXE222" s="40" t="s">
        <v>91</v>
      </c>
      <c r="OXF222" s="40" t="s">
        <v>91</v>
      </c>
      <c r="OXG222" s="40" t="s">
        <v>91</v>
      </c>
      <c r="OXH222" s="40" t="s">
        <v>91</v>
      </c>
      <c r="OXI222" s="40" t="s">
        <v>91</v>
      </c>
      <c r="OXJ222" s="40" t="s">
        <v>91</v>
      </c>
      <c r="OXK222" s="40" t="s">
        <v>91</v>
      </c>
      <c r="OXL222" s="40" t="s">
        <v>91</v>
      </c>
      <c r="OXM222" s="40" t="s">
        <v>91</v>
      </c>
      <c r="OXN222" s="40" t="s">
        <v>91</v>
      </c>
      <c r="OXO222" s="40" t="s">
        <v>91</v>
      </c>
      <c r="OXP222" s="40" t="s">
        <v>91</v>
      </c>
      <c r="OXQ222" s="40" t="s">
        <v>91</v>
      </c>
      <c r="OXR222" s="40" t="s">
        <v>91</v>
      </c>
      <c r="OXS222" s="40" t="s">
        <v>91</v>
      </c>
      <c r="OXT222" s="40" t="s">
        <v>91</v>
      </c>
      <c r="OXU222" s="40" t="s">
        <v>91</v>
      </c>
      <c r="OXV222" s="40" t="s">
        <v>91</v>
      </c>
      <c r="OXW222" s="40" t="s">
        <v>91</v>
      </c>
      <c r="OXX222" s="40" t="s">
        <v>91</v>
      </c>
      <c r="OXY222" s="40" t="s">
        <v>91</v>
      </c>
      <c r="OXZ222" s="40" t="s">
        <v>91</v>
      </c>
      <c r="OYA222" s="40" t="s">
        <v>91</v>
      </c>
      <c r="OYB222" s="40" t="s">
        <v>91</v>
      </c>
      <c r="OYC222" s="40" t="s">
        <v>91</v>
      </c>
      <c r="OYD222" s="40" t="s">
        <v>91</v>
      </c>
      <c r="OYE222" s="40" t="s">
        <v>91</v>
      </c>
      <c r="OYF222" s="40" t="s">
        <v>91</v>
      </c>
      <c r="OYG222" s="40" t="s">
        <v>91</v>
      </c>
      <c r="OYH222" s="40" t="s">
        <v>91</v>
      </c>
      <c r="OYI222" s="40" t="s">
        <v>91</v>
      </c>
      <c r="OYJ222" s="40" t="s">
        <v>91</v>
      </c>
      <c r="OYK222" s="40" t="s">
        <v>91</v>
      </c>
      <c r="OYL222" s="40" t="s">
        <v>91</v>
      </c>
      <c r="OYM222" s="40" t="s">
        <v>91</v>
      </c>
      <c r="OYN222" s="40" t="s">
        <v>91</v>
      </c>
      <c r="OYO222" s="40" t="s">
        <v>91</v>
      </c>
      <c r="OYP222" s="40" t="s">
        <v>91</v>
      </c>
      <c r="OYQ222" s="40" t="s">
        <v>91</v>
      </c>
      <c r="OYR222" s="40" t="s">
        <v>91</v>
      </c>
      <c r="OYS222" s="40" t="s">
        <v>91</v>
      </c>
      <c r="OYT222" s="40" t="s">
        <v>91</v>
      </c>
      <c r="OYU222" s="40" t="s">
        <v>91</v>
      </c>
      <c r="OYV222" s="40" t="s">
        <v>91</v>
      </c>
      <c r="OYW222" s="40" t="s">
        <v>91</v>
      </c>
      <c r="OYX222" s="40" t="s">
        <v>91</v>
      </c>
      <c r="OYY222" s="40" t="s">
        <v>91</v>
      </c>
      <c r="OYZ222" s="40" t="s">
        <v>91</v>
      </c>
      <c r="OZA222" s="40" t="s">
        <v>91</v>
      </c>
      <c r="OZB222" s="40" t="s">
        <v>91</v>
      </c>
      <c r="OZC222" s="40" t="s">
        <v>91</v>
      </c>
      <c r="OZD222" s="40" t="s">
        <v>91</v>
      </c>
      <c r="OZE222" s="40" t="s">
        <v>91</v>
      </c>
      <c r="OZF222" s="40" t="s">
        <v>91</v>
      </c>
      <c r="OZG222" s="40" t="s">
        <v>91</v>
      </c>
      <c r="OZH222" s="40" t="s">
        <v>91</v>
      </c>
      <c r="OZI222" s="40" t="s">
        <v>91</v>
      </c>
      <c r="OZJ222" s="40" t="s">
        <v>91</v>
      </c>
      <c r="OZK222" s="40" t="s">
        <v>91</v>
      </c>
      <c r="OZL222" s="40" t="s">
        <v>91</v>
      </c>
      <c r="OZM222" s="40" t="s">
        <v>91</v>
      </c>
      <c r="OZN222" s="40" t="s">
        <v>91</v>
      </c>
      <c r="OZO222" s="40" t="s">
        <v>91</v>
      </c>
      <c r="OZP222" s="40" t="s">
        <v>91</v>
      </c>
      <c r="OZQ222" s="40" t="s">
        <v>91</v>
      </c>
      <c r="OZR222" s="40" t="s">
        <v>91</v>
      </c>
      <c r="OZS222" s="40" t="s">
        <v>91</v>
      </c>
      <c r="OZT222" s="40" t="s">
        <v>91</v>
      </c>
      <c r="OZU222" s="40" t="s">
        <v>91</v>
      </c>
      <c r="OZV222" s="40" t="s">
        <v>91</v>
      </c>
      <c r="OZW222" s="40" t="s">
        <v>91</v>
      </c>
      <c r="OZX222" s="40" t="s">
        <v>91</v>
      </c>
      <c r="OZY222" s="40" t="s">
        <v>91</v>
      </c>
      <c r="OZZ222" s="40" t="s">
        <v>91</v>
      </c>
      <c r="PAA222" s="40" t="s">
        <v>91</v>
      </c>
      <c r="PAB222" s="40" t="s">
        <v>91</v>
      </c>
      <c r="PAC222" s="40" t="s">
        <v>91</v>
      </c>
      <c r="PAD222" s="40" t="s">
        <v>91</v>
      </c>
      <c r="PAE222" s="40" t="s">
        <v>91</v>
      </c>
      <c r="PAF222" s="40" t="s">
        <v>91</v>
      </c>
      <c r="PAG222" s="40" t="s">
        <v>91</v>
      </c>
      <c r="PAH222" s="40" t="s">
        <v>91</v>
      </c>
      <c r="PAI222" s="40" t="s">
        <v>91</v>
      </c>
      <c r="PAJ222" s="40" t="s">
        <v>91</v>
      </c>
      <c r="PAK222" s="40" t="s">
        <v>91</v>
      </c>
      <c r="PAL222" s="40" t="s">
        <v>91</v>
      </c>
      <c r="PAM222" s="40" t="s">
        <v>91</v>
      </c>
      <c r="PAN222" s="40" t="s">
        <v>91</v>
      </c>
      <c r="PAO222" s="40" t="s">
        <v>91</v>
      </c>
      <c r="PAP222" s="40" t="s">
        <v>91</v>
      </c>
      <c r="PAQ222" s="40" t="s">
        <v>91</v>
      </c>
      <c r="PAR222" s="40" t="s">
        <v>91</v>
      </c>
      <c r="PAS222" s="40" t="s">
        <v>91</v>
      </c>
      <c r="PAT222" s="40" t="s">
        <v>91</v>
      </c>
      <c r="PAU222" s="40" t="s">
        <v>91</v>
      </c>
      <c r="PAV222" s="40" t="s">
        <v>91</v>
      </c>
      <c r="PAW222" s="40" t="s">
        <v>91</v>
      </c>
      <c r="PAX222" s="40" t="s">
        <v>91</v>
      </c>
      <c r="PAY222" s="40" t="s">
        <v>91</v>
      </c>
      <c r="PAZ222" s="40" t="s">
        <v>91</v>
      </c>
      <c r="PBA222" s="40" t="s">
        <v>91</v>
      </c>
      <c r="PBB222" s="40" t="s">
        <v>91</v>
      </c>
      <c r="PBC222" s="40" t="s">
        <v>91</v>
      </c>
      <c r="PBD222" s="40" t="s">
        <v>91</v>
      </c>
      <c r="PBE222" s="40" t="s">
        <v>91</v>
      </c>
      <c r="PBF222" s="40" t="s">
        <v>91</v>
      </c>
      <c r="PBG222" s="40" t="s">
        <v>91</v>
      </c>
      <c r="PBH222" s="40" t="s">
        <v>91</v>
      </c>
      <c r="PBI222" s="40" t="s">
        <v>91</v>
      </c>
      <c r="PBJ222" s="40" t="s">
        <v>91</v>
      </c>
      <c r="PBK222" s="40" t="s">
        <v>91</v>
      </c>
      <c r="PBL222" s="40" t="s">
        <v>91</v>
      </c>
      <c r="PBM222" s="40" t="s">
        <v>91</v>
      </c>
      <c r="PBN222" s="40" t="s">
        <v>91</v>
      </c>
      <c r="PBO222" s="40" t="s">
        <v>91</v>
      </c>
      <c r="PBP222" s="40" t="s">
        <v>91</v>
      </c>
      <c r="PBQ222" s="40" t="s">
        <v>91</v>
      </c>
      <c r="PBR222" s="40" t="s">
        <v>91</v>
      </c>
      <c r="PBS222" s="40" t="s">
        <v>91</v>
      </c>
      <c r="PBT222" s="40" t="s">
        <v>91</v>
      </c>
      <c r="PBU222" s="40" t="s">
        <v>91</v>
      </c>
      <c r="PBV222" s="40" t="s">
        <v>91</v>
      </c>
      <c r="PBW222" s="40" t="s">
        <v>91</v>
      </c>
      <c r="PBX222" s="40" t="s">
        <v>91</v>
      </c>
      <c r="PBY222" s="40" t="s">
        <v>91</v>
      </c>
      <c r="PBZ222" s="40" t="s">
        <v>91</v>
      </c>
      <c r="PCA222" s="40" t="s">
        <v>91</v>
      </c>
      <c r="PCB222" s="40" t="s">
        <v>91</v>
      </c>
      <c r="PCC222" s="40" t="s">
        <v>91</v>
      </c>
      <c r="PCD222" s="40" t="s">
        <v>91</v>
      </c>
      <c r="PCE222" s="40" t="s">
        <v>91</v>
      </c>
      <c r="PCF222" s="40" t="s">
        <v>91</v>
      </c>
      <c r="PCG222" s="40" t="s">
        <v>91</v>
      </c>
      <c r="PCH222" s="40" t="s">
        <v>91</v>
      </c>
      <c r="PCI222" s="40" t="s">
        <v>91</v>
      </c>
      <c r="PCJ222" s="40" t="s">
        <v>91</v>
      </c>
      <c r="PCK222" s="40" t="s">
        <v>91</v>
      </c>
      <c r="PCL222" s="40" t="s">
        <v>91</v>
      </c>
      <c r="PCM222" s="40" t="s">
        <v>91</v>
      </c>
      <c r="PCN222" s="40" t="s">
        <v>91</v>
      </c>
      <c r="PCO222" s="40" t="s">
        <v>91</v>
      </c>
      <c r="PCP222" s="40" t="s">
        <v>91</v>
      </c>
      <c r="PCQ222" s="40" t="s">
        <v>91</v>
      </c>
      <c r="PCR222" s="40" t="s">
        <v>91</v>
      </c>
      <c r="PCS222" s="40" t="s">
        <v>91</v>
      </c>
      <c r="PCT222" s="40" t="s">
        <v>91</v>
      </c>
      <c r="PCU222" s="40" t="s">
        <v>91</v>
      </c>
      <c r="PCV222" s="40" t="s">
        <v>91</v>
      </c>
      <c r="PCW222" s="40" t="s">
        <v>91</v>
      </c>
      <c r="PCX222" s="40" t="s">
        <v>91</v>
      </c>
      <c r="PCY222" s="40" t="s">
        <v>91</v>
      </c>
      <c r="PCZ222" s="40" t="s">
        <v>91</v>
      </c>
      <c r="PDA222" s="40" t="s">
        <v>91</v>
      </c>
      <c r="PDB222" s="40" t="s">
        <v>91</v>
      </c>
      <c r="PDC222" s="40" t="s">
        <v>91</v>
      </c>
      <c r="PDD222" s="40" t="s">
        <v>91</v>
      </c>
      <c r="PDE222" s="40" t="s">
        <v>91</v>
      </c>
      <c r="PDF222" s="40" t="s">
        <v>91</v>
      </c>
      <c r="PDG222" s="40" t="s">
        <v>91</v>
      </c>
      <c r="PDH222" s="40" t="s">
        <v>91</v>
      </c>
      <c r="PDI222" s="40" t="s">
        <v>91</v>
      </c>
      <c r="PDJ222" s="40" t="s">
        <v>91</v>
      </c>
      <c r="PDK222" s="40" t="s">
        <v>91</v>
      </c>
      <c r="PDL222" s="40" t="s">
        <v>91</v>
      </c>
      <c r="PDM222" s="40" t="s">
        <v>91</v>
      </c>
      <c r="PDN222" s="40" t="s">
        <v>91</v>
      </c>
      <c r="PDO222" s="40" t="s">
        <v>91</v>
      </c>
      <c r="PDP222" s="40" t="s">
        <v>91</v>
      </c>
      <c r="PDQ222" s="40" t="s">
        <v>91</v>
      </c>
      <c r="PDR222" s="40" t="s">
        <v>91</v>
      </c>
      <c r="PDS222" s="40" t="s">
        <v>91</v>
      </c>
      <c r="PDT222" s="40" t="s">
        <v>91</v>
      </c>
      <c r="PDU222" s="40" t="s">
        <v>91</v>
      </c>
      <c r="PDV222" s="40" t="s">
        <v>91</v>
      </c>
      <c r="PDW222" s="40" t="s">
        <v>91</v>
      </c>
      <c r="PDX222" s="40" t="s">
        <v>91</v>
      </c>
      <c r="PDY222" s="40" t="s">
        <v>91</v>
      </c>
      <c r="PDZ222" s="40" t="s">
        <v>91</v>
      </c>
      <c r="PEA222" s="40" t="s">
        <v>91</v>
      </c>
      <c r="PEB222" s="40" t="s">
        <v>91</v>
      </c>
      <c r="PEC222" s="40" t="s">
        <v>91</v>
      </c>
      <c r="PED222" s="40" t="s">
        <v>91</v>
      </c>
      <c r="PEE222" s="40" t="s">
        <v>91</v>
      </c>
      <c r="PEF222" s="40" t="s">
        <v>91</v>
      </c>
      <c r="PEG222" s="40" t="s">
        <v>91</v>
      </c>
      <c r="PEH222" s="40" t="s">
        <v>91</v>
      </c>
      <c r="PEI222" s="40" t="s">
        <v>91</v>
      </c>
      <c r="PEJ222" s="40" t="s">
        <v>91</v>
      </c>
      <c r="PEK222" s="40" t="s">
        <v>91</v>
      </c>
      <c r="PEL222" s="40" t="s">
        <v>91</v>
      </c>
      <c r="PEM222" s="40" t="s">
        <v>91</v>
      </c>
      <c r="PEN222" s="40" t="s">
        <v>91</v>
      </c>
      <c r="PEO222" s="40" t="s">
        <v>91</v>
      </c>
      <c r="PEP222" s="40" t="s">
        <v>91</v>
      </c>
      <c r="PEQ222" s="40" t="s">
        <v>91</v>
      </c>
      <c r="PER222" s="40" t="s">
        <v>91</v>
      </c>
      <c r="PES222" s="40" t="s">
        <v>91</v>
      </c>
      <c r="PET222" s="40" t="s">
        <v>91</v>
      </c>
      <c r="PEU222" s="40" t="s">
        <v>91</v>
      </c>
      <c r="PEV222" s="40" t="s">
        <v>91</v>
      </c>
      <c r="PEW222" s="40" t="s">
        <v>91</v>
      </c>
      <c r="PEX222" s="40" t="s">
        <v>91</v>
      </c>
      <c r="PEY222" s="40" t="s">
        <v>91</v>
      </c>
      <c r="PEZ222" s="40" t="s">
        <v>91</v>
      </c>
      <c r="PFA222" s="40" t="s">
        <v>91</v>
      </c>
      <c r="PFB222" s="40" t="s">
        <v>91</v>
      </c>
      <c r="PFC222" s="40" t="s">
        <v>91</v>
      </c>
      <c r="PFD222" s="40" t="s">
        <v>91</v>
      </c>
      <c r="PFE222" s="40" t="s">
        <v>91</v>
      </c>
      <c r="PFF222" s="40" t="s">
        <v>91</v>
      </c>
      <c r="PFG222" s="40" t="s">
        <v>91</v>
      </c>
      <c r="PFH222" s="40" t="s">
        <v>91</v>
      </c>
      <c r="PFI222" s="40" t="s">
        <v>91</v>
      </c>
      <c r="PFJ222" s="40" t="s">
        <v>91</v>
      </c>
      <c r="PFK222" s="40" t="s">
        <v>91</v>
      </c>
      <c r="PFL222" s="40" t="s">
        <v>91</v>
      </c>
      <c r="PFM222" s="40" t="s">
        <v>91</v>
      </c>
      <c r="PFN222" s="40" t="s">
        <v>91</v>
      </c>
      <c r="PFO222" s="40" t="s">
        <v>91</v>
      </c>
      <c r="PFP222" s="40" t="s">
        <v>91</v>
      </c>
      <c r="PFQ222" s="40" t="s">
        <v>91</v>
      </c>
      <c r="PFR222" s="40" t="s">
        <v>91</v>
      </c>
      <c r="PFS222" s="40" t="s">
        <v>91</v>
      </c>
      <c r="PFT222" s="40" t="s">
        <v>91</v>
      </c>
      <c r="PFU222" s="40" t="s">
        <v>91</v>
      </c>
      <c r="PFV222" s="40" t="s">
        <v>91</v>
      </c>
      <c r="PFW222" s="40" t="s">
        <v>91</v>
      </c>
      <c r="PFX222" s="40" t="s">
        <v>91</v>
      </c>
      <c r="PFY222" s="40" t="s">
        <v>91</v>
      </c>
      <c r="PFZ222" s="40" t="s">
        <v>91</v>
      </c>
      <c r="PGA222" s="40" t="s">
        <v>91</v>
      </c>
      <c r="PGB222" s="40" t="s">
        <v>91</v>
      </c>
      <c r="PGC222" s="40" t="s">
        <v>91</v>
      </c>
      <c r="PGD222" s="40" t="s">
        <v>91</v>
      </c>
      <c r="PGE222" s="40" t="s">
        <v>91</v>
      </c>
      <c r="PGF222" s="40" t="s">
        <v>91</v>
      </c>
      <c r="PGG222" s="40" t="s">
        <v>91</v>
      </c>
      <c r="PGH222" s="40" t="s">
        <v>91</v>
      </c>
      <c r="PGI222" s="40" t="s">
        <v>91</v>
      </c>
      <c r="PGJ222" s="40" t="s">
        <v>91</v>
      </c>
      <c r="PGK222" s="40" t="s">
        <v>91</v>
      </c>
      <c r="PGL222" s="40" t="s">
        <v>91</v>
      </c>
      <c r="PGM222" s="40" t="s">
        <v>91</v>
      </c>
      <c r="PGN222" s="40" t="s">
        <v>91</v>
      </c>
      <c r="PGO222" s="40" t="s">
        <v>91</v>
      </c>
      <c r="PGP222" s="40" t="s">
        <v>91</v>
      </c>
      <c r="PGQ222" s="40" t="s">
        <v>91</v>
      </c>
      <c r="PGR222" s="40" t="s">
        <v>91</v>
      </c>
      <c r="PGS222" s="40" t="s">
        <v>91</v>
      </c>
      <c r="PGT222" s="40" t="s">
        <v>91</v>
      </c>
      <c r="PGU222" s="40" t="s">
        <v>91</v>
      </c>
      <c r="PGV222" s="40" t="s">
        <v>91</v>
      </c>
      <c r="PGW222" s="40" t="s">
        <v>91</v>
      </c>
      <c r="PGX222" s="40" t="s">
        <v>91</v>
      </c>
      <c r="PGY222" s="40" t="s">
        <v>91</v>
      </c>
      <c r="PGZ222" s="40" t="s">
        <v>91</v>
      </c>
      <c r="PHA222" s="40" t="s">
        <v>91</v>
      </c>
      <c r="PHB222" s="40" t="s">
        <v>91</v>
      </c>
      <c r="PHC222" s="40" t="s">
        <v>91</v>
      </c>
      <c r="PHD222" s="40" t="s">
        <v>91</v>
      </c>
      <c r="PHE222" s="40" t="s">
        <v>91</v>
      </c>
      <c r="PHF222" s="40" t="s">
        <v>91</v>
      </c>
      <c r="PHG222" s="40" t="s">
        <v>91</v>
      </c>
      <c r="PHH222" s="40" t="s">
        <v>91</v>
      </c>
      <c r="PHI222" s="40" t="s">
        <v>91</v>
      </c>
      <c r="PHJ222" s="40" t="s">
        <v>91</v>
      </c>
      <c r="PHK222" s="40" t="s">
        <v>91</v>
      </c>
      <c r="PHL222" s="40" t="s">
        <v>91</v>
      </c>
      <c r="PHM222" s="40" t="s">
        <v>91</v>
      </c>
      <c r="PHN222" s="40" t="s">
        <v>91</v>
      </c>
      <c r="PHO222" s="40" t="s">
        <v>91</v>
      </c>
      <c r="PHP222" s="40" t="s">
        <v>91</v>
      </c>
      <c r="PHQ222" s="40" t="s">
        <v>91</v>
      </c>
      <c r="PHR222" s="40" t="s">
        <v>91</v>
      </c>
      <c r="PHS222" s="40" t="s">
        <v>91</v>
      </c>
      <c r="PHT222" s="40" t="s">
        <v>91</v>
      </c>
      <c r="PHU222" s="40" t="s">
        <v>91</v>
      </c>
      <c r="PHV222" s="40" t="s">
        <v>91</v>
      </c>
      <c r="PHW222" s="40" t="s">
        <v>91</v>
      </c>
      <c r="PHX222" s="40" t="s">
        <v>91</v>
      </c>
      <c r="PHY222" s="40" t="s">
        <v>91</v>
      </c>
      <c r="PHZ222" s="40" t="s">
        <v>91</v>
      </c>
      <c r="PIA222" s="40" t="s">
        <v>91</v>
      </c>
      <c r="PIB222" s="40" t="s">
        <v>91</v>
      </c>
      <c r="PIC222" s="40" t="s">
        <v>91</v>
      </c>
      <c r="PID222" s="40" t="s">
        <v>91</v>
      </c>
      <c r="PIE222" s="40" t="s">
        <v>91</v>
      </c>
      <c r="PIF222" s="40" t="s">
        <v>91</v>
      </c>
      <c r="PIG222" s="40" t="s">
        <v>91</v>
      </c>
      <c r="PIH222" s="40" t="s">
        <v>91</v>
      </c>
      <c r="PII222" s="40" t="s">
        <v>91</v>
      </c>
      <c r="PIJ222" s="40" t="s">
        <v>91</v>
      </c>
      <c r="PIK222" s="40" t="s">
        <v>91</v>
      </c>
      <c r="PIL222" s="40" t="s">
        <v>91</v>
      </c>
      <c r="PIM222" s="40" t="s">
        <v>91</v>
      </c>
      <c r="PIN222" s="40" t="s">
        <v>91</v>
      </c>
      <c r="PIO222" s="40" t="s">
        <v>91</v>
      </c>
      <c r="PIP222" s="40" t="s">
        <v>91</v>
      </c>
      <c r="PIQ222" s="40" t="s">
        <v>91</v>
      </c>
      <c r="PIR222" s="40" t="s">
        <v>91</v>
      </c>
      <c r="PIS222" s="40" t="s">
        <v>91</v>
      </c>
      <c r="PIT222" s="40" t="s">
        <v>91</v>
      </c>
      <c r="PIU222" s="40" t="s">
        <v>91</v>
      </c>
      <c r="PIV222" s="40" t="s">
        <v>91</v>
      </c>
      <c r="PIW222" s="40" t="s">
        <v>91</v>
      </c>
      <c r="PIX222" s="40" t="s">
        <v>91</v>
      </c>
      <c r="PIY222" s="40" t="s">
        <v>91</v>
      </c>
      <c r="PIZ222" s="40" t="s">
        <v>91</v>
      </c>
      <c r="PJA222" s="40" t="s">
        <v>91</v>
      </c>
      <c r="PJB222" s="40" t="s">
        <v>91</v>
      </c>
      <c r="PJC222" s="40" t="s">
        <v>91</v>
      </c>
      <c r="PJD222" s="40" t="s">
        <v>91</v>
      </c>
      <c r="PJE222" s="40" t="s">
        <v>91</v>
      </c>
      <c r="PJF222" s="40" t="s">
        <v>91</v>
      </c>
      <c r="PJG222" s="40" t="s">
        <v>91</v>
      </c>
      <c r="PJH222" s="40" t="s">
        <v>91</v>
      </c>
      <c r="PJI222" s="40" t="s">
        <v>91</v>
      </c>
      <c r="PJJ222" s="40" t="s">
        <v>91</v>
      </c>
      <c r="PJK222" s="40" t="s">
        <v>91</v>
      </c>
      <c r="PJL222" s="40" t="s">
        <v>91</v>
      </c>
      <c r="PJM222" s="40" t="s">
        <v>91</v>
      </c>
      <c r="PJN222" s="40" t="s">
        <v>91</v>
      </c>
      <c r="PJO222" s="40" t="s">
        <v>91</v>
      </c>
      <c r="PJP222" s="40" t="s">
        <v>91</v>
      </c>
      <c r="PJQ222" s="40" t="s">
        <v>91</v>
      </c>
      <c r="PJR222" s="40" t="s">
        <v>91</v>
      </c>
      <c r="PJS222" s="40" t="s">
        <v>91</v>
      </c>
      <c r="PJT222" s="40" t="s">
        <v>91</v>
      </c>
      <c r="PJU222" s="40" t="s">
        <v>91</v>
      </c>
      <c r="PJV222" s="40" t="s">
        <v>91</v>
      </c>
      <c r="PJW222" s="40" t="s">
        <v>91</v>
      </c>
      <c r="PJX222" s="40" t="s">
        <v>91</v>
      </c>
      <c r="PJY222" s="40" t="s">
        <v>91</v>
      </c>
      <c r="PJZ222" s="40" t="s">
        <v>91</v>
      </c>
      <c r="PKA222" s="40" t="s">
        <v>91</v>
      </c>
      <c r="PKB222" s="40" t="s">
        <v>91</v>
      </c>
      <c r="PKC222" s="40" t="s">
        <v>91</v>
      </c>
      <c r="PKD222" s="40" t="s">
        <v>91</v>
      </c>
      <c r="PKE222" s="40" t="s">
        <v>91</v>
      </c>
      <c r="PKF222" s="40" t="s">
        <v>91</v>
      </c>
      <c r="PKG222" s="40" t="s">
        <v>91</v>
      </c>
      <c r="PKH222" s="40" t="s">
        <v>91</v>
      </c>
      <c r="PKI222" s="40" t="s">
        <v>91</v>
      </c>
      <c r="PKJ222" s="40" t="s">
        <v>91</v>
      </c>
      <c r="PKK222" s="40" t="s">
        <v>91</v>
      </c>
      <c r="PKL222" s="40" t="s">
        <v>91</v>
      </c>
      <c r="PKM222" s="40" t="s">
        <v>91</v>
      </c>
      <c r="PKN222" s="40" t="s">
        <v>91</v>
      </c>
      <c r="PKO222" s="40" t="s">
        <v>91</v>
      </c>
      <c r="PKP222" s="40" t="s">
        <v>91</v>
      </c>
      <c r="PKQ222" s="40" t="s">
        <v>91</v>
      </c>
      <c r="PKR222" s="40" t="s">
        <v>91</v>
      </c>
      <c r="PKS222" s="40" t="s">
        <v>91</v>
      </c>
      <c r="PKT222" s="40" t="s">
        <v>91</v>
      </c>
      <c r="PKU222" s="40" t="s">
        <v>91</v>
      </c>
      <c r="PKV222" s="40" t="s">
        <v>91</v>
      </c>
      <c r="PKW222" s="40" t="s">
        <v>91</v>
      </c>
      <c r="PKX222" s="40" t="s">
        <v>91</v>
      </c>
      <c r="PKY222" s="40" t="s">
        <v>91</v>
      </c>
      <c r="PKZ222" s="40" t="s">
        <v>91</v>
      </c>
      <c r="PLA222" s="40" t="s">
        <v>91</v>
      </c>
      <c r="PLB222" s="40" t="s">
        <v>91</v>
      </c>
      <c r="PLC222" s="40" t="s">
        <v>91</v>
      </c>
      <c r="PLD222" s="40" t="s">
        <v>91</v>
      </c>
      <c r="PLE222" s="40" t="s">
        <v>91</v>
      </c>
      <c r="PLF222" s="40" t="s">
        <v>91</v>
      </c>
      <c r="PLG222" s="40" t="s">
        <v>91</v>
      </c>
      <c r="PLH222" s="40" t="s">
        <v>91</v>
      </c>
      <c r="PLI222" s="40" t="s">
        <v>91</v>
      </c>
      <c r="PLJ222" s="40" t="s">
        <v>91</v>
      </c>
      <c r="PLK222" s="40" t="s">
        <v>91</v>
      </c>
      <c r="PLL222" s="40" t="s">
        <v>91</v>
      </c>
      <c r="PLM222" s="40" t="s">
        <v>91</v>
      </c>
      <c r="PLN222" s="40" t="s">
        <v>91</v>
      </c>
      <c r="PLO222" s="40" t="s">
        <v>91</v>
      </c>
      <c r="PLP222" s="40" t="s">
        <v>91</v>
      </c>
      <c r="PLQ222" s="40" t="s">
        <v>91</v>
      </c>
      <c r="PLR222" s="40" t="s">
        <v>91</v>
      </c>
      <c r="PLS222" s="40" t="s">
        <v>91</v>
      </c>
      <c r="PLT222" s="40" t="s">
        <v>91</v>
      </c>
      <c r="PLU222" s="40" t="s">
        <v>91</v>
      </c>
      <c r="PLV222" s="40" t="s">
        <v>91</v>
      </c>
      <c r="PLW222" s="40" t="s">
        <v>91</v>
      </c>
      <c r="PLX222" s="40" t="s">
        <v>91</v>
      </c>
      <c r="PLY222" s="40" t="s">
        <v>91</v>
      </c>
      <c r="PLZ222" s="40" t="s">
        <v>91</v>
      </c>
      <c r="PMA222" s="40" t="s">
        <v>91</v>
      </c>
      <c r="PMB222" s="40" t="s">
        <v>91</v>
      </c>
      <c r="PMC222" s="40" t="s">
        <v>91</v>
      </c>
      <c r="PMD222" s="40" t="s">
        <v>91</v>
      </c>
      <c r="PME222" s="40" t="s">
        <v>91</v>
      </c>
      <c r="PMF222" s="40" t="s">
        <v>91</v>
      </c>
      <c r="PMG222" s="40" t="s">
        <v>91</v>
      </c>
      <c r="PMH222" s="40" t="s">
        <v>91</v>
      </c>
      <c r="PMI222" s="40" t="s">
        <v>91</v>
      </c>
      <c r="PMJ222" s="40" t="s">
        <v>91</v>
      </c>
      <c r="PMK222" s="40" t="s">
        <v>91</v>
      </c>
      <c r="PML222" s="40" t="s">
        <v>91</v>
      </c>
      <c r="PMM222" s="40" t="s">
        <v>91</v>
      </c>
      <c r="PMN222" s="40" t="s">
        <v>91</v>
      </c>
      <c r="PMO222" s="40" t="s">
        <v>91</v>
      </c>
      <c r="PMP222" s="40" t="s">
        <v>91</v>
      </c>
      <c r="PMQ222" s="40" t="s">
        <v>91</v>
      </c>
      <c r="PMR222" s="40" t="s">
        <v>91</v>
      </c>
      <c r="PMS222" s="40" t="s">
        <v>91</v>
      </c>
      <c r="PMT222" s="40" t="s">
        <v>91</v>
      </c>
      <c r="PMU222" s="40" t="s">
        <v>91</v>
      </c>
      <c r="PMV222" s="40" t="s">
        <v>91</v>
      </c>
      <c r="PMW222" s="40" t="s">
        <v>91</v>
      </c>
      <c r="PMX222" s="40" t="s">
        <v>91</v>
      </c>
      <c r="PMY222" s="40" t="s">
        <v>91</v>
      </c>
      <c r="PMZ222" s="40" t="s">
        <v>91</v>
      </c>
      <c r="PNA222" s="40" t="s">
        <v>91</v>
      </c>
      <c r="PNB222" s="40" t="s">
        <v>91</v>
      </c>
      <c r="PNC222" s="40" t="s">
        <v>91</v>
      </c>
      <c r="PND222" s="40" t="s">
        <v>91</v>
      </c>
      <c r="PNE222" s="40" t="s">
        <v>91</v>
      </c>
      <c r="PNF222" s="40" t="s">
        <v>91</v>
      </c>
      <c r="PNG222" s="40" t="s">
        <v>91</v>
      </c>
      <c r="PNH222" s="40" t="s">
        <v>91</v>
      </c>
      <c r="PNI222" s="40" t="s">
        <v>91</v>
      </c>
      <c r="PNJ222" s="40" t="s">
        <v>91</v>
      </c>
      <c r="PNK222" s="40" t="s">
        <v>91</v>
      </c>
      <c r="PNL222" s="40" t="s">
        <v>91</v>
      </c>
      <c r="PNM222" s="40" t="s">
        <v>91</v>
      </c>
      <c r="PNN222" s="40" t="s">
        <v>91</v>
      </c>
      <c r="PNO222" s="40" t="s">
        <v>91</v>
      </c>
      <c r="PNP222" s="40" t="s">
        <v>91</v>
      </c>
      <c r="PNQ222" s="40" t="s">
        <v>91</v>
      </c>
      <c r="PNR222" s="40" t="s">
        <v>91</v>
      </c>
      <c r="PNS222" s="40" t="s">
        <v>91</v>
      </c>
      <c r="PNT222" s="40" t="s">
        <v>91</v>
      </c>
      <c r="PNU222" s="40" t="s">
        <v>91</v>
      </c>
      <c r="PNV222" s="40" t="s">
        <v>91</v>
      </c>
      <c r="PNW222" s="40" t="s">
        <v>91</v>
      </c>
      <c r="PNX222" s="40" t="s">
        <v>91</v>
      </c>
      <c r="PNY222" s="40" t="s">
        <v>91</v>
      </c>
      <c r="PNZ222" s="40" t="s">
        <v>91</v>
      </c>
      <c r="POA222" s="40" t="s">
        <v>91</v>
      </c>
      <c r="POB222" s="40" t="s">
        <v>91</v>
      </c>
      <c r="POC222" s="40" t="s">
        <v>91</v>
      </c>
      <c r="POD222" s="40" t="s">
        <v>91</v>
      </c>
      <c r="POE222" s="40" t="s">
        <v>91</v>
      </c>
      <c r="POF222" s="40" t="s">
        <v>91</v>
      </c>
      <c r="POG222" s="40" t="s">
        <v>91</v>
      </c>
      <c r="POH222" s="40" t="s">
        <v>91</v>
      </c>
      <c r="POI222" s="40" t="s">
        <v>91</v>
      </c>
      <c r="POJ222" s="40" t="s">
        <v>91</v>
      </c>
      <c r="POK222" s="40" t="s">
        <v>91</v>
      </c>
      <c r="POL222" s="40" t="s">
        <v>91</v>
      </c>
      <c r="POM222" s="40" t="s">
        <v>91</v>
      </c>
      <c r="PON222" s="40" t="s">
        <v>91</v>
      </c>
      <c r="POO222" s="40" t="s">
        <v>91</v>
      </c>
      <c r="POP222" s="40" t="s">
        <v>91</v>
      </c>
      <c r="POQ222" s="40" t="s">
        <v>91</v>
      </c>
      <c r="POR222" s="40" t="s">
        <v>91</v>
      </c>
      <c r="POS222" s="40" t="s">
        <v>91</v>
      </c>
      <c r="POT222" s="40" t="s">
        <v>91</v>
      </c>
      <c r="POU222" s="40" t="s">
        <v>91</v>
      </c>
      <c r="POV222" s="40" t="s">
        <v>91</v>
      </c>
      <c r="POW222" s="40" t="s">
        <v>91</v>
      </c>
      <c r="POX222" s="40" t="s">
        <v>91</v>
      </c>
      <c r="POY222" s="40" t="s">
        <v>91</v>
      </c>
      <c r="POZ222" s="40" t="s">
        <v>91</v>
      </c>
      <c r="PPA222" s="40" t="s">
        <v>91</v>
      </c>
      <c r="PPB222" s="40" t="s">
        <v>91</v>
      </c>
      <c r="PPC222" s="40" t="s">
        <v>91</v>
      </c>
      <c r="PPD222" s="40" t="s">
        <v>91</v>
      </c>
      <c r="PPE222" s="40" t="s">
        <v>91</v>
      </c>
      <c r="PPF222" s="40" t="s">
        <v>91</v>
      </c>
      <c r="PPG222" s="40" t="s">
        <v>91</v>
      </c>
      <c r="PPH222" s="40" t="s">
        <v>91</v>
      </c>
      <c r="PPI222" s="40" t="s">
        <v>91</v>
      </c>
      <c r="PPJ222" s="40" t="s">
        <v>91</v>
      </c>
      <c r="PPK222" s="40" t="s">
        <v>91</v>
      </c>
      <c r="PPL222" s="40" t="s">
        <v>91</v>
      </c>
      <c r="PPM222" s="40" t="s">
        <v>91</v>
      </c>
      <c r="PPN222" s="40" t="s">
        <v>91</v>
      </c>
      <c r="PPO222" s="40" t="s">
        <v>91</v>
      </c>
      <c r="PPP222" s="40" t="s">
        <v>91</v>
      </c>
      <c r="PPQ222" s="40" t="s">
        <v>91</v>
      </c>
      <c r="PPR222" s="40" t="s">
        <v>91</v>
      </c>
      <c r="PPS222" s="40" t="s">
        <v>91</v>
      </c>
      <c r="PPT222" s="40" t="s">
        <v>91</v>
      </c>
      <c r="PPU222" s="40" t="s">
        <v>91</v>
      </c>
      <c r="PPV222" s="40" t="s">
        <v>91</v>
      </c>
      <c r="PPW222" s="40" t="s">
        <v>91</v>
      </c>
      <c r="PPX222" s="40" t="s">
        <v>91</v>
      </c>
      <c r="PPY222" s="40" t="s">
        <v>91</v>
      </c>
      <c r="PPZ222" s="40" t="s">
        <v>91</v>
      </c>
      <c r="PQA222" s="40" t="s">
        <v>91</v>
      </c>
      <c r="PQB222" s="40" t="s">
        <v>91</v>
      </c>
      <c r="PQC222" s="40" t="s">
        <v>91</v>
      </c>
      <c r="PQD222" s="40" t="s">
        <v>91</v>
      </c>
      <c r="PQE222" s="40" t="s">
        <v>91</v>
      </c>
      <c r="PQF222" s="40" t="s">
        <v>91</v>
      </c>
      <c r="PQG222" s="40" t="s">
        <v>91</v>
      </c>
      <c r="PQH222" s="40" t="s">
        <v>91</v>
      </c>
      <c r="PQI222" s="40" t="s">
        <v>91</v>
      </c>
      <c r="PQJ222" s="40" t="s">
        <v>91</v>
      </c>
      <c r="PQK222" s="40" t="s">
        <v>91</v>
      </c>
      <c r="PQL222" s="40" t="s">
        <v>91</v>
      </c>
      <c r="PQM222" s="40" t="s">
        <v>91</v>
      </c>
      <c r="PQN222" s="40" t="s">
        <v>91</v>
      </c>
      <c r="PQO222" s="40" t="s">
        <v>91</v>
      </c>
      <c r="PQP222" s="40" t="s">
        <v>91</v>
      </c>
      <c r="PQQ222" s="40" t="s">
        <v>91</v>
      </c>
      <c r="PQR222" s="40" t="s">
        <v>91</v>
      </c>
      <c r="PQS222" s="40" t="s">
        <v>91</v>
      </c>
      <c r="PQT222" s="40" t="s">
        <v>91</v>
      </c>
      <c r="PQU222" s="40" t="s">
        <v>91</v>
      </c>
      <c r="PQV222" s="40" t="s">
        <v>91</v>
      </c>
      <c r="PQW222" s="40" t="s">
        <v>91</v>
      </c>
      <c r="PQX222" s="40" t="s">
        <v>91</v>
      </c>
      <c r="PQY222" s="40" t="s">
        <v>91</v>
      </c>
      <c r="PQZ222" s="40" t="s">
        <v>91</v>
      </c>
      <c r="PRA222" s="40" t="s">
        <v>91</v>
      </c>
      <c r="PRB222" s="40" t="s">
        <v>91</v>
      </c>
      <c r="PRC222" s="40" t="s">
        <v>91</v>
      </c>
      <c r="PRD222" s="40" t="s">
        <v>91</v>
      </c>
      <c r="PRE222" s="40" t="s">
        <v>91</v>
      </c>
      <c r="PRF222" s="40" t="s">
        <v>91</v>
      </c>
      <c r="PRG222" s="40" t="s">
        <v>91</v>
      </c>
      <c r="PRH222" s="40" t="s">
        <v>91</v>
      </c>
      <c r="PRI222" s="40" t="s">
        <v>91</v>
      </c>
      <c r="PRJ222" s="40" t="s">
        <v>91</v>
      </c>
      <c r="PRK222" s="40" t="s">
        <v>91</v>
      </c>
      <c r="PRL222" s="40" t="s">
        <v>91</v>
      </c>
      <c r="PRM222" s="40" t="s">
        <v>91</v>
      </c>
      <c r="PRN222" s="40" t="s">
        <v>91</v>
      </c>
      <c r="PRO222" s="40" t="s">
        <v>91</v>
      </c>
      <c r="PRP222" s="40" t="s">
        <v>91</v>
      </c>
      <c r="PRQ222" s="40" t="s">
        <v>91</v>
      </c>
      <c r="PRR222" s="40" t="s">
        <v>91</v>
      </c>
      <c r="PRS222" s="40" t="s">
        <v>91</v>
      </c>
      <c r="PRT222" s="40" t="s">
        <v>91</v>
      </c>
      <c r="PRU222" s="40" t="s">
        <v>91</v>
      </c>
      <c r="PRV222" s="40" t="s">
        <v>91</v>
      </c>
      <c r="PRW222" s="40" t="s">
        <v>91</v>
      </c>
      <c r="PRX222" s="40" t="s">
        <v>91</v>
      </c>
      <c r="PRY222" s="40" t="s">
        <v>91</v>
      </c>
      <c r="PRZ222" s="40" t="s">
        <v>91</v>
      </c>
      <c r="PSA222" s="40" t="s">
        <v>91</v>
      </c>
      <c r="PSB222" s="40" t="s">
        <v>91</v>
      </c>
      <c r="PSC222" s="40" t="s">
        <v>91</v>
      </c>
      <c r="PSD222" s="40" t="s">
        <v>91</v>
      </c>
      <c r="PSE222" s="40" t="s">
        <v>91</v>
      </c>
      <c r="PSF222" s="40" t="s">
        <v>91</v>
      </c>
      <c r="PSG222" s="40" t="s">
        <v>91</v>
      </c>
      <c r="PSH222" s="40" t="s">
        <v>91</v>
      </c>
      <c r="PSI222" s="40" t="s">
        <v>91</v>
      </c>
      <c r="PSJ222" s="40" t="s">
        <v>91</v>
      </c>
      <c r="PSK222" s="40" t="s">
        <v>91</v>
      </c>
      <c r="PSL222" s="40" t="s">
        <v>91</v>
      </c>
      <c r="PSM222" s="40" t="s">
        <v>91</v>
      </c>
      <c r="PSN222" s="40" t="s">
        <v>91</v>
      </c>
      <c r="PSO222" s="40" t="s">
        <v>91</v>
      </c>
      <c r="PSP222" s="40" t="s">
        <v>91</v>
      </c>
      <c r="PSQ222" s="40" t="s">
        <v>91</v>
      </c>
      <c r="PSR222" s="40" t="s">
        <v>91</v>
      </c>
      <c r="PSS222" s="40" t="s">
        <v>91</v>
      </c>
      <c r="PST222" s="40" t="s">
        <v>91</v>
      </c>
      <c r="PSU222" s="40" t="s">
        <v>91</v>
      </c>
      <c r="PSV222" s="40" t="s">
        <v>91</v>
      </c>
      <c r="PSW222" s="40" t="s">
        <v>91</v>
      </c>
      <c r="PSX222" s="40" t="s">
        <v>91</v>
      </c>
      <c r="PSY222" s="40" t="s">
        <v>91</v>
      </c>
      <c r="PSZ222" s="40" t="s">
        <v>91</v>
      </c>
      <c r="PTA222" s="40" t="s">
        <v>91</v>
      </c>
      <c r="PTB222" s="40" t="s">
        <v>91</v>
      </c>
      <c r="PTC222" s="40" t="s">
        <v>91</v>
      </c>
      <c r="PTD222" s="40" t="s">
        <v>91</v>
      </c>
      <c r="PTE222" s="40" t="s">
        <v>91</v>
      </c>
      <c r="PTF222" s="40" t="s">
        <v>91</v>
      </c>
      <c r="PTG222" s="40" t="s">
        <v>91</v>
      </c>
      <c r="PTH222" s="40" t="s">
        <v>91</v>
      </c>
      <c r="PTI222" s="40" t="s">
        <v>91</v>
      </c>
      <c r="PTJ222" s="40" t="s">
        <v>91</v>
      </c>
      <c r="PTK222" s="40" t="s">
        <v>91</v>
      </c>
      <c r="PTL222" s="40" t="s">
        <v>91</v>
      </c>
      <c r="PTM222" s="40" t="s">
        <v>91</v>
      </c>
      <c r="PTN222" s="40" t="s">
        <v>91</v>
      </c>
      <c r="PTO222" s="40" t="s">
        <v>91</v>
      </c>
      <c r="PTP222" s="40" t="s">
        <v>91</v>
      </c>
      <c r="PTQ222" s="40" t="s">
        <v>91</v>
      </c>
      <c r="PTR222" s="40" t="s">
        <v>91</v>
      </c>
      <c r="PTS222" s="40" t="s">
        <v>91</v>
      </c>
      <c r="PTT222" s="40" t="s">
        <v>91</v>
      </c>
      <c r="PTU222" s="40" t="s">
        <v>91</v>
      </c>
      <c r="PTV222" s="40" t="s">
        <v>91</v>
      </c>
      <c r="PTW222" s="40" t="s">
        <v>91</v>
      </c>
      <c r="PTX222" s="40" t="s">
        <v>91</v>
      </c>
      <c r="PTY222" s="40" t="s">
        <v>91</v>
      </c>
      <c r="PTZ222" s="40" t="s">
        <v>91</v>
      </c>
      <c r="PUA222" s="40" t="s">
        <v>91</v>
      </c>
      <c r="PUB222" s="40" t="s">
        <v>91</v>
      </c>
      <c r="PUC222" s="40" t="s">
        <v>91</v>
      </c>
      <c r="PUD222" s="40" t="s">
        <v>91</v>
      </c>
      <c r="PUE222" s="40" t="s">
        <v>91</v>
      </c>
      <c r="PUF222" s="40" t="s">
        <v>91</v>
      </c>
      <c r="PUG222" s="40" t="s">
        <v>91</v>
      </c>
      <c r="PUH222" s="40" t="s">
        <v>91</v>
      </c>
      <c r="PUI222" s="40" t="s">
        <v>91</v>
      </c>
      <c r="PUJ222" s="40" t="s">
        <v>91</v>
      </c>
      <c r="PUK222" s="40" t="s">
        <v>91</v>
      </c>
      <c r="PUL222" s="40" t="s">
        <v>91</v>
      </c>
      <c r="PUM222" s="40" t="s">
        <v>91</v>
      </c>
      <c r="PUN222" s="40" t="s">
        <v>91</v>
      </c>
      <c r="PUO222" s="40" t="s">
        <v>91</v>
      </c>
      <c r="PUP222" s="40" t="s">
        <v>91</v>
      </c>
      <c r="PUQ222" s="40" t="s">
        <v>91</v>
      </c>
      <c r="PUR222" s="40" t="s">
        <v>91</v>
      </c>
      <c r="PUS222" s="40" t="s">
        <v>91</v>
      </c>
      <c r="PUT222" s="40" t="s">
        <v>91</v>
      </c>
      <c r="PUU222" s="40" t="s">
        <v>91</v>
      </c>
      <c r="PUV222" s="40" t="s">
        <v>91</v>
      </c>
      <c r="PUW222" s="40" t="s">
        <v>91</v>
      </c>
      <c r="PUX222" s="40" t="s">
        <v>91</v>
      </c>
      <c r="PUY222" s="40" t="s">
        <v>91</v>
      </c>
      <c r="PUZ222" s="40" t="s">
        <v>91</v>
      </c>
      <c r="PVA222" s="40" t="s">
        <v>91</v>
      </c>
      <c r="PVB222" s="40" t="s">
        <v>91</v>
      </c>
      <c r="PVC222" s="40" t="s">
        <v>91</v>
      </c>
      <c r="PVD222" s="40" t="s">
        <v>91</v>
      </c>
      <c r="PVE222" s="40" t="s">
        <v>91</v>
      </c>
      <c r="PVF222" s="40" t="s">
        <v>91</v>
      </c>
      <c r="PVG222" s="40" t="s">
        <v>91</v>
      </c>
      <c r="PVH222" s="40" t="s">
        <v>91</v>
      </c>
      <c r="PVI222" s="40" t="s">
        <v>91</v>
      </c>
      <c r="PVJ222" s="40" t="s">
        <v>91</v>
      </c>
      <c r="PVK222" s="40" t="s">
        <v>91</v>
      </c>
      <c r="PVL222" s="40" t="s">
        <v>91</v>
      </c>
      <c r="PVM222" s="40" t="s">
        <v>91</v>
      </c>
      <c r="PVN222" s="40" t="s">
        <v>91</v>
      </c>
      <c r="PVO222" s="40" t="s">
        <v>91</v>
      </c>
      <c r="PVP222" s="40" t="s">
        <v>91</v>
      </c>
      <c r="PVQ222" s="40" t="s">
        <v>91</v>
      </c>
      <c r="PVR222" s="40" t="s">
        <v>91</v>
      </c>
      <c r="PVS222" s="40" t="s">
        <v>91</v>
      </c>
      <c r="PVT222" s="40" t="s">
        <v>91</v>
      </c>
      <c r="PVU222" s="40" t="s">
        <v>91</v>
      </c>
      <c r="PVV222" s="40" t="s">
        <v>91</v>
      </c>
      <c r="PVW222" s="40" t="s">
        <v>91</v>
      </c>
      <c r="PVX222" s="40" t="s">
        <v>91</v>
      </c>
      <c r="PVY222" s="40" t="s">
        <v>91</v>
      </c>
      <c r="PVZ222" s="40" t="s">
        <v>91</v>
      </c>
      <c r="PWA222" s="40" t="s">
        <v>91</v>
      </c>
      <c r="PWB222" s="40" t="s">
        <v>91</v>
      </c>
      <c r="PWC222" s="40" t="s">
        <v>91</v>
      </c>
      <c r="PWD222" s="40" t="s">
        <v>91</v>
      </c>
      <c r="PWE222" s="40" t="s">
        <v>91</v>
      </c>
      <c r="PWF222" s="40" t="s">
        <v>91</v>
      </c>
      <c r="PWG222" s="40" t="s">
        <v>91</v>
      </c>
      <c r="PWH222" s="40" t="s">
        <v>91</v>
      </c>
      <c r="PWI222" s="40" t="s">
        <v>91</v>
      </c>
      <c r="PWJ222" s="40" t="s">
        <v>91</v>
      </c>
      <c r="PWK222" s="40" t="s">
        <v>91</v>
      </c>
      <c r="PWL222" s="40" t="s">
        <v>91</v>
      </c>
      <c r="PWM222" s="40" t="s">
        <v>91</v>
      </c>
      <c r="PWN222" s="40" t="s">
        <v>91</v>
      </c>
      <c r="PWO222" s="40" t="s">
        <v>91</v>
      </c>
      <c r="PWP222" s="40" t="s">
        <v>91</v>
      </c>
      <c r="PWQ222" s="40" t="s">
        <v>91</v>
      </c>
      <c r="PWR222" s="40" t="s">
        <v>91</v>
      </c>
      <c r="PWS222" s="40" t="s">
        <v>91</v>
      </c>
      <c r="PWT222" s="40" t="s">
        <v>91</v>
      </c>
      <c r="PWU222" s="40" t="s">
        <v>91</v>
      </c>
      <c r="PWV222" s="40" t="s">
        <v>91</v>
      </c>
      <c r="PWW222" s="40" t="s">
        <v>91</v>
      </c>
      <c r="PWX222" s="40" t="s">
        <v>91</v>
      </c>
      <c r="PWY222" s="40" t="s">
        <v>91</v>
      </c>
      <c r="PWZ222" s="40" t="s">
        <v>91</v>
      </c>
      <c r="PXA222" s="40" t="s">
        <v>91</v>
      </c>
      <c r="PXB222" s="40" t="s">
        <v>91</v>
      </c>
      <c r="PXC222" s="40" t="s">
        <v>91</v>
      </c>
      <c r="PXD222" s="40" t="s">
        <v>91</v>
      </c>
      <c r="PXE222" s="40" t="s">
        <v>91</v>
      </c>
      <c r="PXF222" s="40" t="s">
        <v>91</v>
      </c>
      <c r="PXG222" s="40" t="s">
        <v>91</v>
      </c>
      <c r="PXH222" s="40" t="s">
        <v>91</v>
      </c>
      <c r="PXI222" s="40" t="s">
        <v>91</v>
      </c>
      <c r="PXJ222" s="40" t="s">
        <v>91</v>
      </c>
      <c r="PXK222" s="40" t="s">
        <v>91</v>
      </c>
      <c r="PXL222" s="40" t="s">
        <v>91</v>
      </c>
      <c r="PXM222" s="40" t="s">
        <v>91</v>
      </c>
      <c r="PXN222" s="40" t="s">
        <v>91</v>
      </c>
      <c r="PXO222" s="40" t="s">
        <v>91</v>
      </c>
      <c r="PXP222" s="40" t="s">
        <v>91</v>
      </c>
      <c r="PXQ222" s="40" t="s">
        <v>91</v>
      </c>
      <c r="PXR222" s="40" t="s">
        <v>91</v>
      </c>
      <c r="PXS222" s="40" t="s">
        <v>91</v>
      </c>
      <c r="PXT222" s="40" t="s">
        <v>91</v>
      </c>
      <c r="PXU222" s="40" t="s">
        <v>91</v>
      </c>
      <c r="PXV222" s="40" t="s">
        <v>91</v>
      </c>
      <c r="PXW222" s="40" t="s">
        <v>91</v>
      </c>
      <c r="PXX222" s="40" t="s">
        <v>91</v>
      </c>
      <c r="PXY222" s="40" t="s">
        <v>91</v>
      </c>
      <c r="PXZ222" s="40" t="s">
        <v>91</v>
      </c>
      <c r="PYA222" s="40" t="s">
        <v>91</v>
      </c>
      <c r="PYB222" s="40" t="s">
        <v>91</v>
      </c>
      <c r="PYC222" s="40" t="s">
        <v>91</v>
      </c>
      <c r="PYD222" s="40" t="s">
        <v>91</v>
      </c>
      <c r="PYE222" s="40" t="s">
        <v>91</v>
      </c>
      <c r="PYF222" s="40" t="s">
        <v>91</v>
      </c>
      <c r="PYG222" s="40" t="s">
        <v>91</v>
      </c>
      <c r="PYH222" s="40" t="s">
        <v>91</v>
      </c>
      <c r="PYI222" s="40" t="s">
        <v>91</v>
      </c>
      <c r="PYJ222" s="40" t="s">
        <v>91</v>
      </c>
      <c r="PYK222" s="40" t="s">
        <v>91</v>
      </c>
      <c r="PYL222" s="40" t="s">
        <v>91</v>
      </c>
      <c r="PYM222" s="40" t="s">
        <v>91</v>
      </c>
      <c r="PYN222" s="40" t="s">
        <v>91</v>
      </c>
      <c r="PYO222" s="40" t="s">
        <v>91</v>
      </c>
      <c r="PYP222" s="40" t="s">
        <v>91</v>
      </c>
      <c r="PYQ222" s="40" t="s">
        <v>91</v>
      </c>
      <c r="PYR222" s="40" t="s">
        <v>91</v>
      </c>
      <c r="PYS222" s="40" t="s">
        <v>91</v>
      </c>
      <c r="PYT222" s="40" t="s">
        <v>91</v>
      </c>
      <c r="PYU222" s="40" t="s">
        <v>91</v>
      </c>
      <c r="PYV222" s="40" t="s">
        <v>91</v>
      </c>
      <c r="PYW222" s="40" t="s">
        <v>91</v>
      </c>
      <c r="PYX222" s="40" t="s">
        <v>91</v>
      </c>
      <c r="PYY222" s="40" t="s">
        <v>91</v>
      </c>
      <c r="PYZ222" s="40" t="s">
        <v>91</v>
      </c>
      <c r="PZA222" s="40" t="s">
        <v>91</v>
      </c>
      <c r="PZB222" s="40" t="s">
        <v>91</v>
      </c>
      <c r="PZC222" s="40" t="s">
        <v>91</v>
      </c>
      <c r="PZD222" s="40" t="s">
        <v>91</v>
      </c>
      <c r="PZE222" s="40" t="s">
        <v>91</v>
      </c>
      <c r="PZF222" s="40" t="s">
        <v>91</v>
      </c>
      <c r="PZG222" s="40" t="s">
        <v>91</v>
      </c>
      <c r="PZH222" s="40" t="s">
        <v>91</v>
      </c>
      <c r="PZI222" s="40" t="s">
        <v>91</v>
      </c>
      <c r="PZJ222" s="40" t="s">
        <v>91</v>
      </c>
      <c r="PZK222" s="40" t="s">
        <v>91</v>
      </c>
      <c r="PZL222" s="40" t="s">
        <v>91</v>
      </c>
      <c r="PZM222" s="40" t="s">
        <v>91</v>
      </c>
      <c r="PZN222" s="40" t="s">
        <v>91</v>
      </c>
      <c r="PZO222" s="40" t="s">
        <v>91</v>
      </c>
      <c r="PZP222" s="40" t="s">
        <v>91</v>
      </c>
      <c r="PZQ222" s="40" t="s">
        <v>91</v>
      </c>
      <c r="PZR222" s="40" t="s">
        <v>91</v>
      </c>
      <c r="PZS222" s="40" t="s">
        <v>91</v>
      </c>
      <c r="PZT222" s="40" t="s">
        <v>91</v>
      </c>
      <c r="PZU222" s="40" t="s">
        <v>91</v>
      </c>
      <c r="PZV222" s="40" t="s">
        <v>91</v>
      </c>
      <c r="PZW222" s="40" t="s">
        <v>91</v>
      </c>
      <c r="PZX222" s="40" t="s">
        <v>91</v>
      </c>
      <c r="PZY222" s="40" t="s">
        <v>91</v>
      </c>
      <c r="PZZ222" s="40" t="s">
        <v>91</v>
      </c>
      <c r="QAA222" s="40" t="s">
        <v>91</v>
      </c>
      <c r="QAB222" s="40" t="s">
        <v>91</v>
      </c>
      <c r="QAC222" s="40" t="s">
        <v>91</v>
      </c>
      <c r="QAD222" s="40" t="s">
        <v>91</v>
      </c>
      <c r="QAE222" s="40" t="s">
        <v>91</v>
      </c>
      <c r="QAF222" s="40" t="s">
        <v>91</v>
      </c>
      <c r="QAG222" s="40" t="s">
        <v>91</v>
      </c>
      <c r="QAH222" s="40" t="s">
        <v>91</v>
      </c>
      <c r="QAI222" s="40" t="s">
        <v>91</v>
      </c>
      <c r="QAJ222" s="40" t="s">
        <v>91</v>
      </c>
      <c r="QAK222" s="40" t="s">
        <v>91</v>
      </c>
      <c r="QAL222" s="40" t="s">
        <v>91</v>
      </c>
      <c r="QAM222" s="40" t="s">
        <v>91</v>
      </c>
      <c r="QAN222" s="40" t="s">
        <v>91</v>
      </c>
      <c r="QAO222" s="40" t="s">
        <v>91</v>
      </c>
      <c r="QAP222" s="40" t="s">
        <v>91</v>
      </c>
      <c r="QAQ222" s="40" t="s">
        <v>91</v>
      </c>
      <c r="QAR222" s="40" t="s">
        <v>91</v>
      </c>
      <c r="QAS222" s="40" t="s">
        <v>91</v>
      </c>
      <c r="QAT222" s="40" t="s">
        <v>91</v>
      </c>
      <c r="QAU222" s="40" t="s">
        <v>91</v>
      </c>
      <c r="QAV222" s="40" t="s">
        <v>91</v>
      </c>
      <c r="QAW222" s="40" t="s">
        <v>91</v>
      </c>
      <c r="QAX222" s="40" t="s">
        <v>91</v>
      </c>
      <c r="QAY222" s="40" t="s">
        <v>91</v>
      </c>
      <c r="QAZ222" s="40" t="s">
        <v>91</v>
      </c>
      <c r="QBA222" s="40" t="s">
        <v>91</v>
      </c>
      <c r="QBB222" s="40" t="s">
        <v>91</v>
      </c>
      <c r="QBC222" s="40" t="s">
        <v>91</v>
      </c>
      <c r="QBD222" s="40" t="s">
        <v>91</v>
      </c>
      <c r="QBE222" s="40" t="s">
        <v>91</v>
      </c>
      <c r="QBF222" s="40" t="s">
        <v>91</v>
      </c>
      <c r="QBG222" s="40" t="s">
        <v>91</v>
      </c>
      <c r="QBH222" s="40" t="s">
        <v>91</v>
      </c>
      <c r="QBI222" s="40" t="s">
        <v>91</v>
      </c>
      <c r="QBJ222" s="40" t="s">
        <v>91</v>
      </c>
      <c r="QBK222" s="40" t="s">
        <v>91</v>
      </c>
      <c r="QBL222" s="40" t="s">
        <v>91</v>
      </c>
      <c r="QBM222" s="40" t="s">
        <v>91</v>
      </c>
      <c r="QBN222" s="40" t="s">
        <v>91</v>
      </c>
      <c r="QBO222" s="40" t="s">
        <v>91</v>
      </c>
      <c r="QBP222" s="40" t="s">
        <v>91</v>
      </c>
      <c r="QBQ222" s="40" t="s">
        <v>91</v>
      </c>
      <c r="QBR222" s="40" t="s">
        <v>91</v>
      </c>
      <c r="QBS222" s="40" t="s">
        <v>91</v>
      </c>
      <c r="QBT222" s="40" t="s">
        <v>91</v>
      </c>
      <c r="QBU222" s="40" t="s">
        <v>91</v>
      </c>
      <c r="QBV222" s="40" t="s">
        <v>91</v>
      </c>
      <c r="QBW222" s="40" t="s">
        <v>91</v>
      </c>
      <c r="QBX222" s="40" t="s">
        <v>91</v>
      </c>
      <c r="QBY222" s="40" t="s">
        <v>91</v>
      </c>
      <c r="QBZ222" s="40" t="s">
        <v>91</v>
      </c>
      <c r="QCA222" s="40" t="s">
        <v>91</v>
      </c>
      <c r="QCB222" s="40" t="s">
        <v>91</v>
      </c>
      <c r="QCC222" s="40" t="s">
        <v>91</v>
      </c>
      <c r="QCD222" s="40" t="s">
        <v>91</v>
      </c>
      <c r="QCE222" s="40" t="s">
        <v>91</v>
      </c>
      <c r="QCF222" s="40" t="s">
        <v>91</v>
      </c>
      <c r="QCG222" s="40" t="s">
        <v>91</v>
      </c>
      <c r="QCH222" s="40" t="s">
        <v>91</v>
      </c>
      <c r="QCI222" s="40" t="s">
        <v>91</v>
      </c>
      <c r="QCJ222" s="40" t="s">
        <v>91</v>
      </c>
      <c r="QCK222" s="40" t="s">
        <v>91</v>
      </c>
      <c r="QCL222" s="40" t="s">
        <v>91</v>
      </c>
      <c r="QCM222" s="40" t="s">
        <v>91</v>
      </c>
      <c r="QCN222" s="40" t="s">
        <v>91</v>
      </c>
      <c r="QCO222" s="40" t="s">
        <v>91</v>
      </c>
      <c r="QCP222" s="40" t="s">
        <v>91</v>
      </c>
      <c r="QCQ222" s="40" t="s">
        <v>91</v>
      </c>
      <c r="QCR222" s="40" t="s">
        <v>91</v>
      </c>
      <c r="QCS222" s="40" t="s">
        <v>91</v>
      </c>
      <c r="QCT222" s="40" t="s">
        <v>91</v>
      </c>
      <c r="QCU222" s="40" t="s">
        <v>91</v>
      </c>
      <c r="QCV222" s="40" t="s">
        <v>91</v>
      </c>
      <c r="QCW222" s="40" t="s">
        <v>91</v>
      </c>
      <c r="QCX222" s="40" t="s">
        <v>91</v>
      </c>
      <c r="QCY222" s="40" t="s">
        <v>91</v>
      </c>
      <c r="QCZ222" s="40" t="s">
        <v>91</v>
      </c>
      <c r="QDA222" s="40" t="s">
        <v>91</v>
      </c>
      <c r="QDB222" s="40" t="s">
        <v>91</v>
      </c>
      <c r="QDC222" s="40" t="s">
        <v>91</v>
      </c>
      <c r="QDD222" s="40" t="s">
        <v>91</v>
      </c>
      <c r="QDE222" s="40" t="s">
        <v>91</v>
      </c>
      <c r="QDF222" s="40" t="s">
        <v>91</v>
      </c>
      <c r="QDG222" s="40" t="s">
        <v>91</v>
      </c>
      <c r="QDH222" s="40" t="s">
        <v>91</v>
      </c>
      <c r="QDI222" s="40" t="s">
        <v>91</v>
      </c>
      <c r="QDJ222" s="40" t="s">
        <v>91</v>
      </c>
      <c r="QDK222" s="40" t="s">
        <v>91</v>
      </c>
      <c r="QDL222" s="40" t="s">
        <v>91</v>
      </c>
      <c r="QDM222" s="40" t="s">
        <v>91</v>
      </c>
      <c r="QDN222" s="40" t="s">
        <v>91</v>
      </c>
      <c r="QDO222" s="40" t="s">
        <v>91</v>
      </c>
      <c r="QDP222" s="40" t="s">
        <v>91</v>
      </c>
      <c r="QDQ222" s="40" t="s">
        <v>91</v>
      </c>
      <c r="QDR222" s="40" t="s">
        <v>91</v>
      </c>
      <c r="QDS222" s="40" t="s">
        <v>91</v>
      </c>
      <c r="QDT222" s="40" t="s">
        <v>91</v>
      </c>
      <c r="QDU222" s="40" t="s">
        <v>91</v>
      </c>
      <c r="QDV222" s="40" t="s">
        <v>91</v>
      </c>
      <c r="QDW222" s="40" t="s">
        <v>91</v>
      </c>
      <c r="QDX222" s="40" t="s">
        <v>91</v>
      </c>
      <c r="QDY222" s="40" t="s">
        <v>91</v>
      </c>
      <c r="QDZ222" s="40" t="s">
        <v>91</v>
      </c>
      <c r="QEA222" s="40" t="s">
        <v>91</v>
      </c>
      <c r="QEB222" s="40" t="s">
        <v>91</v>
      </c>
      <c r="QEC222" s="40" t="s">
        <v>91</v>
      </c>
      <c r="QED222" s="40" t="s">
        <v>91</v>
      </c>
      <c r="QEE222" s="40" t="s">
        <v>91</v>
      </c>
      <c r="QEF222" s="40" t="s">
        <v>91</v>
      </c>
      <c r="QEG222" s="40" t="s">
        <v>91</v>
      </c>
      <c r="QEH222" s="40" t="s">
        <v>91</v>
      </c>
      <c r="QEI222" s="40" t="s">
        <v>91</v>
      </c>
      <c r="QEJ222" s="40" t="s">
        <v>91</v>
      </c>
      <c r="QEK222" s="40" t="s">
        <v>91</v>
      </c>
      <c r="QEL222" s="40" t="s">
        <v>91</v>
      </c>
      <c r="QEM222" s="40" t="s">
        <v>91</v>
      </c>
      <c r="QEN222" s="40" t="s">
        <v>91</v>
      </c>
      <c r="QEO222" s="40" t="s">
        <v>91</v>
      </c>
      <c r="QEP222" s="40" t="s">
        <v>91</v>
      </c>
      <c r="QEQ222" s="40" t="s">
        <v>91</v>
      </c>
      <c r="QER222" s="40" t="s">
        <v>91</v>
      </c>
      <c r="QES222" s="40" t="s">
        <v>91</v>
      </c>
      <c r="QET222" s="40" t="s">
        <v>91</v>
      </c>
      <c r="QEU222" s="40" t="s">
        <v>91</v>
      </c>
      <c r="QEV222" s="40" t="s">
        <v>91</v>
      </c>
      <c r="QEW222" s="40" t="s">
        <v>91</v>
      </c>
      <c r="QEX222" s="40" t="s">
        <v>91</v>
      </c>
      <c r="QEY222" s="40" t="s">
        <v>91</v>
      </c>
      <c r="QEZ222" s="40" t="s">
        <v>91</v>
      </c>
      <c r="QFA222" s="40" t="s">
        <v>91</v>
      </c>
      <c r="QFB222" s="40" t="s">
        <v>91</v>
      </c>
      <c r="QFC222" s="40" t="s">
        <v>91</v>
      </c>
      <c r="QFD222" s="40" t="s">
        <v>91</v>
      </c>
      <c r="QFE222" s="40" t="s">
        <v>91</v>
      </c>
      <c r="QFF222" s="40" t="s">
        <v>91</v>
      </c>
      <c r="QFG222" s="40" t="s">
        <v>91</v>
      </c>
      <c r="QFH222" s="40" t="s">
        <v>91</v>
      </c>
      <c r="QFI222" s="40" t="s">
        <v>91</v>
      </c>
      <c r="QFJ222" s="40" t="s">
        <v>91</v>
      </c>
      <c r="QFK222" s="40" t="s">
        <v>91</v>
      </c>
      <c r="QFL222" s="40" t="s">
        <v>91</v>
      </c>
      <c r="QFM222" s="40" t="s">
        <v>91</v>
      </c>
      <c r="QFN222" s="40" t="s">
        <v>91</v>
      </c>
      <c r="QFO222" s="40" t="s">
        <v>91</v>
      </c>
      <c r="QFP222" s="40" t="s">
        <v>91</v>
      </c>
      <c r="QFQ222" s="40" t="s">
        <v>91</v>
      </c>
      <c r="QFR222" s="40" t="s">
        <v>91</v>
      </c>
      <c r="QFS222" s="40" t="s">
        <v>91</v>
      </c>
      <c r="QFT222" s="40" t="s">
        <v>91</v>
      </c>
      <c r="QFU222" s="40" t="s">
        <v>91</v>
      </c>
      <c r="QFV222" s="40" t="s">
        <v>91</v>
      </c>
      <c r="QFW222" s="40" t="s">
        <v>91</v>
      </c>
      <c r="QFX222" s="40" t="s">
        <v>91</v>
      </c>
      <c r="QFY222" s="40" t="s">
        <v>91</v>
      </c>
      <c r="QFZ222" s="40" t="s">
        <v>91</v>
      </c>
      <c r="QGA222" s="40" t="s">
        <v>91</v>
      </c>
      <c r="QGB222" s="40" t="s">
        <v>91</v>
      </c>
      <c r="QGC222" s="40" t="s">
        <v>91</v>
      </c>
      <c r="QGD222" s="40" t="s">
        <v>91</v>
      </c>
      <c r="QGE222" s="40" t="s">
        <v>91</v>
      </c>
      <c r="QGF222" s="40" t="s">
        <v>91</v>
      </c>
      <c r="QGG222" s="40" t="s">
        <v>91</v>
      </c>
      <c r="QGH222" s="40" t="s">
        <v>91</v>
      </c>
      <c r="QGI222" s="40" t="s">
        <v>91</v>
      </c>
      <c r="QGJ222" s="40" t="s">
        <v>91</v>
      </c>
      <c r="QGK222" s="40" t="s">
        <v>91</v>
      </c>
      <c r="QGL222" s="40" t="s">
        <v>91</v>
      </c>
      <c r="QGM222" s="40" t="s">
        <v>91</v>
      </c>
      <c r="QGN222" s="40" t="s">
        <v>91</v>
      </c>
      <c r="QGO222" s="40" t="s">
        <v>91</v>
      </c>
      <c r="QGP222" s="40" t="s">
        <v>91</v>
      </c>
      <c r="QGQ222" s="40" t="s">
        <v>91</v>
      </c>
      <c r="QGR222" s="40" t="s">
        <v>91</v>
      </c>
      <c r="QGS222" s="40" t="s">
        <v>91</v>
      </c>
      <c r="QGT222" s="40" t="s">
        <v>91</v>
      </c>
      <c r="QGU222" s="40" t="s">
        <v>91</v>
      </c>
      <c r="QGV222" s="40" t="s">
        <v>91</v>
      </c>
      <c r="QGW222" s="40" t="s">
        <v>91</v>
      </c>
      <c r="QGX222" s="40" t="s">
        <v>91</v>
      </c>
      <c r="QGY222" s="40" t="s">
        <v>91</v>
      </c>
      <c r="QGZ222" s="40" t="s">
        <v>91</v>
      </c>
      <c r="QHA222" s="40" t="s">
        <v>91</v>
      </c>
      <c r="QHB222" s="40" t="s">
        <v>91</v>
      </c>
      <c r="QHC222" s="40" t="s">
        <v>91</v>
      </c>
      <c r="QHD222" s="40" t="s">
        <v>91</v>
      </c>
      <c r="QHE222" s="40" t="s">
        <v>91</v>
      </c>
      <c r="QHF222" s="40" t="s">
        <v>91</v>
      </c>
      <c r="QHG222" s="40" t="s">
        <v>91</v>
      </c>
      <c r="QHH222" s="40" t="s">
        <v>91</v>
      </c>
      <c r="QHI222" s="40" t="s">
        <v>91</v>
      </c>
      <c r="QHJ222" s="40" t="s">
        <v>91</v>
      </c>
      <c r="QHK222" s="40" t="s">
        <v>91</v>
      </c>
      <c r="QHL222" s="40" t="s">
        <v>91</v>
      </c>
      <c r="QHM222" s="40" t="s">
        <v>91</v>
      </c>
      <c r="QHN222" s="40" t="s">
        <v>91</v>
      </c>
      <c r="QHO222" s="40" t="s">
        <v>91</v>
      </c>
      <c r="QHP222" s="40" t="s">
        <v>91</v>
      </c>
      <c r="QHQ222" s="40" t="s">
        <v>91</v>
      </c>
      <c r="QHR222" s="40" t="s">
        <v>91</v>
      </c>
      <c r="QHS222" s="40" t="s">
        <v>91</v>
      </c>
      <c r="QHT222" s="40" t="s">
        <v>91</v>
      </c>
      <c r="QHU222" s="40" t="s">
        <v>91</v>
      </c>
      <c r="QHV222" s="40" t="s">
        <v>91</v>
      </c>
      <c r="QHW222" s="40" t="s">
        <v>91</v>
      </c>
      <c r="QHX222" s="40" t="s">
        <v>91</v>
      </c>
      <c r="QHY222" s="40" t="s">
        <v>91</v>
      </c>
      <c r="QHZ222" s="40" t="s">
        <v>91</v>
      </c>
      <c r="QIA222" s="40" t="s">
        <v>91</v>
      </c>
      <c r="QIB222" s="40" t="s">
        <v>91</v>
      </c>
      <c r="QIC222" s="40" t="s">
        <v>91</v>
      </c>
      <c r="QID222" s="40" t="s">
        <v>91</v>
      </c>
      <c r="QIE222" s="40" t="s">
        <v>91</v>
      </c>
      <c r="QIF222" s="40" t="s">
        <v>91</v>
      </c>
      <c r="QIG222" s="40" t="s">
        <v>91</v>
      </c>
      <c r="QIH222" s="40" t="s">
        <v>91</v>
      </c>
      <c r="QII222" s="40" t="s">
        <v>91</v>
      </c>
      <c r="QIJ222" s="40" t="s">
        <v>91</v>
      </c>
      <c r="QIK222" s="40" t="s">
        <v>91</v>
      </c>
      <c r="QIL222" s="40" t="s">
        <v>91</v>
      </c>
      <c r="QIM222" s="40" t="s">
        <v>91</v>
      </c>
      <c r="QIN222" s="40" t="s">
        <v>91</v>
      </c>
      <c r="QIO222" s="40" t="s">
        <v>91</v>
      </c>
      <c r="QIP222" s="40" t="s">
        <v>91</v>
      </c>
      <c r="QIQ222" s="40" t="s">
        <v>91</v>
      </c>
      <c r="QIR222" s="40" t="s">
        <v>91</v>
      </c>
      <c r="QIS222" s="40" t="s">
        <v>91</v>
      </c>
      <c r="QIT222" s="40" t="s">
        <v>91</v>
      </c>
      <c r="QIU222" s="40" t="s">
        <v>91</v>
      </c>
      <c r="QIV222" s="40" t="s">
        <v>91</v>
      </c>
      <c r="QIW222" s="40" t="s">
        <v>91</v>
      </c>
      <c r="QIX222" s="40" t="s">
        <v>91</v>
      </c>
      <c r="QIY222" s="40" t="s">
        <v>91</v>
      </c>
      <c r="QIZ222" s="40" t="s">
        <v>91</v>
      </c>
      <c r="QJA222" s="40" t="s">
        <v>91</v>
      </c>
      <c r="QJB222" s="40" t="s">
        <v>91</v>
      </c>
      <c r="QJC222" s="40" t="s">
        <v>91</v>
      </c>
      <c r="QJD222" s="40" t="s">
        <v>91</v>
      </c>
      <c r="QJE222" s="40" t="s">
        <v>91</v>
      </c>
      <c r="QJF222" s="40" t="s">
        <v>91</v>
      </c>
      <c r="QJG222" s="40" t="s">
        <v>91</v>
      </c>
      <c r="QJH222" s="40" t="s">
        <v>91</v>
      </c>
      <c r="QJI222" s="40" t="s">
        <v>91</v>
      </c>
      <c r="QJJ222" s="40" t="s">
        <v>91</v>
      </c>
      <c r="QJK222" s="40" t="s">
        <v>91</v>
      </c>
      <c r="QJL222" s="40" t="s">
        <v>91</v>
      </c>
      <c r="QJM222" s="40" t="s">
        <v>91</v>
      </c>
      <c r="QJN222" s="40" t="s">
        <v>91</v>
      </c>
      <c r="QJO222" s="40" t="s">
        <v>91</v>
      </c>
      <c r="QJP222" s="40" t="s">
        <v>91</v>
      </c>
      <c r="QJQ222" s="40" t="s">
        <v>91</v>
      </c>
      <c r="QJR222" s="40" t="s">
        <v>91</v>
      </c>
      <c r="QJS222" s="40" t="s">
        <v>91</v>
      </c>
      <c r="QJT222" s="40" t="s">
        <v>91</v>
      </c>
      <c r="QJU222" s="40" t="s">
        <v>91</v>
      </c>
      <c r="QJV222" s="40" t="s">
        <v>91</v>
      </c>
      <c r="QJW222" s="40" t="s">
        <v>91</v>
      </c>
      <c r="QJX222" s="40" t="s">
        <v>91</v>
      </c>
      <c r="QJY222" s="40" t="s">
        <v>91</v>
      </c>
      <c r="QJZ222" s="40" t="s">
        <v>91</v>
      </c>
      <c r="QKA222" s="40" t="s">
        <v>91</v>
      </c>
      <c r="QKB222" s="40" t="s">
        <v>91</v>
      </c>
      <c r="QKC222" s="40" t="s">
        <v>91</v>
      </c>
      <c r="QKD222" s="40" t="s">
        <v>91</v>
      </c>
      <c r="QKE222" s="40" t="s">
        <v>91</v>
      </c>
      <c r="QKF222" s="40" t="s">
        <v>91</v>
      </c>
      <c r="QKG222" s="40" t="s">
        <v>91</v>
      </c>
      <c r="QKH222" s="40" t="s">
        <v>91</v>
      </c>
      <c r="QKI222" s="40" t="s">
        <v>91</v>
      </c>
      <c r="QKJ222" s="40" t="s">
        <v>91</v>
      </c>
      <c r="QKK222" s="40" t="s">
        <v>91</v>
      </c>
      <c r="QKL222" s="40" t="s">
        <v>91</v>
      </c>
      <c r="QKM222" s="40" t="s">
        <v>91</v>
      </c>
      <c r="QKN222" s="40" t="s">
        <v>91</v>
      </c>
      <c r="QKO222" s="40" t="s">
        <v>91</v>
      </c>
      <c r="QKP222" s="40" t="s">
        <v>91</v>
      </c>
      <c r="QKQ222" s="40" t="s">
        <v>91</v>
      </c>
      <c r="QKR222" s="40" t="s">
        <v>91</v>
      </c>
      <c r="QKS222" s="40" t="s">
        <v>91</v>
      </c>
      <c r="QKT222" s="40" t="s">
        <v>91</v>
      </c>
      <c r="QKU222" s="40" t="s">
        <v>91</v>
      </c>
      <c r="QKV222" s="40" t="s">
        <v>91</v>
      </c>
      <c r="QKW222" s="40" t="s">
        <v>91</v>
      </c>
      <c r="QKX222" s="40" t="s">
        <v>91</v>
      </c>
      <c r="QKY222" s="40" t="s">
        <v>91</v>
      </c>
      <c r="QKZ222" s="40" t="s">
        <v>91</v>
      </c>
      <c r="QLA222" s="40" t="s">
        <v>91</v>
      </c>
      <c r="QLB222" s="40" t="s">
        <v>91</v>
      </c>
      <c r="QLC222" s="40" t="s">
        <v>91</v>
      </c>
      <c r="QLD222" s="40" t="s">
        <v>91</v>
      </c>
      <c r="QLE222" s="40" t="s">
        <v>91</v>
      </c>
      <c r="QLF222" s="40" t="s">
        <v>91</v>
      </c>
      <c r="QLG222" s="40" t="s">
        <v>91</v>
      </c>
      <c r="QLH222" s="40" t="s">
        <v>91</v>
      </c>
      <c r="QLI222" s="40" t="s">
        <v>91</v>
      </c>
      <c r="QLJ222" s="40" t="s">
        <v>91</v>
      </c>
      <c r="QLK222" s="40" t="s">
        <v>91</v>
      </c>
      <c r="QLL222" s="40" t="s">
        <v>91</v>
      </c>
      <c r="QLM222" s="40" t="s">
        <v>91</v>
      </c>
      <c r="QLN222" s="40" t="s">
        <v>91</v>
      </c>
      <c r="QLO222" s="40" t="s">
        <v>91</v>
      </c>
      <c r="QLP222" s="40" t="s">
        <v>91</v>
      </c>
      <c r="QLQ222" s="40" t="s">
        <v>91</v>
      </c>
      <c r="QLR222" s="40" t="s">
        <v>91</v>
      </c>
      <c r="QLS222" s="40" t="s">
        <v>91</v>
      </c>
      <c r="QLT222" s="40" t="s">
        <v>91</v>
      </c>
      <c r="QLU222" s="40" t="s">
        <v>91</v>
      </c>
      <c r="QLV222" s="40" t="s">
        <v>91</v>
      </c>
      <c r="QLW222" s="40" t="s">
        <v>91</v>
      </c>
      <c r="QLX222" s="40" t="s">
        <v>91</v>
      </c>
      <c r="QLY222" s="40" t="s">
        <v>91</v>
      </c>
      <c r="QLZ222" s="40" t="s">
        <v>91</v>
      </c>
      <c r="QMA222" s="40" t="s">
        <v>91</v>
      </c>
      <c r="QMB222" s="40" t="s">
        <v>91</v>
      </c>
      <c r="QMC222" s="40" t="s">
        <v>91</v>
      </c>
      <c r="QMD222" s="40" t="s">
        <v>91</v>
      </c>
      <c r="QME222" s="40" t="s">
        <v>91</v>
      </c>
      <c r="QMF222" s="40" t="s">
        <v>91</v>
      </c>
      <c r="QMG222" s="40" t="s">
        <v>91</v>
      </c>
      <c r="QMH222" s="40" t="s">
        <v>91</v>
      </c>
      <c r="QMI222" s="40" t="s">
        <v>91</v>
      </c>
      <c r="QMJ222" s="40" t="s">
        <v>91</v>
      </c>
      <c r="QMK222" s="40" t="s">
        <v>91</v>
      </c>
      <c r="QML222" s="40" t="s">
        <v>91</v>
      </c>
      <c r="QMM222" s="40" t="s">
        <v>91</v>
      </c>
      <c r="QMN222" s="40" t="s">
        <v>91</v>
      </c>
      <c r="QMO222" s="40" t="s">
        <v>91</v>
      </c>
      <c r="QMP222" s="40" t="s">
        <v>91</v>
      </c>
      <c r="QMQ222" s="40" t="s">
        <v>91</v>
      </c>
      <c r="QMR222" s="40" t="s">
        <v>91</v>
      </c>
      <c r="QMS222" s="40" t="s">
        <v>91</v>
      </c>
      <c r="QMT222" s="40" t="s">
        <v>91</v>
      </c>
      <c r="QMU222" s="40" t="s">
        <v>91</v>
      </c>
      <c r="QMV222" s="40" t="s">
        <v>91</v>
      </c>
      <c r="QMW222" s="40" t="s">
        <v>91</v>
      </c>
      <c r="QMX222" s="40" t="s">
        <v>91</v>
      </c>
      <c r="QMY222" s="40" t="s">
        <v>91</v>
      </c>
      <c r="QMZ222" s="40" t="s">
        <v>91</v>
      </c>
      <c r="QNA222" s="40" t="s">
        <v>91</v>
      </c>
      <c r="QNB222" s="40" t="s">
        <v>91</v>
      </c>
      <c r="QNC222" s="40" t="s">
        <v>91</v>
      </c>
      <c r="QND222" s="40" t="s">
        <v>91</v>
      </c>
      <c r="QNE222" s="40" t="s">
        <v>91</v>
      </c>
      <c r="QNF222" s="40" t="s">
        <v>91</v>
      </c>
      <c r="QNG222" s="40" t="s">
        <v>91</v>
      </c>
      <c r="QNH222" s="40" t="s">
        <v>91</v>
      </c>
      <c r="QNI222" s="40" t="s">
        <v>91</v>
      </c>
      <c r="QNJ222" s="40" t="s">
        <v>91</v>
      </c>
      <c r="QNK222" s="40" t="s">
        <v>91</v>
      </c>
      <c r="QNL222" s="40" t="s">
        <v>91</v>
      </c>
      <c r="QNM222" s="40" t="s">
        <v>91</v>
      </c>
      <c r="QNN222" s="40" t="s">
        <v>91</v>
      </c>
      <c r="QNO222" s="40" t="s">
        <v>91</v>
      </c>
      <c r="QNP222" s="40" t="s">
        <v>91</v>
      </c>
      <c r="QNQ222" s="40" t="s">
        <v>91</v>
      </c>
      <c r="QNR222" s="40" t="s">
        <v>91</v>
      </c>
      <c r="QNS222" s="40" t="s">
        <v>91</v>
      </c>
      <c r="QNT222" s="40" t="s">
        <v>91</v>
      </c>
      <c r="QNU222" s="40" t="s">
        <v>91</v>
      </c>
      <c r="QNV222" s="40" t="s">
        <v>91</v>
      </c>
      <c r="QNW222" s="40" t="s">
        <v>91</v>
      </c>
      <c r="QNX222" s="40" t="s">
        <v>91</v>
      </c>
      <c r="QNY222" s="40" t="s">
        <v>91</v>
      </c>
      <c r="QNZ222" s="40" t="s">
        <v>91</v>
      </c>
      <c r="QOA222" s="40" t="s">
        <v>91</v>
      </c>
      <c r="QOB222" s="40" t="s">
        <v>91</v>
      </c>
      <c r="QOC222" s="40" t="s">
        <v>91</v>
      </c>
      <c r="QOD222" s="40" t="s">
        <v>91</v>
      </c>
      <c r="QOE222" s="40" t="s">
        <v>91</v>
      </c>
      <c r="QOF222" s="40" t="s">
        <v>91</v>
      </c>
      <c r="QOG222" s="40" t="s">
        <v>91</v>
      </c>
      <c r="QOH222" s="40" t="s">
        <v>91</v>
      </c>
      <c r="QOI222" s="40" t="s">
        <v>91</v>
      </c>
      <c r="QOJ222" s="40" t="s">
        <v>91</v>
      </c>
      <c r="QOK222" s="40" t="s">
        <v>91</v>
      </c>
      <c r="QOL222" s="40" t="s">
        <v>91</v>
      </c>
      <c r="QOM222" s="40" t="s">
        <v>91</v>
      </c>
      <c r="QON222" s="40" t="s">
        <v>91</v>
      </c>
      <c r="QOO222" s="40" t="s">
        <v>91</v>
      </c>
      <c r="QOP222" s="40" t="s">
        <v>91</v>
      </c>
      <c r="QOQ222" s="40" t="s">
        <v>91</v>
      </c>
      <c r="QOR222" s="40" t="s">
        <v>91</v>
      </c>
      <c r="QOS222" s="40" t="s">
        <v>91</v>
      </c>
      <c r="QOT222" s="40" t="s">
        <v>91</v>
      </c>
      <c r="QOU222" s="40" t="s">
        <v>91</v>
      </c>
      <c r="QOV222" s="40" t="s">
        <v>91</v>
      </c>
      <c r="QOW222" s="40" t="s">
        <v>91</v>
      </c>
      <c r="QOX222" s="40" t="s">
        <v>91</v>
      </c>
      <c r="QOY222" s="40" t="s">
        <v>91</v>
      </c>
      <c r="QOZ222" s="40" t="s">
        <v>91</v>
      </c>
      <c r="QPA222" s="40" t="s">
        <v>91</v>
      </c>
      <c r="QPB222" s="40" t="s">
        <v>91</v>
      </c>
      <c r="QPC222" s="40" t="s">
        <v>91</v>
      </c>
      <c r="QPD222" s="40" t="s">
        <v>91</v>
      </c>
      <c r="QPE222" s="40" t="s">
        <v>91</v>
      </c>
      <c r="QPF222" s="40" t="s">
        <v>91</v>
      </c>
      <c r="QPG222" s="40" t="s">
        <v>91</v>
      </c>
      <c r="QPH222" s="40" t="s">
        <v>91</v>
      </c>
      <c r="QPI222" s="40" t="s">
        <v>91</v>
      </c>
      <c r="QPJ222" s="40" t="s">
        <v>91</v>
      </c>
      <c r="QPK222" s="40" t="s">
        <v>91</v>
      </c>
      <c r="QPL222" s="40" t="s">
        <v>91</v>
      </c>
      <c r="QPM222" s="40" t="s">
        <v>91</v>
      </c>
      <c r="QPN222" s="40" t="s">
        <v>91</v>
      </c>
      <c r="QPO222" s="40" t="s">
        <v>91</v>
      </c>
      <c r="QPP222" s="40" t="s">
        <v>91</v>
      </c>
      <c r="QPQ222" s="40" t="s">
        <v>91</v>
      </c>
      <c r="QPR222" s="40" t="s">
        <v>91</v>
      </c>
      <c r="QPS222" s="40" t="s">
        <v>91</v>
      </c>
      <c r="QPT222" s="40" t="s">
        <v>91</v>
      </c>
      <c r="QPU222" s="40" t="s">
        <v>91</v>
      </c>
      <c r="QPV222" s="40" t="s">
        <v>91</v>
      </c>
      <c r="QPW222" s="40" t="s">
        <v>91</v>
      </c>
      <c r="QPX222" s="40" t="s">
        <v>91</v>
      </c>
      <c r="QPY222" s="40" t="s">
        <v>91</v>
      </c>
      <c r="QPZ222" s="40" t="s">
        <v>91</v>
      </c>
      <c r="QQA222" s="40" t="s">
        <v>91</v>
      </c>
      <c r="QQB222" s="40" t="s">
        <v>91</v>
      </c>
      <c r="QQC222" s="40" t="s">
        <v>91</v>
      </c>
      <c r="QQD222" s="40" t="s">
        <v>91</v>
      </c>
      <c r="QQE222" s="40" t="s">
        <v>91</v>
      </c>
      <c r="QQF222" s="40" t="s">
        <v>91</v>
      </c>
      <c r="QQG222" s="40" t="s">
        <v>91</v>
      </c>
      <c r="QQH222" s="40" t="s">
        <v>91</v>
      </c>
      <c r="QQI222" s="40" t="s">
        <v>91</v>
      </c>
      <c r="QQJ222" s="40" t="s">
        <v>91</v>
      </c>
      <c r="QQK222" s="40" t="s">
        <v>91</v>
      </c>
      <c r="QQL222" s="40" t="s">
        <v>91</v>
      </c>
      <c r="QQM222" s="40" t="s">
        <v>91</v>
      </c>
      <c r="QQN222" s="40" t="s">
        <v>91</v>
      </c>
      <c r="QQO222" s="40" t="s">
        <v>91</v>
      </c>
      <c r="QQP222" s="40" t="s">
        <v>91</v>
      </c>
      <c r="QQQ222" s="40" t="s">
        <v>91</v>
      </c>
      <c r="QQR222" s="40" t="s">
        <v>91</v>
      </c>
      <c r="QQS222" s="40" t="s">
        <v>91</v>
      </c>
      <c r="QQT222" s="40" t="s">
        <v>91</v>
      </c>
      <c r="QQU222" s="40" t="s">
        <v>91</v>
      </c>
      <c r="QQV222" s="40" t="s">
        <v>91</v>
      </c>
      <c r="QQW222" s="40" t="s">
        <v>91</v>
      </c>
      <c r="QQX222" s="40" t="s">
        <v>91</v>
      </c>
      <c r="QQY222" s="40" t="s">
        <v>91</v>
      </c>
      <c r="QQZ222" s="40" t="s">
        <v>91</v>
      </c>
      <c r="QRA222" s="40" t="s">
        <v>91</v>
      </c>
      <c r="QRB222" s="40" t="s">
        <v>91</v>
      </c>
      <c r="QRC222" s="40" t="s">
        <v>91</v>
      </c>
      <c r="QRD222" s="40" t="s">
        <v>91</v>
      </c>
      <c r="QRE222" s="40" t="s">
        <v>91</v>
      </c>
      <c r="QRF222" s="40" t="s">
        <v>91</v>
      </c>
      <c r="QRG222" s="40" t="s">
        <v>91</v>
      </c>
      <c r="QRH222" s="40" t="s">
        <v>91</v>
      </c>
      <c r="QRI222" s="40" t="s">
        <v>91</v>
      </c>
      <c r="QRJ222" s="40" t="s">
        <v>91</v>
      </c>
      <c r="QRK222" s="40" t="s">
        <v>91</v>
      </c>
      <c r="QRL222" s="40" t="s">
        <v>91</v>
      </c>
      <c r="QRM222" s="40" t="s">
        <v>91</v>
      </c>
      <c r="QRN222" s="40" t="s">
        <v>91</v>
      </c>
      <c r="QRO222" s="40" t="s">
        <v>91</v>
      </c>
      <c r="QRP222" s="40" t="s">
        <v>91</v>
      </c>
      <c r="QRQ222" s="40" t="s">
        <v>91</v>
      </c>
      <c r="QRR222" s="40" t="s">
        <v>91</v>
      </c>
      <c r="QRS222" s="40" t="s">
        <v>91</v>
      </c>
      <c r="QRT222" s="40" t="s">
        <v>91</v>
      </c>
      <c r="QRU222" s="40" t="s">
        <v>91</v>
      </c>
      <c r="QRV222" s="40" t="s">
        <v>91</v>
      </c>
      <c r="QRW222" s="40" t="s">
        <v>91</v>
      </c>
      <c r="QRX222" s="40" t="s">
        <v>91</v>
      </c>
      <c r="QRY222" s="40" t="s">
        <v>91</v>
      </c>
      <c r="QRZ222" s="40" t="s">
        <v>91</v>
      </c>
      <c r="QSA222" s="40" t="s">
        <v>91</v>
      </c>
      <c r="QSB222" s="40" t="s">
        <v>91</v>
      </c>
      <c r="QSC222" s="40" t="s">
        <v>91</v>
      </c>
      <c r="QSD222" s="40" t="s">
        <v>91</v>
      </c>
      <c r="QSE222" s="40" t="s">
        <v>91</v>
      </c>
      <c r="QSF222" s="40" t="s">
        <v>91</v>
      </c>
      <c r="QSG222" s="40" t="s">
        <v>91</v>
      </c>
      <c r="QSH222" s="40" t="s">
        <v>91</v>
      </c>
      <c r="QSI222" s="40" t="s">
        <v>91</v>
      </c>
      <c r="QSJ222" s="40" t="s">
        <v>91</v>
      </c>
      <c r="QSK222" s="40" t="s">
        <v>91</v>
      </c>
      <c r="QSL222" s="40" t="s">
        <v>91</v>
      </c>
      <c r="QSM222" s="40" t="s">
        <v>91</v>
      </c>
      <c r="QSN222" s="40" t="s">
        <v>91</v>
      </c>
      <c r="QSO222" s="40" t="s">
        <v>91</v>
      </c>
      <c r="QSP222" s="40" t="s">
        <v>91</v>
      </c>
      <c r="QSQ222" s="40" t="s">
        <v>91</v>
      </c>
      <c r="QSR222" s="40" t="s">
        <v>91</v>
      </c>
      <c r="QSS222" s="40" t="s">
        <v>91</v>
      </c>
      <c r="QST222" s="40" t="s">
        <v>91</v>
      </c>
      <c r="QSU222" s="40" t="s">
        <v>91</v>
      </c>
      <c r="QSV222" s="40" t="s">
        <v>91</v>
      </c>
      <c r="QSW222" s="40" t="s">
        <v>91</v>
      </c>
      <c r="QSX222" s="40" t="s">
        <v>91</v>
      </c>
      <c r="QSY222" s="40" t="s">
        <v>91</v>
      </c>
      <c r="QSZ222" s="40" t="s">
        <v>91</v>
      </c>
      <c r="QTA222" s="40" t="s">
        <v>91</v>
      </c>
      <c r="QTB222" s="40" t="s">
        <v>91</v>
      </c>
      <c r="QTC222" s="40" t="s">
        <v>91</v>
      </c>
      <c r="QTD222" s="40" t="s">
        <v>91</v>
      </c>
      <c r="QTE222" s="40" t="s">
        <v>91</v>
      </c>
      <c r="QTF222" s="40" t="s">
        <v>91</v>
      </c>
      <c r="QTG222" s="40" t="s">
        <v>91</v>
      </c>
      <c r="QTH222" s="40" t="s">
        <v>91</v>
      </c>
      <c r="QTI222" s="40" t="s">
        <v>91</v>
      </c>
      <c r="QTJ222" s="40" t="s">
        <v>91</v>
      </c>
      <c r="QTK222" s="40" t="s">
        <v>91</v>
      </c>
      <c r="QTL222" s="40" t="s">
        <v>91</v>
      </c>
      <c r="QTM222" s="40" t="s">
        <v>91</v>
      </c>
      <c r="QTN222" s="40" t="s">
        <v>91</v>
      </c>
      <c r="QTO222" s="40" t="s">
        <v>91</v>
      </c>
      <c r="QTP222" s="40" t="s">
        <v>91</v>
      </c>
      <c r="QTQ222" s="40" t="s">
        <v>91</v>
      </c>
      <c r="QTR222" s="40" t="s">
        <v>91</v>
      </c>
      <c r="QTS222" s="40" t="s">
        <v>91</v>
      </c>
      <c r="QTT222" s="40" t="s">
        <v>91</v>
      </c>
      <c r="QTU222" s="40" t="s">
        <v>91</v>
      </c>
      <c r="QTV222" s="40" t="s">
        <v>91</v>
      </c>
      <c r="QTW222" s="40" t="s">
        <v>91</v>
      </c>
      <c r="QTX222" s="40" t="s">
        <v>91</v>
      </c>
      <c r="QTY222" s="40" t="s">
        <v>91</v>
      </c>
      <c r="QTZ222" s="40" t="s">
        <v>91</v>
      </c>
      <c r="QUA222" s="40" t="s">
        <v>91</v>
      </c>
      <c r="QUB222" s="40" t="s">
        <v>91</v>
      </c>
      <c r="QUC222" s="40" t="s">
        <v>91</v>
      </c>
      <c r="QUD222" s="40" t="s">
        <v>91</v>
      </c>
      <c r="QUE222" s="40" t="s">
        <v>91</v>
      </c>
      <c r="QUF222" s="40" t="s">
        <v>91</v>
      </c>
      <c r="QUG222" s="40" t="s">
        <v>91</v>
      </c>
      <c r="QUH222" s="40" t="s">
        <v>91</v>
      </c>
      <c r="QUI222" s="40" t="s">
        <v>91</v>
      </c>
      <c r="QUJ222" s="40" t="s">
        <v>91</v>
      </c>
      <c r="QUK222" s="40" t="s">
        <v>91</v>
      </c>
      <c r="QUL222" s="40" t="s">
        <v>91</v>
      </c>
      <c r="QUM222" s="40" t="s">
        <v>91</v>
      </c>
      <c r="QUN222" s="40" t="s">
        <v>91</v>
      </c>
      <c r="QUO222" s="40" t="s">
        <v>91</v>
      </c>
      <c r="QUP222" s="40" t="s">
        <v>91</v>
      </c>
      <c r="QUQ222" s="40" t="s">
        <v>91</v>
      </c>
      <c r="QUR222" s="40" t="s">
        <v>91</v>
      </c>
      <c r="QUS222" s="40" t="s">
        <v>91</v>
      </c>
      <c r="QUT222" s="40" t="s">
        <v>91</v>
      </c>
      <c r="QUU222" s="40" t="s">
        <v>91</v>
      </c>
      <c r="QUV222" s="40" t="s">
        <v>91</v>
      </c>
      <c r="QUW222" s="40" t="s">
        <v>91</v>
      </c>
      <c r="QUX222" s="40" t="s">
        <v>91</v>
      </c>
      <c r="QUY222" s="40" t="s">
        <v>91</v>
      </c>
      <c r="QUZ222" s="40" t="s">
        <v>91</v>
      </c>
      <c r="QVA222" s="40" t="s">
        <v>91</v>
      </c>
      <c r="QVB222" s="40" t="s">
        <v>91</v>
      </c>
      <c r="QVC222" s="40" t="s">
        <v>91</v>
      </c>
      <c r="QVD222" s="40" t="s">
        <v>91</v>
      </c>
      <c r="QVE222" s="40" t="s">
        <v>91</v>
      </c>
      <c r="QVF222" s="40" t="s">
        <v>91</v>
      </c>
      <c r="QVG222" s="40" t="s">
        <v>91</v>
      </c>
      <c r="QVH222" s="40" t="s">
        <v>91</v>
      </c>
      <c r="QVI222" s="40" t="s">
        <v>91</v>
      </c>
      <c r="QVJ222" s="40" t="s">
        <v>91</v>
      </c>
      <c r="QVK222" s="40" t="s">
        <v>91</v>
      </c>
      <c r="QVL222" s="40" t="s">
        <v>91</v>
      </c>
      <c r="QVM222" s="40" t="s">
        <v>91</v>
      </c>
      <c r="QVN222" s="40" t="s">
        <v>91</v>
      </c>
      <c r="QVO222" s="40" t="s">
        <v>91</v>
      </c>
      <c r="QVP222" s="40" t="s">
        <v>91</v>
      </c>
      <c r="QVQ222" s="40" t="s">
        <v>91</v>
      </c>
      <c r="QVR222" s="40" t="s">
        <v>91</v>
      </c>
      <c r="QVS222" s="40" t="s">
        <v>91</v>
      </c>
      <c r="QVT222" s="40" t="s">
        <v>91</v>
      </c>
      <c r="QVU222" s="40" t="s">
        <v>91</v>
      </c>
      <c r="QVV222" s="40" t="s">
        <v>91</v>
      </c>
      <c r="QVW222" s="40" t="s">
        <v>91</v>
      </c>
      <c r="QVX222" s="40" t="s">
        <v>91</v>
      </c>
      <c r="QVY222" s="40" t="s">
        <v>91</v>
      </c>
      <c r="QVZ222" s="40" t="s">
        <v>91</v>
      </c>
      <c r="QWA222" s="40" t="s">
        <v>91</v>
      </c>
      <c r="QWB222" s="40" t="s">
        <v>91</v>
      </c>
      <c r="QWC222" s="40" t="s">
        <v>91</v>
      </c>
      <c r="QWD222" s="40" t="s">
        <v>91</v>
      </c>
      <c r="QWE222" s="40" t="s">
        <v>91</v>
      </c>
      <c r="QWF222" s="40" t="s">
        <v>91</v>
      </c>
      <c r="QWG222" s="40" t="s">
        <v>91</v>
      </c>
      <c r="QWH222" s="40" t="s">
        <v>91</v>
      </c>
      <c r="QWI222" s="40" t="s">
        <v>91</v>
      </c>
      <c r="QWJ222" s="40" t="s">
        <v>91</v>
      </c>
      <c r="QWK222" s="40" t="s">
        <v>91</v>
      </c>
      <c r="QWL222" s="40" t="s">
        <v>91</v>
      </c>
      <c r="QWM222" s="40" t="s">
        <v>91</v>
      </c>
      <c r="QWN222" s="40" t="s">
        <v>91</v>
      </c>
      <c r="QWO222" s="40" t="s">
        <v>91</v>
      </c>
      <c r="QWP222" s="40" t="s">
        <v>91</v>
      </c>
      <c r="QWQ222" s="40" t="s">
        <v>91</v>
      </c>
      <c r="QWR222" s="40" t="s">
        <v>91</v>
      </c>
      <c r="QWS222" s="40" t="s">
        <v>91</v>
      </c>
      <c r="QWT222" s="40" t="s">
        <v>91</v>
      </c>
      <c r="QWU222" s="40" t="s">
        <v>91</v>
      </c>
      <c r="QWV222" s="40" t="s">
        <v>91</v>
      </c>
      <c r="QWW222" s="40" t="s">
        <v>91</v>
      </c>
      <c r="QWX222" s="40" t="s">
        <v>91</v>
      </c>
      <c r="QWY222" s="40" t="s">
        <v>91</v>
      </c>
      <c r="QWZ222" s="40" t="s">
        <v>91</v>
      </c>
      <c r="QXA222" s="40" t="s">
        <v>91</v>
      </c>
      <c r="QXB222" s="40" t="s">
        <v>91</v>
      </c>
      <c r="QXC222" s="40" t="s">
        <v>91</v>
      </c>
      <c r="QXD222" s="40" t="s">
        <v>91</v>
      </c>
      <c r="QXE222" s="40" t="s">
        <v>91</v>
      </c>
      <c r="QXF222" s="40" t="s">
        <v>91</v>
      </c>
      <c r="QXG222" s="40" t="s">
        <v>91</v>
      </c>
      <c r="QXH222" s="40" t="s">
        <v>91</v>
      </c>
      <c r="QXI222" s="40" t="s">
        <v>91</v>
      </c>
      <c r="QXJ222" s="40" t="s">
        <v>91</v>
      </c>
      <c r="QXK222" s="40" t="s">
        <v>91</v>
      </c>
      <c r="QXL222" s="40" t="s">
        <v>91</v>
      </c>
      <c r="QXM222" s="40" t="s">
        <v>91</v>
      </c>
      <c r="QXN222" s="40" t="s">
        <v>91</v>
      </c>
      <c r="QXO222" s="40" t="s">
        <v>91</v>
      </c>
      <c r="QXP222" s="40" t="s">
        <v>91</v>
      </c>
      <c r="QXQ222" s="40" t="s">
        <v>91</v>
      </c>
      <c r="QXR222" s="40" t="s">
        <v>91</v>
      </c>
      <c r="QXS222" s="40" t="s">
        <v>91</v>
      </c>
      <c r="QXT222" s="40" t="s">
        <v>91</v>
      </c>
      <c r="QXU222" s="40" t="s">
        <v>91</v>
      </c>
      <c r="QXV222" s="40" t="s">
        <v>91</v>
      </c>
      <c r="QXW222" s="40" t="s">
        <v>91</v>
      </c>
      <c r="QXX222" s="40" t="s">
        <v>91</v>
      </c>
      <c r="QXY222" s="40" t="s">
        <v>91</v>
      </c>
      <c r="QXZ222" s="40" t="s">
        <v>91</v>
      </c>
      <c r="QYA222" s="40" t="s">
        <v>91</v>
      </c>
      <c r="QYB222" s="40" t="s">
        <v>91</v>
      </c>
      <c r="QYC222" s="40" t="s">
        <v>91</v>
      </c>
      <c r="QYD222" s="40" t="s">
        <v>91</v>
      </c>
      <c r="QYE222" s="40" t="s">
        <v>91</v>
      </c>
      <c r="QYF222" s="40" t="s">
        <v>91</v>
      </c>
      <c r="QYG222" s="40" t="s">
        <v>91</v>
      </c>
      <c r="QYH222" s="40" t="s">
        <v>91</v>
      </c>
      <c r="QYI222" s="40" t="s">
        <v>91</v>
      </c>
      <c r="QYJ222" s="40" t="s">
        <v>91</v>
      </c>
      <c r="QYK222" s="40" t="s">
        <v>91</v>
      </c>
      <c r="QYL222" s="40" t="s">
        <v>91</v>
      </c>
      <c r="QYM222" s="40" t="s">
        <v>91</v>
      </c>
      <c r="QYN222" s="40" t="s">
        <v>91</v>
      </c>
      <c r="QYO222" s="40" t="s">
        <v>91</v>
      </c>
      <c r="QYP222" s="40" t="s">
        <v>91</v>
      </c>
      <c r="QYQ222" s="40" t="s">
        <v>91</v>
      </c>
      <c r="QYR222" s="40" t="s">
        <v>91</v>
      </c>
      <c r="QYS222" s="40" t="s">
        <v>91</v>
      </c>
      <c r="QYT222" s="40" t="s">
        <v>91</v>
      </c>
      <c r="QYU222" s="40" t="s">
        <v>91</v>
      </c>
      <c r="QYV222" s="40" t="s">
        <v>91</v>
      </c>
      <c r="QYW222" s="40" t="s">
        <v>91</v>
      </c>
      <c r="QYX222" s="40" t="s">
        <v>91</v>
      </c>
      <c r="QYY222" s="40" t="s">
        <v>91</v>
      </c>
      <c r="QYZ222" s="40" t="s">
        <v>91</v>
      </c>
      <c r="QZA222" s="40" t="s">
        <v>91</v>
      </c>
      <c r="QZB222" s="40" t="s">
        <v>91</v>
      </c>
      <c r="QZC222" s="40" t="s">
        <v>91</v>
      </c>
      <c r="QZD222" s="40" t="s">
        <v>91</v>
      </c>
      <c r="QZE222" s="40" t="s">
        <v>91</v>
      </c>
      <c r="QZF222" s="40" t="s">
        <v>91</v>
      </c>
      <c r="QZG222" s="40" t="s">
        <v>91</v>
      </c>
      <c r="QZH222" s="40" t="s">
        <v>91</v>
      </c>
      <c r="QZI222" s="40" t="s">
        <v>91</v>
      </c>
      <c r="QZJ222" s="40" t="s">
        <v>91</v>
      </c>
      <c r="QZK222" s="40" t="s">
        <v>91</v>
      </c>
      <c r="QZL222" s="40" t="s">
        <v>91</v>
      </c>
      <c r="QZM222" s="40" t="s">
        <v>91</v>
      </c>
      <c r="QZN222" s="40" t="s">
        <v>91</v>
      </c>
      <c r="QZO222" s="40" t="s">
        <v>91</v>
      </c>
      <c r="QZP222" s="40" t="s">
        <v>91</v>
      </c>
      <c r="QZQ222" s="40" t="s">
        <v>91</v>
      </c>
      <c r="QZR222" s="40" t="s">
        <v>91</v>
      </c>
      <c r="QZS222" s="40" t="s">
        <v>91</v>
      </c>
      <c r="QZT222" s="40" t="s">
        <v>91</v>
      </c>
      <c r="QZU222" s="40" t="s">
        <v>91</v>
      </c>
      <c r="QZV222" s="40" t="s">
        <v>91</v>
      </c>
      <c r="QZW222" s="40" t="s">
        <v>91</v>
      </c>
      <c r="QZX222" s="40" t="s">
        <v>91</v>
      </c>
      <c r="QZY222" s="40" t="s">
        <v>91</v>
      </c>
      <c r="QZZ222" s="40" t="s">
        <v>91</v>
      </c>
      <c r="RAA222" s="40" t="s">
        <v>91</v>
      </c>
      <c r="RAB222" s="40" t="s">
        <v>91</v>
      </c>
      <c r="RAC222" s="40" t="s">
        <v>91</v>
      </c>
      <c r="RAD222" s="40" t="s">
        <v>91</v>
      </c>
      <c r="RAE222" s="40" t="s">
        <v>91</v>
      </c>
      <c r="RAF222" s="40" t="s">
        <v>91</v>
      </c>
      <c r="RAG222" s="40" t="s">
        <v>91</v>
      </c>
      <c r="RAH222" s="40" t="s">
        <v>91</v>
      </c>
      <c r="RAI222" s="40" t="s">
        <v>91</v>
      </c>
      <c r="RAJ222" s="40" t="s">
        <v>91</v>
      </c>
      <c r="RAK222" s="40" t="s">
        <v>91</v>
      </c>
      <c r="RAL222" s="40" t="s">
        <v>91</v>
      </c>
      <c r="RAM222" s="40" t="s">
        <v>91</v>
      </c>
      <c r="RAN222" s="40" t="s">
        <v>91</v>
      </c>
      <c r="RAO222" s="40" t="s">
        <v>91</v>
      </c>
      <c r="RAP222" s="40" t="s">
        <v>91</v>
      </c>
      <c r="RAQ222" s="40" t="s">
        <v>91</v>
      </c>
      <c r="RAR222" s="40" t="s">
        <v>91</v>
      </c>
      <c r="RAS222" s="40" t="s">
        <v>91</v>
      </c>
      <c r="RAT222" s="40" t="s">
        <v>91</v>
      </c>
      <c r="RAU222" s="40" t="s">
        <v>91</v>
      </c>
      <c r="RAV222" s="40" t="s">
        <v>91</v>
      </c>
      <c r="RAW222" s="40" t="s">
        <v>91</v>
      </c>
      <c r="RAX222" s="40" t="s">
        <v>91</v>
      </c>
      <c r="RAY222" s="40" t="s">
        <v>91</v>
      </c>
      <c r="RAZ222" s="40" t="s">
        <v>91</v>
      </c>
      <c r="RBA222" s="40" t="s">
        <v>91</v>
      </c>
      <c r="RBB222" s="40" t="s">
        <v>91</v>
      </c>
      <c r="RBC222" s="40" t="s">
        <v>91</v>
      </c>
      <c r="RBD222" s="40" t="s">
        <v>91</v>
      </c>
      <c r="RBE222" s="40" t="s">
        <v>91</v>
      </c>
      <c r="RBF222" s="40" t="s">
        <v>91</v>
      </c>
      <c r="RBG222" s="40" t="s">
        <v>91</v>
      </c>
      <c r="RBH222" s="40" t="s">
        <v>91</v>
      </c>
      <c r="RBI222" s="40" t="s">
        <v>91</v>
      </c>
      <c r="RBJ222" s="40" t="s">
        <v>91</v>
      </c>
      <c r="RBK222" s="40" t="s">
        <v>91</v>
      </c>
      <c r="RBL222" s="40" t="s">
        <v>91</v>
      </c>
      <c r="RBM222" s="40" t="s">
        <v>91</v>
      </c>
      <c r="RBN222" s="40" t="s">
        <v>91</v>
      </c>
      <c r="RBO222" s="40" t="s">
        <v>91</v>
      </c>
      <c r="RBP222" s="40" t="s">
        <v>91</v>
      </c>
      <c r="RBQ222" s="40" t="s">
        <v>91</v>
      </c>
      <c r="RBR222" s="40" t="s">
        <v>91</v>
      </c>
      <c r="RBS222" s="40" t="s">
        <v>91</v>
      </c>
      <c r="RBT222" s="40" t="s">
        <v>91</v>
      </c>
      <c r="RBU222" s="40" t="s">
        <v>91</v>
      </c>
      <c r="RBV222" s="40" t="s">
        <v>91</v>
      </c>
      <c r="RBW222" s="40" t="s">
        <v>91</v>
      </c>
      <c r="RBX222" s="40" t="s">
        <v>91</v>
      </c>
      <c r="RBY222" s="40" t="s">
        <v>91</v>
      </c>
      <c r="RBZ222" s="40" t="s">
        <v>91</v>
      </c>
      <c r="RCA222" s="40" t="s">
        <v>91</v>
      </c>
      <c r="RCB222" s="40" t="s">
        <v>91</v>
      </c>
      <c r="RCC222" s="40" t="s">
        <v>91</v>
      </c>
      <c r="RCD222" s="40" t="s">
        <v>91</v>
      </c>
      <c r="RCE222" s="40" t="s">
        <v>91</v>
      </c>
      <c r="RCF222" s="40" t="s">
        <v>91</v>
      </c>
      <c r="RCG222" s="40" t="s">
        <v>91</v>
      </c>
      <c r="RCH222" s="40" t="s">
        <v>91</v>
      </c>
      <c r="RCI222" s="40" t="s">
        <v>91</v>
      </c>
      <c r="RCJ222" s="40" t="s">
        <v>91</v>
      </c>
      <c r="RCK222" s="40" t="s">
        <v>91</v>
      </c>
      <c r="RCL222" s="40" t="s">
        <v>91</v>
      </c>
      <c r="RCM222" s="40" t="s">
        <v>91</v>
      </c>
      <c r="RCN222" s="40" t="s">
        <v>91</v>
      </c>
      <c r="RCO222" s="40" t="s">
        <v>91</v>
      </c>
      <c r="RCP222" s="40" t="s">
        <v>91</v>
      </c>
      <c r="RCQ222" s="40" t="s">
        <v>91</v>
      </c>
      <c r="RCR222" s="40" t="s">
        <v>91</v>
      </c>
      <c r="RCS222" s="40" t="s">
        <v>91</v>
      </c>
      <c r="RCT222" s="40" t="s">
        <v>91</v>
      </c>
      <c r="RCU222" s="40" t="s">
        <v>91</v>
      </c>
      <c r="RCV222" s="40" t="s">
        <v>91</v>
      </c>
      <c r="RCW222" s="40" t="s">
        <v>91</v>
      </c>
      <c r="RCX222" s="40" t="s">
        <v>91</v>
      </c>
      <c r="RCY222" s="40" t="s">
        <v>91</v>
      </c>
      <c r="RCZ222" s="40" t="s">
        <v>91</v>
      </c>
      <c r="RDA222" s="40" t="s">
        <v>91</v>
      </c>
      <c r="RDB222" s="40" t="s">
        <v>91</v>
      </c>
      <c r="RDC222" s="40" t="s">
        <v>91</v>
      </c>
      <c r="RDD222" s="40" t="s">
        <v>91</v>
      </c>
      <c r="RDE222" s="40" t="s">
        <v>91</v>
      </c>
      <c r="RDF222" s="40" t="s">
        <v>91</v>
      </c>
      <c r="RDG222" s="40" t="s">
        <v>91</v>
      </c>
      <c r="RDH222" s="40" t="s">
        <v>91</v>
      </c>
      <c r="RDI222" s="40" t="s">
        <v>91</v>
      </c>
      <c r="RDJ222" s="40" t="s">
        <v>91</v>
      </c>
      <c r="RDK222" s="40" t="s">
        <v>91</v>
      </c>
      <c r="RDL222" s="40" t="s">
        <v>91</v>
      </c>
      <c r="RDM222" s="40" t="s">
        <v>91</v>
      </c>
      <c r="RDN222" s="40" t="s">
        <v>91</v>
      </c>
      <c r="RDO222" s="40" t="s">
        <v>91</v>
      </c>
      <c r="RDP222" s="40" t="s">
        <v>91</v>
      </c>
      <c r="RDQ222" s="40" t="s">
        <v>91</v>
      </c>
      <c r="RDR222" s="40" t="s">
        <v>91</v>
      </c>
      <c r="RDS222" s="40" t="s">
        <v>91</v>
      </c>
      <c r="RDT222" s="40" t="s">
        <v>91</v>
      </c>
      <c r="RDU222" s="40" t="s">
        <v>91</v>
      </c>
      <c r="RDV222" s="40" t="s">
        <v>91</v>
      </c>
      <c r="RDW222" s="40" t="s">
        <v>91</v>
      </c>
      <c r="RDX222" s="40" t="s">
        <v>91</v>
      </c>
      <c r="RDY222" s="40" t="s">
        <v>91</v>
      </c>
      <c r="RDZ222" s="40" t="s">
        <v>91</v>
      </c>
      <c r="REA222" s="40" t="s">
        <v>91</v>
      </c>
      <c r="REB222" s="40" t="s">
        <v>91</v>
      </c>
      <c r="REC222" s="40" t="s">
        <v>91</v>
      </c>
      <c r="RED222" s="40" t="s">
        <v>91</v>
      </c>
      <c r="REE222" s="40" t="s">
        <v>91</v>
      </c>
      <c r="REF222" s="40" t="s">
        <v>91</v>
      </c>
      <c r="REG222" s="40" t="s">
        <v>91</v>
      </c>
      <c r="REH222" s="40" t="s">
        <v>91</v>
      </c>
      <c r="REI222" s="40" t="s">
        <v>91</v>
      </c>
      <c r="REJ222" s="40" t="s">
        <v>91</v>
      </c>
      <c r="REK222" s="40" t="s">
        <v>91</v>
      </c>
      <c r="REL222" s="40" t="s">
        <v>91</v>
      </c>
      <c r="REM222" s="40" t="s">
        <v>91</v>
      </c>
      <c r="REN222" s="40" t="s">
        <v>91</v>
      </c>
      <c r="REO222" s="40" t="s">
        <v>91</v>
      </c>
      <c r="REP222" s="40" t="s">
        <v>91</v>
      </c>
      <c r="REQ222" s="40" t="s">
        <v>91</v>
      </c>
      <c r="RER222" s="40" t="s">
        <v>91</v>
      </c>
      <c r="RES222" s="40" t="s">
        <v>91</v>
      </c>
      <c r="RET222" s="40" t="s">
        <v>91</v>
      </c>
      <c r="REU222" s="40" t="s">
        <v>91</v>
      </c>
      <c r="REV222" s="40" t="s">
        <v>91</v>
      </c>
      <c r="REW222" s="40" t="s">
        <v>91</v>
      </c>
      <c r="REX222" s="40" t="s">
        <v>91</v>
      </c>
      <c r="REY222" s="40" t="s">
        <v>91</v>
      </c>
      <c r="REZ222" s="40" t="s">
        <v>91</v>
      </c>
      <c r="RFA222" s="40" t="s">
        <v>91</v>
      </c>
      <c r="RFB222" s="40" t="s">
        <v>91</v>
      </c>
      <c r="RFC222" s="40" t="s">
        <v>91</v>
      </c>
      <c r="RFD222" s="40" t="s">
        <v>91</v>
      </c>
      <c r="RFE222" s="40" t="s">
        <v>91</v>
      </c>
      <c r="RFF222" s="40" t="s">
        <v>91</v>
      </c>
      <c r="RFG222" s="40" t="s">
        <v>91</v>
      </c>
      <c r="RFH222" s="40" t="s">
        <v>91</v>
      </c>
      <c r="RFI222" s="40" t="s">
        <v>91</v>
      </c>
      <c r="RFJ222" s="40" t="s">
        <v>91</v>
      </c>
      <c r="RFK222" s="40" t="s">
        <v>91</v>
      </c>
      <c r="RFL222" s="40" t="s">
        <v>91</v>
      </c>
      <c r="RFM222" s="40" t="s">
        <v>91</v>
      </c>
      <c r="RFN222" s="40" t="s">
        <v>91</v>
      </c>
      <c r="RFO222" s="40" t="s">
        <v>91</v>
      </c>
      <c r="RFP222" s="40" t="s">
        <v>91</v>
      </c>
      <c r="RFQ222" s="40" t="s">
        <v>91</v>
      </c>
      <c r="RFR222" s="40" t="s">
        <v>91</v>
      </c>
      <c r="RFS222" s="40" t="s">
        <v>91</v>
      </c>
      <c r="RFT222" s="40" t="s">
        <v>91</v>
      </c>
      <c r="RFU222" s="40" t="s">
        <v>91</v>
      </c>
      <c r="RFV222" s="40" t="s">
        <v>91</v>
      </c>
      <c r="RFW222" s="40" t="s">
        <v>91</v>
      </c>
      <c r="RFX222" s="40" t="s">
        <v>91</v>
      </c>
      <c r="RFY222" s="40" t="s">
        <v>91</v>
      </c>
      <c r="RFZ222" s="40" t="s">
        <v>91</v>
      </c>
      <c r="RGA222" s="40" t="s">
        <v>91</v>
      </c>
      <c r="RGB222" s="40" t="s">
        <v>91</v>
      </c>
      <c r="RGC222" s="40" t="s">
        <v>91</v>
      </c>
      <c r="RGD222" s="40" t="s">
        <v>91</v>
      </c>
      <c r="RGE222" s="40" t="s">
        <v>91</v>
      </c>
      <c r="RGF222" s="40" t="s">
        <v>91</v>
      </c>
      <c r="RGG222" s="40" t="s">
        <v>91</v>
      </c>
      <c r="RGH222" s="40" t="s">
        <v>91</v>
      </c>
      <c r="RGI222" s="40" t="s">
        <v>91</v>
      </c>
      <c r="RGJ222" s="40" t="s">
        <v>91</v>
      </c>
      <c r="RGK222" s="40" t="s">
        <v>91</v>
      </c>
      <c r="RGL222" s="40" t="s">
        <v>91</v>
      </c>
      <c r="RGM222" s="40" t="s">
        <v>91</v>
      </c>
      <c r="RGN222" s="40" t="s">
        <v>91</v>
      </c>
      <c r="RGO222" s="40" t="s">
        <v>91</v>
      </c>
      <c r="RGP222" s="40" t="s">
        <v>91</v>
      </c>
      <c r="RGQ222" s="40" t="s">
        <v>91</v>
      </c>
      <c r="RGR222" s="40" t="s">
        <v>91</v>
      </c>
      <c r="RGS222" s="40" t="s">
        <v>91</v>
      </c>
      <c r="RGT222" s="40" t="s">
        <v>91</v>
      </c>
      <c r="RGU222" s="40" t="s">
        <v>91</v>
      </c>
      <c r="RGV222" s="40" t="s">
        <v>91</v>
      </c>
      <c r="RGW222" s="40" t="s">
        <v>91</v>
      </c>
      <c r="RGX222" s="40" t="s">
        <v>91</v>
      </c>
      <c r="RGY222" s="40" t="s">
        <v>91</v>
      </c>
      <c r="RGZ222" s="40" t="s">
        <v>91</v>
      </c>
      <c r="RHA222" s="40" t="s">
        <v>91</v>
      </c>
      <c r="RHB222" s="40" t="s">
        <v>91</v>
      </c>
      <c r="RHC222" s="40" t="s">
        <v>91</v>
      </c>
      <c r="RHD222" s="40" t="s">
        <v>91</v>
      </c>
      <c r="RHE222" s="40" t="s">
        <v>91</v>
      </c>
      <c r="RHF222" s="40" t="s">
        <v>91</v>
      </c>
      <c r="RHG222" s="40" t="s">
        <v>91</v>
      </c>
      <c r="RHH222" s="40" t="s">
        <v>91</v>
      </c>
      <c r="RHI222" s="40" t="s">
        <v>91</v>
      </c>
      <c r="RHJ222" s="40" t="s">
        <v>91</v>
      </c>
      <c r="RHK222" s="40" t="s">
        <v>91</v>
      </c>
      <c r="RHL222" s="40" t="s">
        <v>91</v>
      </c>
      <c r="RHM222" s="40" t="s">
        <v>91</v>
      </c>
      <c r="RHN222" s="40" t="s">
        <v>91</v>
      </c>
      <c r="RHO222" s="40" t="s">
        <v>91</v>
      </c>
      <c r="RHP222" s="40" t="s">
        <v>91</v>
      </c>
      <c r="RHQ222" s="40" t="s">
        <v>91</v>
      </c>
      <c r="RHR222" s="40" t="s">
        <v>91</v>
      </c>
      <c r="RHS222" s="40" t="s">
        <v>91</v>
      </c>
      <c r="RHT222" s="40" t="s">
        <v>91</v>
      </c>
      <c r="RHU222" s="40" t="s">
        <v>91</v>
      </c>
      <c r="RHV222" s="40" t="s">
        <v>91</v>
      </c>
      <c r="RHW222" s="40" t="s">
        <v>91</v>
      </c>
      <c r="RHX222" s="40" t="s">
        <v>91</v>
      </c>
      <c r="RHY222" s="40" t="s">
        <v>91</v>
      </c>
      <c r="RHZ222" s="40" t="s">
        <v>91</v>
      </c>
      <c r="RIA222" s="40" t="s">
        <v>91</v>
      </c>
      <c r="RIB222" s="40" t="s">
        <v>91</v>
      </c>
      <c r="RIC222" s="40" t="s">
        <v>91</v>
      </c>
      <c r="RID222" s="40" t="s">
        <v>91</v>
      </c>
      <c r="RIE222" s="40" t="s">
        <v>91</v>
      </c>
      <c r="RIF222" s="40" t="s">
        <v>91</v>
      </c>
      <c r="RIG222" s="40" t="s">
        <v>91</v>
      </c>
      <c r="RIH222" s="40" t="s">
        <v>91</v>
      </c>
      <c r="RII222" s="40" t="s">
        <v>91</v>
      </c>
      <c r="RIJ222" s="40" t="s">
        <v>91</v>
      </c>
      <c r="RIK222" s="40" t="s">
        <v>91</v>
      </c>
      <c r="RIL222" s="40" t="s">
        <v>91</v>
      </c>
      <c r="RIM222" s="40" t="s">
        <v>91</v>
      </c>
      <c r="RIN222" s="40" t="s">
        <v>91</v>
      </c>
      <c r="RIO222" s="40" t="s">
        <v>91</v>
      </c>
      <c r="RIP222" s="40" t="s">
        <v>91</v>
      </c>
      <c r="RIQ222" s="40" t="s">
        <v>91</v>
      </c>
      <c r="RIR222" s="40" t="s">
        <v>91</v>
      </c>
      <c r="RIS222" s="40" t="s">
        <v>91</v>
      </c>
      <c r="RIT222" s="40" t="s">
        <v>91</v>
      </c>
      <c r="RIU222" s="40" t="s">
        <v>91</v>
      </c>
      <c r="RIV222" s="40" t="s">
        <v>91</v>
      </c>
      <c r="RIW222" s="40" t="s">
        <v>91</v>
      </c>
      <c r="RIX222" s="40" t="s">
        <v>91</v>
      </c>
      <c r="RIY222" s="40" t="s">
        <v>91</v>
      </c>
      <c r="RIZ222" s="40" t="s">
        <v>91</v>
      </c>
      <c r="RJA222" s="40" t="s">
        <v>91</v>
      </c>
      <c r="RJB222" s="40" t="s">
        <v>91</v>
      </c>
      <c r="RJC222" s="40" t="s">
        <v>91</v>
      </c>
      <c r="RJD222" s="40" t="s">
        <v>91</v>
      </c>
      <c r="RJE222" s="40" t="s">
        <v>91</v>
      </c>
      <c r="RJF222" s="40" t="s">
        <v>91</v>
      </c>
      <c r="RJG222" s="40" t="s">
        <v>91</v>
      </c>
      <c r="RJH222" s="40" t="s">
        <v>91</v>
      </c>
      <c r="RJI222" s="40" t="s">
        <v>91</v>
      </c>
      <c r="RJJ222" s="40" t="s">
        <v>91</v>
      </c>
      <c r="RJK222" s="40" t="s">
        <v>91</v>
      </c>
      <c r="RJL222" s="40" t="s">
        <v>91</v>
      </c>
      <c r="RJM222" s="40" t="s">
        <v>91</v>
      </c>
      <c r="RJN222" s="40" t="s">
        <v>91</v>
      </c>
      <c r="RJO222" s="40" t="s">
        <v>91</v>
      </c>
      <c r="RJP222" s="40" t="s">
        <v>91</v>
      </c>
      <c r="RJQ222" s="40" t="s">
        <v>91</v>
      </c>
      <c r="RJR222" s="40" t="s">
        <v>91</v>
      </c>
      <c r="RJS222" s="40" t="s">
        <v>91</v>
      </c>
      <c r="RJT222" s="40" t="s">
        <v>91</v>
      </c>
      <c r="RJU222" s="40" t="s">
        <v>91</v>
      </c>
      <c r="RJV222" s="40" t="s">
        <v>91</v>
      </c>
      <c r="RJW222" s="40" t="s">
        <v>91</v>
      </c>
      <c r="RJX222" s="40" t="s">
        <v>91</v>
      </c>
      <c r="RJY222" s="40" t="s">
        <v>91</v>
      </c>
      <c r="RJZ222" s="40" t="s">
        <v>91</v>
      </c>
      <c r="RKA222" s="40" t="s">
        <v>91</v>
      </c>
      <c r="RKB222" s="40" t="s">
        <v>91</v>
      </c>
      <c r="RKC222" s="40" t="s">
        <v>91</v>
      </c>
      <c r="RKD222" s="40" t="s">
        <v>91</v>
      </c>
      <c r="RKE222" s="40" t="s">
        <v>91</v>
      </c>
      <c r="RKF222" s="40" t="s">
        <v>91</v>
      </c>
      <c r="RKG222" s="40" t="s">
        <v>91</v>
      </c>
      <c r="RKH222" s="40" t="s">
        <v>91</v>
      </c>
      <c r="RKI222" s="40" t="s">
        <v>91</v>
      </c>
      <c r="RKJ222" s="40" t="s">
        <v>91</v>
      </c>
      <c r="RKK222" s="40" t="s">
        <v>91</v>
      </c>
      <c r="RKL222" s="40" t="s">
        <v>91</v>
      </c>
      <c r="RKM222" s="40" t="s">
        <v>91</v>
      </c>
      <c r="RKN222" s="40" t="s">
        <v>91</v>
      </c>
      <c r="RKO222" s="40" t="s">
        <v>91</v>
      </c>
      <c r="RKP222" s="40" t="s">
        <v>91</v>
      </c>
      <c r="RKQ222" s="40" t="s">
        <v>91</v>
      </c>
      <c r="RKR222" s="40" t="s">
        <v>91</v>
      </c>
      <c r="RKS222" s="40" t="s">
        <v>91</v>
      </c>
      <c r="RKT222" s="40" t="s">
        <v>91</v>
      </c>
      <c r="RKU222" s="40" t="s">
        <v>91</v>
      </c>
      <c r="RKV222" s="40" t="s">
        <v>91</v>
      </c>
      <c r="RKW222" s="40" t="s">
        <v>91</v>
      </c>
      <c r="RKX222" s="40" t="s">
        <v>91</v>
      </c>
      <c r="RKY222" s="40" t="s">
        <v>91</v>
      </c>
      <c r="RKZ222" s="40" t="s">
        <v>91</v>
      </c>
      <c r="RLA222" s="40" t="s">
        <v>91</v>
      </c>
      <c r="RLB222" s="40" t="s">
        <v>91</v>
      </c>
      <c r="RLC222" s="40" t="s">
        <v>91</v>
      </c>
      <c r="RLD222" s="40" t="s">
        <v>91</v>
      </c>
      <c r="RLE222" s="40" t="s">
        <v>91</v>
      </c>
      <c r="RLF222" s="40" t="s">
        <v>91</v>
      </c>
      <c r="RLG222" s="40" t="s">
        <v>91</v>
      </c>
      <c r="RLH222" s="40" t="s">
        <v>91</v>
      </c>
      <c r="RLI222" s="40" t="s">
        <v>91</v>
      </c>
      <c r="RLJ222" s="40" t="s">
        <v>91</v>
      </c>
      <c r="RLK222" s="40" t="s">
        <v>91</v>
      </c>
      <c r="RLL222" s="40" t="s">
        <v>91</v>
      </c>
      <c r="RLM222" s="40" t="s">
        <v>91</v>
      </c>
      <c r="RLN222" s="40" t="s">
        <v>91</v>
      </c>
      <c r="RLO222" s="40" t="s">
        <v>91</v>
      </c>
      <c r="RLP222" s="40" t="s">
        <v>91</v>
      </c>
      <c r="RLQ222" s="40" t="s">
        <v>91</v>
      </c>
      <c r="RLR222" s="40" t="s">
        <v>91</v>
      </c>
      <c r="RLS222" s="40" t="s">
        <v>91</v>
      </c>
      <c r="RLT222" s="40" t="s">
        <v>91</v>
      </c>
      <c r="RLU222" s="40" t="s">
        <v>91</v>
      </c>
      <c r="RLV222" s="40" t="s">
        <v>91</v>
      </c>
      <c r="RLW222" s="40" t="s">
        <v>91</v>
      </c>
      <c r="RLX222" s="40" t="s">
        <v>91</v>
      </c>
      <c r="RLY222" s="40" t="s">
        <v>91</v>
      </c>
      <c r="RLZ222" s="40" t="s">
        <v>91</v>
      </c>
      <c r="RMA222" s="40" t="s">
        <v>91</v>
      </c>
      <c r="RMB222" s="40" t="s">
        <v>91</v>
      </c>
      <c r="RMC222" s="40" t="s">
        <v>91</v>
      </c>
      <c r="RMD222" s="40" t="s">
        <v>91</v>
      </c>
      <c r="RME222" s="40" t="s">
        <v>91</v>
      </c>
      <c r="RMF222" s="40" t="s">
        <v>91</v>
      </c>
      <c r="RMG222" s="40" t="s">
        <v>91</v>
      </c>
      <c r="RMH222" s="40" t="s">
        <v>91</v>
      </c>
      <c r="RMI222" s="40" t="s">
        <v>91</v>
      </c>
      <c r="RMJ222" s="40" t="s">
        <v>91</v>
      </c>
      <c r="RMK222" s="40" t="s">
        <v>91</v>
      </c>
      <c r="RML222" s="40" t="s">
        <v>91</v>
      </c>
      <c r="RMM222" s="40" t="s">
        <v>91</v>
      </c>
      <c r="RMN222" s="40" t="s">
        <v>91</v>
      </c>
      <c r="RMO222" s="40" t="s">
        <v>91</v>
      </c>
      <c r="RMP222" s="40" t="s">
        <v>91</v>
      </c>
      <c r="RMQ222" s="40" t="s">
        <v>91</v>
      </c>
      <c r="RMR222" s="40" t="s">
        <v>91</v>
      </c>
      <c r="RMS222" s="40" t="s">
        <v>91</v>
      </c>
      <c r="RMT222" s="40" t="s">
        <v>91</v>
      </c>
      <c r="RMU222" s="40" t="s">
        <v>91</v>
      </c>
      <c r="RMV222" s="40" t="s">
        <v>91</v>
      </c>
      <c r="RMW222" s="40" t="s">
        <v>91</v>
      </c>
      <c r="RMX222" s="40" t="s">
        <v>91</v>
      </c>
      <c r="RMY222" s="40" t="s">
        <v>91</v>
      </c>
      <c r="RMZ222" s="40" t="s">
        <v>91</v>
      </c>
      <c r="RNA222" s="40" t="s">
        <v>91</v>
      </c>
      <c r="RNB222" s="40" t="s">
        <v>91</v>
      </c>
      <c r="RNC222" s="40" t="s">
        <v>91</v>
      </c>
      <c r="RND222" s="40" t="s">
        <v>91</v>
      </c>
      <c r="RNE222" s="40" t="s">
        <v>91</v>
      </c>
      <c r="RNF222" s="40" t="s">
        <v>91</v>
      </c>
      <c r="RNG222" s="40" t="s">
        <v>91</v>
      </c>
      <c r="RNH222" s="40" t="s">
        <v>91</v>
      </c>
      <c r="RNI222" s="40" t="s">
        <v>91</v>
      </c>
      <c r="RNJ222" s="40" t="s">
        <v>91</v>
      </c>
      <c r="RNK222" s="40" t="s">
        <v>91</v>
      </c>
      <c r="RNL222" s="40" t="s">
        <v>91</v>
      </c>
      <c r="RNM222" s="40" t="s">
        <v>91</v>
      </c>
      <c r="RNN222" s="40" t="s">
        <v>91</v>
      </c>
      <c r="RNO222" s="40" t="s">
        <v>91</v>
      </c>
      <c r="RNP222" s="40" t="s">
        <v>91</v>
      </c>
      <c r="RNQ222" s="40" t="s">
        <v>91</v>
      </c>
      <c r="RNR222" s="40" t="s">
        <v>91</v>
      </c>
      <c r="RNS222" s="40" t="s">
        <v>91</v>
      </c>
      <c r="RNT222" s="40" t="s">
        <v>91</v>
      </c>
      <c r="RNU222" s="40" t="s">
        <v>91</v>
      </c>
      <c r="RNV222" s="40" t="s">
        <v>91</v>
      </c>
      <c r="RNW222" s="40" t="s">
        <v>91</v>
      </c>
      <c r="RNX222" s="40" t="s">
        <v>91</v>
      </c>
      <c r="RNY222" s="40" t="s">
        <v>91</v>
      </c>
      <c r="RNZ222" s="40" t="s">
        <v>91</v>
      </c>
      <c r="ROA222" s="40" t="s">
        <v>91</v>
      </c>
      <c r="ROB222" s="40" t="s">
        <v>91</v>
      </c>
      <c r="ROC222" s="40" t="s">
        <v>91</v>
      </c>
      <c r="ROD222" s="40" t="s">
        <v>91</v>
      </c>
      <c r="ROE222" s="40" t="s">
        <v>91</v>
      </c>
      <c r="ROF222" s="40" t="s">
        <v>91</v>
      </c>
      <c r="ROG222" s="40" t="s">
        <v>91</v>
      </c>
      <c r="ROH222" s="40" t="s">
        <v>91</v>
      </c>
      <c r="ROI222" s="40" t="s">
        <v>91</v>
      </c>
      <c r="ROJ222" s="40" t="s">
        <v>91</v>
      </c>
      <c r="ROK222" s="40" t="s">
        <v>91</v>
      </c>
      <c r="ROL222" s="40" t="s">
        <v>91</v>
      </c>
      <c r="ROM222" s="40" t="s">
        <v>91</v>
      </c>
      <c r="RON222" s="40" t="s">
        <v>91</v>
      </c>
      <c r="ROO222" s="40" t="s">
        <v>91</v>
      </c>
      <c r="ROP222" s="40" t="s">
        <v>91</v>
      </c>
      <c r="ROQ222" s="40" t="s">
        <v>91</v>
      </c>
      <c r="ROR222" s="40" t="s">
        <v>91</v>
      </c>
      <c r="ROS222" s="40" t="s">
        <v>91</v>
      </c>
      <c r="ROT222" s="40" t="s">
        <v>91</v>
      </c>
      <c r="ROU222" s="40" t="s">
        <v>91</v>
      </c>
      <c r="ROV222" s="40" t="s">
        <v>91</v>
      </c>
      <c r="ROW222" s="40" t="s">
        <v>91</v>
      </c>
      <c r="ROX222" s="40" t="s">
        <v>91</v>
      </c>
      <c r="ROY222" s="40" t="s">
        <v>91</v>
      </c>
      <c r="ROZ222" s="40" t="s">
        <v>91</v>
      </c>
      <c r="RPA222" s="40" t="s">
        <v>91</v>
      </c>
      <c r="RPB222" s="40" t="s">
        <v>91</v>
      </c>
      <c r="RPC222" s="40" t="s">
        <v>91</v>
      </c>
      <c r="RPD222" s="40" t="s">
        <v>91</v>
      </c>
      <c r="RPE222" s="40" t="s">
        <v>91</v>
      </c>
      <c r="RPF222" s="40" t="s">
        <v>91</v>
      </c>
      <c r="RPG222" s="40" t="s">
        <v>91</v>
      </c>
      <c r="RPH222" s="40" t="s">
        <v>91</v>
      </c>
      <c r="RPI222" s="40" t="s">
        <v>91</v>
      </c>
      <c r="RPJ222" s="40" t="s">
        <v>91</v>
      </c>
      <c r="RPK222" s="40" t="s">
        <v>91</v>
      </c>
      <c r="RPL222" s="40" t="s">
        <v>91</v>
      </c>
      <c r="RPM222" s="40" t="s">
        <v>91</v>
      </c>
      <c r="RPN222" s="40" t="s">
        <v>91</v>
      </c>
      <c r="RPO222" s="40" t="s">
        <v>91</v>
      </c>
      <c r="RPP222" s="40" t="s">
        <v>91</v>
      </c>
      <c r="RPQ222" s="40" t="s">
        <v>91</v>
      </c>
      <c r="RPR222" s="40" t="s">
        <v>91</v>
      </c>
      <c r="RPS222" s="40" t="s">
        <v>91</v>
      </c>
      <c r="RPT222" s="40" t="s">
        <v>91</v>
      </c>
      <c r="RPU222" s="40" t="s">
        <v>91</v>
      </c>
      <c r="RPV222" s="40" t="s">
        <v>91</v>
      </c>
      <c r="RPW222" s="40" t="s">
        <v>91</v>
      </c>
      <c r="RPX222" s="40" t="s">
        <v>91</v>
      </c>
      <c r="RPY222" s="40" t="s">
        <v>91</v>
      </c>
      <c r="RPZ222" s="40" t="s">
        <v>91</v>
      </c>
      <c r="RQA222" s="40" t="s">
        <v>91</v>
      </c>
      <c r="RQB222" s="40" t="s">
        <v>91</v>
      </c>
      <c r="RQC222" s="40" t="s">
        <v>91</v>
      </c>
      <c r="RQD222" s="40" t="s">
        <v>91</v>
      </c>
      <c r="RQE222" s="40" t="s">
        <v>91</v>
      </c>
      <c r="RQF222" s="40" t="s">
        <v>91</v>
      </c>
      <c r="RQG222" s="40" t="s">
        <v>91</v>
      </c>
      <c r="RQH222" s="40" t="s">
        <v>91</v>
      </c>
      <c r="RQI222" s="40" t="s">
        <v>91</v>
      </c>
      <c r="RQJ222" s="40" t="s">
        <v>91</v>
      </c>
      <c r="RQK222" s="40" t="s">
        <v>91</v>
      </c>
      <c r="RQL222" s="40" t="s">
        <v>91</v>
      </c>
      <c r="RQM222" s="40" t="s">
        <v>91</v>
      </c>
      <c r="RQN222" s="40" t="s">
        <v>91</v>
      </c>
      <c r="RQO222" s="40" t="s">
        <v>91</v>
      </c>
      <c r="RQP222" s="40" t="s">
        <v>91</v>
      </c>
      <c r="RQQ222" s="40" t="s">
        <v>91</v>
      </c>
      <c r="RQR222" s="40" t="s">
        <v>91</v>
      </c>
      <c r="RQS222" s="40" t="s">
        <v>91</v>
      </c>
      <c r="RQT222" s="40" t="s">
        <v>91</v>
      </c>
      <c r="RQU222" s="40" t="s">
        <v>91</v>
      </c>
      <c r="RQV222" s="40" t="s">
        <v>91</v>
      </c>
      <c r="RQW222" s="40" t="s">
        <v>91</v>
      </c>
      <c r="RQX222" s="40" t="s">
        <v>91</v>
      </c>
      <c r="RQY222" s="40" t="s">
        <v>91</v>
      </c>
      <c r="RQZ222" s="40" t="s">
        <v>91</v>
      </c>
      <c r="RRA222" s="40" t="s">
        <v>91</v>
      </c>
      <c r="RRB222" s="40" t="s">
        <v>91</v>
      </c>
      <c r="RRC222" s="40" t="s">
        <v>91</v>
      </c>
      <c r="RRD222" s="40" t="s">
        <v>91</v>
      </c>
      <c r="RRE222" s="40" t="s">
        <v>91</v>
      </c>
      <c r="RRF222" s="40" t="s">
        <v>91</v>
      </c>
      <c r="RRG222" s="40" t="s">
        <v>91</v>
      </c>
      <c r="RRH222" s="40" t="s">
        <v>91</v>
      </c>
      <c r="RRI222" s="40" t="s">
        <v>91</v>
      </c>
      <c r="RRJ222" s="40" t="s">
        <v>91</v>
      </c>
      <c r="RRK222" s="40" t="s">
        <v>91</v>
      </c>
      <c r="RRL222" s="40" t="s">
        <v>91</v>
      </c>
      <c r="RRM222" s="40" t="s">
        <v>91</v>
      </c>
      <c r="RRN222" s="40" t="s">
        <v>91</v>
      </c>
      <c r="RRO222" s="40" t="s">
        <v>91</v>
      </c>
      <c r="RRP222" s="40" t="s">
        <v>91</v>
      </c>
      <c r="RRQ222" s="40" t="s">
        <v>91</v>
      </c>
      <c r="RRR222" s="40" t="s">
        <v>91</v>
      </c>
      <c r="RRS222" s="40" t="s">
        <v>91</v>
      </c>
      <c r="RRT222" s="40" t="s">
        <v>91</v>
      </c>
      <c r="RRU222" s="40" t="s">
        <v>91</v>
      </c>
      <c r="RRV222" s="40" t="s">
        <v>91</v>
      </c>
      <c r="RRW222" s="40" t="s">
        <v>91</v>
      </c>
      <c r="RRX222" s="40" t="s">
        <v>91</v>
      </c>
      <c r="RRY222" s="40" t="s">
        <v>91</v>
      </c>
      <c r="RRZ222" s="40" t="s">
        <v>91</v>
      </c>
      <c r="RSA222" s="40" t="s">
        <v>91</v>
      </c>
      <c r="RSB222" s="40" t="s">
        <v>91</v>
      </c>
      <c r="RSC222" s="40" t="s">
        <v>91</v>
      </c>
      <c r="RSD222" s="40" t="s">
        <v>91</v>
      </c>
      <c r="RSE222" s="40" t="s">
        <v>91</v>
      </c>
      <c r="RSF222" s="40" t="s">
        <v>91</v>
      </c>
      <c r="RSG222" s="40" t="s">
        <v>91</v>
      </c>
      <c r="RSH222" s="40" t="s">
        <v>91</v>
      </c>
      <c r="RSI222" s="40" t="s">
        <v>91</v>
      </c>
      <c r="RSJ222" s="40" t="s">
        <v>91</v>
      </c>
      <c r="RSK222" s="40" t="s">
        <v>91</v>
      </c>
      <c r="RSL222" s="40" t="s">
        <v>91</v>
      </c>
      <c r="RSM222" s="40" t="s">
        <v>91</v>
      </c>
      <c r="RSN222" s="40" t="s">
        <v>91</v>
      </c>
      <c r="RSO222" s="40" t="s">
        <v>91</v>
      </c>
      <c r="RSP222" s="40" t="s">
        <v>91</v>
      </c>
      <c r="RSQ222" s="40" t="s">
        <v>91</v>
      </c>
      <c r="RSR222" s="40" t="s">
        <v>91</v>
      </c>
      <c r="RSS222" s="40" t="s">
        <v>91</v>
      </c>
      <c r="RST222" s="40" t="s">
        <v>91</v>
      </c>
      <c r="RSU222" s="40" t="s">
        <v>91</v>
      </c>
      <c r="RSV222" s="40" t="s">
        <v>91</v>
      </c>
      <c r="RSW222" s="40" t="s">
        <v>91</v>
      </c>
      <c r="RSX222" s="40" t="s">
        <v>91</v>
      </c>
      <c r="RSY222" s="40" t="s">
        <v>91</v>
      </c>
      <c r="RSZ222" s="40" t="s">
        <v>91</v>
      </c>
      <c r="RTA222" s="40" t="s">
        <v>91</v>
      </c>
      <c r="RTB222" s="40" t="s">
        <v>91</v>
      </c>
      <c r="RTC222" s="40" t="s">
        <v>91</v>
      </c>
      <c r="RTD222" s="40" t="s">
        <v>91</v>
      </c>
      <c r="RTE222" s="40" t="s">
        <v>91</v>
      </c>
      <c r="RTF222" s="40" t="s">
        <v>91</v>
      </c>
      <c r="RTG222" s="40" t="s">
        <v>91</v>
      </c>
      <c r="RTH222" s="40" t="s">
        <v>91</v>
      </c>
      <c r="RTI222" s="40" t="s">
        <v>91</v>
      </c>
      <c r="RTJ222" s="40" t="s">
        <v>91</v>
      </c>
      <c r="RTK222" s="40" t="s">
        <v>91</v>
      </c>
      <c r="RTL222" s="40" t="s">
        <v>91</v>
      </c>
      <c r="RTM222" s="40" t="s">
        <v>91</v>
      </c>
      <c r="RTN222" s="40" t="s">
        <v>91</v>
      </c>
      <c r="RTO222" s="40" t="s">
        <v>91</v>
      </c>
      <c r="RTP222" s="40" t="s">
        <v>91</v>
      </c>
      <c r="RTQ222" s="40" t="s">
        <v>91</v>
      </c>
      <c r="RTR222" s="40" t="s">
        <v>91</v>
      </c>
      <c r="RTS222" s="40" t="s">
        <v>91</v>
      </c>
      <c r="RTT222" s="40" t="s">
        <v>91</v>
      </c>
      <c r="RTU222" s="40" t="s">
        <v>91</v>
      </c>
      <c r="RTV222" s="40" t="s">
        <v>91</v>
      </c>
      <c r="RTW222" s="40" t="s">
        <v>91</v>
      </c>
      <c r="RTX222" s="40" t="s">
        <v>91</v>
      </c>
      <c r="RTY222" s="40" t="s">
        <v>91</v>
      </c>
      <c r="RTZ222" s="40" t="s">
        <v>91</v>
      </c>
      <c r="RUA222" s="40" t="s">
        <v>91</v>
      </c>
      <c r="RUB222" s="40" t="s">
        <v>91</v>
      </c>
      <c r="RUC222" s="40" t="s">
        <v>91</v>
      </c>
      <c r="RUD222" s="40" t="s">
        <v>91</v>
      </c>
      <c r="RUE222" s="40" t="s">
        <v>91</v>
      </c>
      <c r="RUF222" s="40" t="s">
        <v>91</v>
      </c>
      <c r="RUG222" s="40" t="s">
        <v>91</v>
      </c>
      <c r="RUH222" s="40" t="s">
        <v>91</v>
      </c>
      <c r="RUI222" s="40" t="s">
        <v>91</v>
      </c>
      <c r="RUJ222" s="40" t="s">
        <v>91</v>
      </c>
      <c r="RUK222" s="40" t="s">
        <v>91</v>
      </c>
      <c r="RUL222" s="40" t="s">
        <v>91</v>
      </c>
      <c r="RUM222" s="40" t="s">
        <v>91</v>
      </c>
      <c r="RUN222" s="40" t="s">
        <v>91</v>
      </c>
      <c r="RUO222" s="40" t="s">
        <v>91</v>
      </c>
      <c r="RUP222" s="40" t="s">
        <v>91</v>
      </c>
      <c r="RUQ222" s="40" t="s">
        <v>91</v>
      </c>
      <c r="RUR222" s="40" t="s">
        <v>91</v>
      </c>
      <c r="RUS222" s="40" t="s">
        <v>91</v>
      </c>
      <c r="RUT222" s="40" t="s">
        <v>91</v>
      </c>
      <c r="RUU222" s="40" t="s">
        <v>91</v>
      </c>
      <c r="RUV222" s="40" t="s">
        <v>91</v>
      </c>
      <c r="RUW222" s="40" t="s">
        <v>91</v>
      </c>
      <c r="RUX222" s="40" t="s">
        <v>91</v>
      </c>
      <c r="RUY222" s="40" t="s">
        <v>91</v>
      </c>
      <c r="RUZ222" s="40" t="s">
        <v>91</v>
      </c>
      <c r="RVA222" s="40" t="s">
        <v>91</v>
      </c>
      <c r="RVB222" s="40" t="s">
        <v>91</v>
      </c>
      <c r="RVC222" s="40" t="s">
        <v>91</v>
      </c>
      <c r="RVD222" s="40" t="s">
        <v>91</v>
      </c>
      <c r="RVE222" s="40" t="s">
        <v>91</v>
      </c>
      <c r="RVF222" s="40" t="s">
        <v>91</v>
      </c>
      <c r="RVG222" s="40" t="s">
        <v>91</v>
      </c>
      <c r="RVH222" s="40" t="s">
        <v>91</v>
      </c>
      <c r="RVI222" s="40" t="s">
        <v>91</v>
      </c>
      <c r="RVJ222" s="40" t="s">
        <v>91</v>
      </c>
      <c r="RVK222" s="40" t="s">
        <v>91</v>
      </c>
      <c r="RVL222" s="40" t="s">
        <v>91</v>
      </c>
      <c r="RVM222" s="40" t="s">
        <v>91</v>
      </c>
      <c r="RVN222" s="40" t="s">
        <v>91</v>
      </c>
      <c r="RVO222" s="40" t="s">
        <v>91</v>
      </c>
      <c r="RVP222" s="40" t="s">
        <v>91</v>
      </c>
      <c r="RVQ222" s="40" t="s">
        <v>91</v>
      </c>
      <c r="RVR222" s="40" t="s">
        <v>91</v>
      </c>
      <c r="RVS222" s="40" t="s">
        <v>91</v>
      </c>
      <c r="RVT222" s="40" t="s">
        <v>91</v>
      </c>
      <c r="RVU222" s="40" t="s">
        <v>91</v>
      </c>
      <c r="RVV222" s="40" t="s">
        <v>91</v>
      </c>
      <c r="RVW222" s="40" t="s">
        <v>91</v>
      </c>
      <c r="RVX222" s="40" t="s">
        <v>91</v>
      </c>
      <c r="RVY222" s="40" t="s">
        <v>91</v>
      </c>
      <c r="RVZ222" s="40" t="s">
        <v>91</v>
      </c>
      <c r="RWA222" s="40" t="s">
        <v>91</v>
      </c>
      <c r="RWB222" s="40" t="s">
        <v>91</v>
      </c>
      <c r="RWC222" s="40" t="s">
        <v>91</v>
      </c>
      <c r="RWD222" s="40" t="s">
        <v>91</v>
      </c>
      <c r="RWE222" s="40" t="s">
        <v>91</v>
      </c>
      <c r="RWF222" s="40" t="s">
        <v>91</v>
      </c>
      <c r="RWG222" s="40" t="s">
        <v>91</v>
      </c>
      <c r="RWH222" s="40" t="s">
        <v>91</v>
      </c>
      <c r="RWI222" s="40" t="s">
        <v>91</v>
      </c>
      <c r="RWJ222" s="40" t="s">
        <v>91</v>
      </c>
      <c r="RWK222" s="40" t="s">
        <v>91</v>
      </c>
      <c r="RWL222" s="40" t="s">
        <v>91</v>
      </c>
      <c r="RWM222" s="40" t="s">
        <v>91</v>
      </c>
      <c r="RWN222" s="40" t="s">
        <v>91</v>
      </c>
      <c r="RWO222" s="40" t="s">
        <v>91</v>
      </c>
      <c r="RWP222" s="40" t="s">
        <v>91</v>
      </c>
      <c r="RWQ222" s="40" t="s">
        <v>91</v>
      </c>
      <c r="RWR222" s="40" t="s">
        <v>91</v>
      </c>
      <c r="RWS222" s="40" t="s">
        <v>91</v>
      </c>
      <c r="RWT222" s="40" t="s">
        <v>91</v>
      </c>
      <c r="RWU222" s="40" t="s">
        <v>91</v>
      </c>
      <c r="RWV222" s="40" t="s">
        <v>91</v>
      </c>
      <c r="RWW222" s="40" t="s">
        <v>91</v>
      </c>
      <c r="RWX222" s="40" t="s">
        <v>91</v>
      </c>
      <c r="RWY222" s="40" t="s">
        <v>91</v>
      </c>
      <c r="RWZ222" s="40" t="s">
        <v>91</v>
      </c>
      <c r="RXA222" s="40" t="s">
        <v>91</v>
      </c>
      <c r="RXB222" s="40" t="s">
        <v>91</v>
      </c>
      <c r="RXC222" s="40" t="s">
        <v>91</v>
      </c>
      <c r="RXD222" s="40" t="s">
        <v>91</v>
      </c>
      <c r="RXE222" s="40" t="s">
        <v>91</v>
      </c>
      <c r="RXF222" s="40" t="s">
        <v>91</v>
      </c>
      <c r="RXG222" s="40" t="s">
        <v>91</v>
      </c>
      <c r="RXH222" s="40" t="s">
        <v>91</v>
      </c>
      <c r="RXI222" s="40" t="s">
        <v>91</v>
      </c>
      <c r="RXJ222" s="40" t="s">
        <v>91</v>
      </c>
      <c r="RXK222" s="40" t="s">
        <v>91</v>
      </c>
      <c r="RXL222" s="40" t="s">
        <v>91</v>
      </c>
      <c r="RXM222" s="40" t="s">
        <v>91</v>
      </c>
      <c r="RXN222" s="40" t="s">
        <v>91</v>
      </c>
      <c r="RXO222" s="40" t="s">
        <v>91</v>
      </c>
      <c r="RXP222" s="40" t="s">
        <v>91</v>
      </c>
      <c r="RXQ222" s="40" t="s">
        <v>91</v>
      </c>
      <c r="RXR222" s="40" t="s">
        <v>91</v>
      </c>
      <c r="RXS222" s="40" t="s">
        <v>91</v>
      </c>
      <c r="RXT222" s="40" t="s">
        <v>91</v>
      </c>
      <c r="RXU222" s="40" t="s">
        <v>91</v>
      </c>
      <c r="RXV222" s="40" t="s">
        <v>91</v>
      </c>
      <c r="RXW222" s="40" t="s">
        <v>91</v>
      </c>
      <c r="RXX222" s="40" t="s">
        <v>91</v>
      </c>
      <c r="RXY222" s="40" t="s">
        <v>91</v>
      </c>
      <c r="RXZ222" s="40" t="s">
        <v>91</v>
      </c>
      <c r="RYA222" s="40" t="s">
        <v>91</v>
      </c>
      <c r="RYB222" s="40" t="s">
        <v>91</v>
      </c>
      <c r="RYC222" s="40" t="s">
        <v>91</v>
      </c>
      <c r="RYD222" s="40" t="s">
        <v>91</v>
      </c>
      <c r="RYE222" s="40" t="s">
        <v>91</v>
      </c>
      <c r="RYF222" s="40" t="s">
        <v>91</v>
      </c>
      <c r="RYG222" s="40" t="s">
        <v>91</v>
      </c>
      <c r="RYH222" s="40" t="s">
        <v>91</v>
      </c>
      <c r="RYI222" s="40" t="s">
        <v>91</v>
      </c>
      <c r="RYJ222" s="40" t="s">
        <v>91</v>
      </c>
      <c r="RYK222" s="40" t="s">
        <v>91</v>
      </c>
      <c r="RYL222" s="40" t="s">
        <v>91</v>
      </c>
      <c r="RYM222" s="40" t="s">
        <v>91</v>
      </c>
      <c r="RYN222" s="40" t="s">
        <v>91</v>
      </c>
      <c r="RYO222" s="40" t="s">
        <v>91</v>
      </c>
      <c r="RYP222" s="40" t="s">
        <v>91</v>
      </c>
      <c r="RYQ222" s="40" t="s">
        <v>91</v>
      </c>
      <c r="RYR222" s="40" t="s">
        <v>91</v>
      </c>
      <c r="RYS222" s="40" t="s">
        <v>91</v>
      </c>
      <c r="RYT222" s="40" t="s">
        <v>91</v>
      </c>
      <c r="RYU222" s="40" t="s">
        <v>91</v>
      </c>
      <c r="RYV222" s="40" t="s">
        <v>91</v>
      </c>
      <c r="RYW222" s="40" t="s">
        <v>91</v>
      </c>
      <c r="RYX222" s="40" t="s">
        <v>91</v>
      </c>
      <c r="RYY222" s="40" t="s">
        <v>91</v>
      </c>
      <c r="RYZ222" s="40" t="s">
        <v>91</v>
      </c>
      <c r="RZA222" s="40" t="s">
        <v>91</v>
      </c>
      <c r="RZB222" s="40" t="s">
        <v>91</v>
      </c>
      <c r="RZC222" s="40" t="s">
        <v>91</v>
      </c>
      <c r="RZD222" s="40" t="s">
        <v>91</v>
      </c>
      <c r="RZE222" s="40" t="s">
        <v>91</v>
      </c>
      <c r="RZF222" s="40" t="s">
        <v>91</v>
      </c>
      <c r="RZG222" s="40" t="s">
        <v>91</v>
      </c>
      <c r="RZH222" s="40" t="s">
        <v>91</v>
      </c>
      <c r="RZI222" s="40" t="s">
        <v>91</v>
      </c>
      <c r="RZJ222" s="40" t="s">
        <v>91</v>
      </c>
      <c r="RZK222" s="40" t="s">
        <v>91</v>
      </c>
      <c r="RZL222" s="40" t="s">
        <v>91</v>
      </c>
      <c r="RZM222" s="40" t="s">
        <v>91</v>
      </c>
      <c r="RZN222" s="40" t="s">
        <v>91</v>
      </c>
      <c r="RZO222" s="40" t="s">
        <v>91</v>
      </c>
      <c r="RZP222" s="40" t="s">
        <v>91</v>
      </c>
      <c r="RZQ222" s="40" t="s">
        <v>91</v>
      </c>
      <c r="RZR222" s="40" t="s">
        <v>91</v>
      </c>
      <c r="RZS222" s="40" t="s">
        <v>91</v>
      </c>
      <c r="RZT222" s="40" t="s">
        <v>91</v>
      </c>
      <c r="RZU222" s="40" t="s">
        <v>91</v>
      </c>
      <c r="RZV222" s="40" t="s">
        <v>91</v>
      </c>
      <c r="RZW222" s="40" t="s">
        <v>91</v>
      </c>
      <c r="RZX222" s="40" t="s">
        <v>91</v>
      </c>
      <c r="RZY222" s="40" t="s">
        <v>91</v>
      </c>
      <c r="RZZ222" s="40" t="s">
        <v>91</v>
      </c>
      <c r="SAA222" s="40" t="s">
        <v>91</v>
      </c>
      <c r="SAB222" s="40" t="s">
        <v>91</v>
      </c>
      <c r="SAC222" s="40" t="s">
        <v>91</v>
      </c>
      <c r="SAD222" s="40" t="s">
        <v>91</v>
      </c>
      <c r="SAE222" s="40" t="s">
        <v>91</v>
      </c>
      <c r="SAF222" s="40" t="s">
        <v>91</v>
      </c>
      <c r="SAG222" s="40" t="s">
        <v>91</v>
      </c>
      <c r="SAH222" s="40" t="s">
        <v>91</v>
      </c>
      <c r="SAI222" s="40" t="s">
        <v>91</v>
      </c>
      <c r="SAJ222" s="40" t="s">
        <v>91</v>
      </c>
      <c r="SAK222" s="40" t="s">
        <v>91</v>
      </c>
      <c r="SAL222" s="40" t="s">
        <v>91</v>
      </c>
      <c r="SAM222" s="40" t="s">
        <v>91</v>
      </c>
      <c r="SAN222" s="40" t="s">
        <v>91</v>
      </c>
      <c r="SAO222" s="40" t="s">
        <v>91</v>
      </c>
      <c r="SAP222" s="40" t="s">
        <v>91</v>
      </c>
      <c r="SAQ222" s="40" t="s">
        <v>91</v>
      </c>
      <c r="SAR222" s="40" t="s">
        <v>91</v>
      </c>
      <c r="SAS222" s="40" t="s">
        <v>91</v>
      </c>
      <c r="SAT222" s="40" t="s">
        <v>91</v>
      </c>
      <c r="SAU222" s="40" t="s">
        <v>91</v>
      </c>
      <c r="SAV222" s="40" t="s">
        <v>91</v>
      </c>
      <c r="SAW222" s="40" t="s">
        <v>91</v>
      </c>
      <c r="SAX222" s="40" t="s">
        <v>91</v>
      </c>
      <c r="SAY222" s="40" t="s">
        <v>91</v>
      </c>
      <c r="SAZ222" s="40" t="s">
        <v>91</v>
      </c>
      <c r="SBA222" s="40" t="s">
        <v>91</v>
      </c>
      <c r="SBB222" s="40" t="s">
        <v>91</v>
      </c>
      <c r="SBC222" s="40" t="s">
        <v>91</v>
      </c>
      <c r="SBD222" s="40" t="s">
        <v>91</v>
      </c>
      <c r="SBE222" s="40" t="s">
        <v>91</v>
      </c>
      <c r="SBF222" s="40" t="s">
        <v>91</v>
      </c>
      <c r="SBG222" s="40" t="s">
        <v>91</v>
      </c>
      <c r="SBH222" s="40" t="s">
        <v>91</v>
      </c>
      <c r="SBI222" s="40" t="s">
        <v>91</v>
      </c>
      <c r="SBJ222" s="40" t="s">
        <v>91</v>
      </c>
      <c r="SBK222" s="40" t="s">
        <v>91</v>
      </c>
      <c r="SBL222" s="40" t="s">
        <v>91</v>
      </c>
      <c r="SBM222" s="40" t="s">
        <v>91</v>
      </c>
      <c r="SBN222" s="40" t="s">
        <v>91</v>
      </c>
      <c r="SBO222" s="40" t="s">
        <v>91</v>
      </c>
      <c r="SBP222" s="40" t="s">
        <v>91</v>
      </c>
      <c r="SBQ222" s="40" t="s">
        <v>91</v>
      </c>
      <c r="SBR222" s="40" t="s">
        <v>91</v>
      </c>
      <c r="SBS222" s="40" t="s">
        <v>91</v>
      </c>
      <c r="SBT222" s="40" t="s">
        <v>91</v>
      </c>
      <c r="SBU222" s="40" t="s">
        <v>91</v>
      </c>
      <c r="SBV222" s="40" t="s">
        <v>91</v>
      </c>
      <c r="SBW222" s="40" t="s">
        <v>91</v>
      </c>
      <c r="SBX222" s="40" t="s">
        <v>91</v>
      </c>
      <c r="SBY222" s="40" t="s">
        <v>91</v>
      </c>
      <c r="SBZ222" s="40" t="s">
        <v>91</v>
      </c>
      <c r="SCA222" s="40" t="s">
        <v>91</v>
      </c>
      <c r="SCB222" s="40" t="s">
        <v>91</v>
      </c>
      <c r="SCC222" s="40" t="s">
        <v>91</v>
      </c>
      <c r="SCD222" s="40" t="s">
        <v>91</v>
      </c>
      <c r="SCE222" s="40" t="s">
        <v>91</v>
      </c>
      <c r="SCF222" s="40" t="s">
        <v>91</v>
      </c>
      <c r="SCG222" s="40" t="s">
        <v>91</v>
      </c>
      <c r="SCH222" s="40" t="s">
        <v>91</v>
      </c>
      <c r="SCI222" s="40" t="s">
        <v>91</v>
      </c>
      <c r="SCJ222" s="40" t="s">
        <v>91</v>
      </c>
      <c r="SCK222" s="40" t="s">
        <v>91</v>
      </c>
      <c r="SCL222" s="40" t="s">
        <v>91</v>
      </c>
      <c r="SCM222" s="40" t="s">
        <v>91</v>
      </c>
      <c r="SCN222" s="40" t="s">
        <v>91</v>
      </c>
      <c r="SCO222" s="40" t="s">
        <v>91</v>
      </c>
      <c r="SCP222" s="40" t="s">
        <v>91</v>
      </c>
      <c r="SCQ222" s="40" t="s">
        <v>91</v>
      </c>
      <c r="SCR222" s="40" t="s">
        <v>91</v>
      </c>
      <c r="SCS222" s="40" t="s">
        <v>91</v>
      </c>
      <c r="SCT222" s="40" t="s">
        <v>91</v>
      </c>
      <c r="SCU222" s="40" t="s">
        <v>91</v>
      </c>
      <c r="SCV222" s="40" t="s">
        <v>91</v>
      </c>
      <c r="SCW222" s="40" t="s">
        <v>91</v>
      </c>
      <c r="SCX222" s="40" t="s">
        <v>91</v>
      </c>
      <c r="SCY222" s="40" t="s">
        <v>91</v>
      </c>
      <c r="SCZ222" s="40" t="s">
        <v>91</v>
      </c>
      <c r="SDA222" s="40" t="s">
        <v>91</v>
      </c>
      <c r="SDB222" s="40" t="s">
        <v>91</v>
      </c>
      <c r="SDC222" s="40" t="s">
        <v>91</v>
      </c>
      <c r="SDD222" s="40" t="s">
        <v>91</v>
      </c>
      <c r="SDE222" s="40" t="s">
        <v>91</v>
      </c>
      <c r="SDF222" s="40" t="s">
        <v>91</v>
      </c>
      <c r="SDG222" s="40" t="s">
        <v>91</v>
      </c>
      <c r="SDH222" s="40" t="s">
        <v>91</v>
      </c>
      <c r="SDI222" s="40" t="s">
        <v>91</v>
      </c>
      <c r="SDJ222" s="40" t="s">
        <v>91</v>
      </c>
      <c r="SDK222" s="40" t="s">
        <v>91</v>
      </c>
      <c r="SDL222" s="40" t="s">
        <v>91</v>
      </c>
      <c r="SDM222" s="40" t="s">
        <v>91</v>
      </c>
      <c r="SDN222" s="40" t="s">
        <v>91</v>
      </c>
      <c r="SDO222" s="40" t="s">
        <v>91</v>
      </c>
      <c r="SDP222" s="40" t="s">
        <v>91</v>
      </c>
      <c r="SDQ222" s="40" t="s">
        <v>91</v>
      </c>
      <c r="SDR222" s="40" t="s">
        <v>91</v>
      </c>
      <c r="SDS222" s="40" t="s">
        <v>91</v>
      </c>
      <c r="SDT222" s="40" t="s">
        <v>91</v>
      </c>
      <c r="SDU222" s="40" t="s">
        <v>91</v>
      </c>
      <c r="SDV222" s="40" t="s">
        <v>91</v>
      </c>
      <c r="SDW222" s="40" t="s">
        <v>91</v>
      </c>
      <c r="SDX222" s="40" t="s">
        <v>91</v>
      </c>
      <c r="SDY222" s="40" t="s">
        <v>91</v>
      </c>
      <c r="SDZ222" s="40" t="s">
        <v>91</v>
      </c>
      <c r="SEA222" s="40" t="s">
        <v>91</v>
      </c>
      <c r="SEB222" s="40" t="s">
        <v>91</v>
      </c>
      <c r="SEC222" s="40" t="s">
        <v>91</v>
      </c>
      <c r="SED222" s="40" t="s">
        <v>91</v>
      </c>
      <c r="SEE222" s="40" t="s">
        <v>91</v>
      </c>
      <c r="SEF222" s="40" t="s">
        <v>91</v>
      </c>
      <c r="SEG222" s="40" t="s">
        <v>91</v>
      </c>
      <c r="SEH222" s="40" t="s">
        <v>91</v>
      </c>
      <c r="SEI222" s="40" t="s">
        <v>91</v>
      </c>
      <c r="SEJ222" s="40" t="s">
        <v>91</v>
      </c>
      <c r="SEK222" s="40" t="s">
        <v>91</v>
      </c>
      <c r="SEL222" s="40" t="s">
        <v>91</v>
      </c>
      <c r="SEM222" s="40" t="s">
        <v>91</v>
      </c>
      <c r="SEN222" s="40" t="s">
        <v>91</v>
      </c>
      <c r="SEO222" s="40" t="s">
        <v>91</v>
      </c>
      <c r="SEP222" s="40" t="s">
        <v>91</v>
      </c>
      <c r="SEQ222" s="40" t="s">
        <v>91</v>
      </c>
      <c r="SER222" s="40" t="s">
        <v>91</v>
      </c>
      <c r="SES222" s="40" t="s">
        <v>91</v>
      </c>
      <c r="SET222" s="40" t="s">
        <v>91</v>
      </c>
      <c r="SEU222" s="40" t="s">
        <v>91</v>
      </c>
      <c r="SEV222" s="40" t="s">
        <v>91</v>
      </c>
      <c r="SEW222" s="40" t="s">
        <v>91</v>
      </c>
      <c r="SEX222" s="40" t="s">
        <v>91</v>
      </c>
      <c r="SEY222" s="40" t="s">
        <v>91</v>
      </c>
      <c r="SEZ222" s="40" t="s">
        <v>91</v>
      </c>
      <c r="SFA222" s="40" t="s">
        <v>91</v>
      </c>
      <c r="SFB222" s="40" t="s">
        <v>91</v>
      </c>
      <c r="SFC222" s="40" t="s">
        <v>91</v>
      </c>
      <c r="SFD222" s="40" t="s">
        <v>91</v>
      </c>
      <c r="SFE222" s="40" t="s">
        <v>91</v>
      </c>
      <c r="SFF222" s="40" t="s">
        <v>91</v>
      </c>
      <c r="SFG222" s="40" t="s">
        <v>91</v>
      </c>
      <c r="SFH222" s="40" t="s">
        <v>91</v>
      </c>
      <c r="SFI222" s="40" t="s">
        <v>91</v>
      </c>
      <c r="SFJ222" s="40" t="s">
        <v>91</v>
      </c>
      <c r="SFK222" s="40" t="s">
        <v>91</v>
      </c>
      <c r="SFL222" s="40" t="s">
        <v>91</v>
      </c>
      <c r="SFM222" s="40" t="s">
        <v>91</v>
      </c>
      <c r="SFN222" s="40" t="s">
        <v>91</v>
      </c>
      <c r="SFO222" s="40" t="s">
        <v>91</v>
      </c>
      <c r="SFP222" s="40" t="s">
        <v>91</v>
      </c>
      <c r="SFQ222" s="40" t="s">
        <v>91</v>
      </c>
      <c r="SFR222" s="40" t="s">
        <v>91</v>
      </c>
      <c r="SFS222" s="40" t="s">
        <v>91</v>
      </c>
      <c r="SFT222" s="40" t="s">
        <v>91</v>
      </c>
      <c r="SFU222" s="40" t="s">
        <v>91</v>
      </c>
      <c r="SFV222" s="40" t="s">
        <v>91</v>
      </c>
      <c r="SFW222" s="40" t="s">
        <v>91</v>
      </c>
      <c r="SFX222" s="40" t="s">
        <v>91</v>
      </c>
      <c r="SFY222" s="40" t="s">
        <v>91</v>
      </c>
      <c r="SFZ222" s="40" t="s">
        <v>91</v>
      </c>
      <c r="SGA222" s="40" t="s">
        <v>91</v>
      </c>
      <c r="SGB222" s="40" t="s">
        <v>91</v>
      </c>
      <c r="SGC222" s="40" t="s">
        <v>91</v>
      </c>
      <c r="SGD222" s="40" t="s">
        <v>91</v>
      </c>
      <c r="SGE222" s="40" t="s">
        <v>91</v>
      </c>
      <c r="SGF222" s="40" t="s">
        <v>91</v>
      </c>
      <c r="SGG222" s="40" t="s">
        <v>91</v>
      </c>
      <c r="SGH222" s="40" t="s">
        <v>91</v>
      </c>
      <c r="SGI222" s="40" t="s">
        <v>91</v>
      </c>
      <c r="SGJ222" s="40" t="s">
        <v>91</v>
      </c>
      <c r="SGK222" s="40" t="s">
        <v>91</v>
      </c>
      <c r="SGL222" s="40" t="s">
        <v>91</v>
      </c>
      <c r="SGM222" s="40" t="s">
        <v>91</v>
      </c>
      <c r="SGN222" s="40" t="s">
        <v>91</v>
      </c>
      <c r="SGO222" s="40" t="s">
        <v>91</v>
      </c>
      <c r="SGP222" s="40" t="s">
        <v>91</v>
      </c>
      <c r="SGQ222" s="40" t="s">
        <v>91</v>
      </c>
      <c r="SGR222" s="40" t="s">
        <v>91</v>
      </c>
      <c r="SGS222" s="40" t="s">
        <v>91</v>
      </c>
      <c r="SGT222" s="40" t="s">
        <v>91</v>
      </c>
      <c r="SGU222" s="40" t="s">
        <v>91</v>
      </c>
      <c r="SGV222" s="40" t="s">
        <v>91</v>
      </c>
      <c r="SGW222" s="40" t="s">
        <v>91</v>
      </c>
      <c r="SGX222" s="40" t="s">
        <v>91</v>
      </c>
      <c r="SGY222" s="40" t="s">
        <v>91</v>
      </c>
      <c r="SGZ222" s="40" t="s">
        <v>91</v>
      </c>
      <c r="SHA222" s="40" t="s">
        <v>91</v>
      </c>
      <c r="SHB222" s="40" t="s">
        <v>91</v>
      </c>
      <c r="SHC222" s="40" t="s">
        <v>91</v>
      </c>
      <c r="SHD222" s="40" t="s">
        <v>91</v>
      </c>
      <c r="SHE222" s="40" t="s">
        <v>91</v>
      </c>
      <c r="SHF222" s="40" t="s">
        <v>91</v>
      </c>
      <c r="SHG222" s="40" t="s">
        <v>91</v>
      </c>
      <c r="SHH222" s="40" t="s">
        <v>91</v>
      </c>
      <c r="SHI222" s="40" t="s">
        <v>91</v>
      </c>
      <c r="SHJ222" s="40" t="s">
        <v>91</v>
      </c>
      <c r="SHK222" s="40" t="s">
        <v>91</v>
      </c>
      <c r="SHL222" s="40" t="s">
        <v>91</v>
      </c>
      <c r="SHM222" s="40" t="s">
        <v>91</v>
      </c>
      <c r="SHN222" s="40" t="s">
        <v>91</v>
      </c>
      <c r="SHO222" s="40" t="s">
        <v>91</v>
      </c>
      <c r="SHP222" s="40" t="s">
        <v>91</v>
      </c>
      <c r="SHQ222" s="40" t="s">
        <v>91</v>
      </c>
      <c r="SHR222" s="40" t="s">
        <v>91</v>
      </c>
      <c r="SHS222" s="40" t="s">
        <v>91</v>
      </c>
      <c r="SHT222" s="40" t="s">
        <v>91</v>
      </c>
      <c r="SHU222" s="40" t="s">
        <v>91</v>
      </c>
      <c r="SHV222" s="40" t="s">
        <v>91</v>
      </c>
      <c r="SHW222" s="40" t="s">
        <v>91</v>
      </c>
      <c r="SHX222" s="40" t="s">
        <v>91</v>
      </c>
      <c r="SHY222" s="40" t="s">
        <v>91</v>
      </c>
      <c r="SHZ222" s="40" t="s">
        <v>91</v>
      </c>
      <c r="SIA222" s="40" t="s">
        <v>91</v>
      </c>
      <c r="SIB222" s="40" t="s">
        <v>91</v>
      </c>
      <c r="SIC222" s="40" t="s">
        <v>91</v>
      </c>
      <c r="SID222" s="40" t="s">
        <v>91</v>
      </c>
      <c r="SIE222" s="40" t="s">
        <v>91</v>
      </c>
      <c r="SIF222" s="40" t="s">
        <v>91</v>
      </c>
      <c r="SIG222" s="40" t="s">
        <v>91</v>
      </c>
      <c r="SIH222" s="40" t="s">
        <v>91</v>
      </c>
      <c r="SII222" s="40" t="s">
        <v>91</v>
      </c>
      <c r="SIJ222" s="40" t="s">
        <v>91</v>
      </c>
      <c r="SIK222" s="40" t="s">
        <v>91</v>
      </c>
      <c r="SIL222" s="40" t="s">
        <v>91</v>
      </c>
      <c r="SIM222" s="40" t="s">
        <v>91</v>
      </c>
      <c r="SIN222" s="40" t="s">
        <v>91</v>
      </c>
      <c r="SIO222" s="40" t="s">
        <v>91</v>
      </c>
      <c r="SIP222" s="40" t="s">
        <v>91</v>
      </c>
      <c r="SIQ222" s="40" t="s">
        <v>91</v>
      </c>
      <c r="SIR222" s="40" t="s">
        <v>91</v>
      </c>
      <c r="SIS222" s="40" t="s">
        <v>91</v>
      </c>
      <c r="SIT222" s="40" t="s">
        <v>91</v>
      </c>
      <c r="SIU222" s="40" t="s">
        <v>91</v>
      </c>
      <c r="SIV222" s="40" t="s">
        <v>91</v>
      </c>
      <c r="SIW222" s="40" t="s">
        <v>91</v>
      </c>
      <c r="SIX222" s="40" t="s">
        <v>91</v>
      </c>
      <c r="SIY222" s="40" t="s">
        <v>91</v>
      </c>
      <c r="SIZ222" s="40" t="s">
        <v>91</v>
      </c>
      <c r="SJA222" s="40" t="s">
        <v>91</v>
      </c>
      <c r="SJB222" s="40" t="s">
        <v>91</v>
      </c>
      <c r="SJC222" s="40" t="s">
        <v>91</v>
      </c>
      <c r="SJD222" s="40" t="s">
        <v>91</v>
      </c>
      <c r="SJE222" s="40" t="s">
        <v>91</v>
      </c>
      <c r="SJF222" s="40" t="s">
        <v>91</v>
      </c>
      <c r="SJG222" s="40" t="s">
        <v>91</v>
      </c>
      <c r="SJH222" s="40" t="s">
        <v>91</v>
      </c>
      <c r="SJI222" s="40" t="s">
        <v>91</v>
      </c>
      <c r="SJJ222" s="40" t="s">
        <v>91</v>
      </c>
      <c r="SJK222" s="40" t="s">
        <v>91</v>
      </c>
      <c r="SJL222" s="40" t="s">
        <v>91</v>
      </c>
      <c r="SJM222" s="40" t="s">
        <v>91</v>
      </c>
      <c r="SJN222" s="40" t="s">
        <v>91</v>
      </c>
      <c r="SJO222" s="40" t="s">
        <v>91</v>
      </c>
      <c r="SJP222" s="40" t="s">
        <v>91</v>
      </c>
      <c r="SJQ222" s="40" t="s">
        <v>91</v>
      </c>
      <c r="SJR222" s="40" t="s">
        <v>91</v>
      </c>
      <c r="SJS222" s="40" t="s">
        <v>91</v>
      </c>
      <c r="SJT222" s="40" t="s">
        <v>91</v>
      </c>
      <c r="SJU222" s="40" t="s">
        <v>91</v>
      </c>
      <c r="SJV222" s="40" t="s">
        <v>91</v>
      </c>
      <c r="SJW222" s="40" t="s">
        <v>91</v>
      </c>
      <c r="SJX222" s="40" t="s">
        <v>91</v>
      </c>
      <c r="SJY222" s="40" t="s">
        <v>91</v>
      </c>
      <c r="SJZ222" s="40" t="s">
        <v>91</v>
      </c>
      <c r="SKA222" s="40" t="s">
        <v>91</v>
      </c>
      <c r="SKB222" s="40" t="s">
        <v>91</v>
      </c>
      <c r="SKC222" s="40" t="s">
        <v>91</v>
      </c>
      <c r="SKD222" s="40" t="s">
        <v>91</v>
      </c>
      <c r="SKE222" s="40" t="s">
        <v>91</v>
      </c>
      <c r="SKF222" s="40" t="s">
        <v>91</v>
      </c>
      <c r="SKG222" s="40" t="s">
        <v>91</v>
      </c>
      <c r="SKH222" s="40" t="s">
        <v>91</v>
      </c>
      <c r="SKI222" s="40" t="s">
        <v>91</v>
      </c>
      <c r="SKJ222" s="40" t="s">
        <v>91</v>
      </c>
      <c r="SKK222" s="40" t="s">
        <v>91</v>
      </c>
      <c r="SKL222" s="40" t="s">
        <v>91</v>
      </c>
      <c r="SKM222" s="40" t="s">
        <v>91</v>
      </c>
      <c r="SKN222" s="40" t="s">
        <v>91</v>
      </c>
      <c r="SKO222" s="40" t="s">
        <v>91</v>
      </c>
      <c r="SKP222" s="40" t="s">
        <v>91</v>
      </c>
      <c r="SKQ222" s="40" t="s">
        <v>91</v>
      </c>
      <c r="SKR222" s="40" t="s">
        <v>91</v>
      </c>
      <c r="SKS222" s="40" t="s">
        <v>91</v>
      </c>
      <c r="SKT222" s="40" t="s">
        <v>91</v>
      </c>
      <c r="SKU222" s="40" t="s">
        <v>91</v>
      </c>
      <c r="SKV222" s="40" t="s">
        <v>91</v>
      </c>
      <c r="SKW222" s="40" t="s">
        <v>91</v>
      </c>
      <c r="SKX222" s="40" t="s">
        <v>91</v>
      </c>
      <c r="SKY222" s="40" t="s">
        <v>91</v>
      </c>
      <c r="SKZ222" s="40" t="s">
        <v>91</v>
      </c>
      <c r="SLA222" s="40" t="s">
        <v>91</v>
      </c>
      <c r="SLB222" s="40" t="s">
        <v>91</v>
      </c>
      <c r="SLC222" s="40" t="s">
        <v>91</v>
      </c>
      <c r="SLD222" s="40" t="s">
        <v>91</v>
      </c>
      <c r="SLE222" s="40" t="s">
        <v>91</v>
      </c>
      <c r="SLF222" s="40" t="s">
        <v>91</v>
      </c>
      <c r="SLG222" s="40" t="s">
        <v>91</v>
      </c>
      <c r="SLH222" s="40" t="s">
        <v>91</v>
      </c>
      <c r="SLI222" s="40" t="s">
        <v>91</v>
      </c>
      <c r="SLJ222" s="40" t="s">
        <v>91</v>
      </c>
      <c r="SLK222" s="40" t="s">
        <v>91</v>
      </c>
      <c r="SLL222" s="40" t="s">
        <v>91</v>
      </c>
      <c r="SLM222" s="40" t="s">
        <v>91</v>
      </c>
      <c r="SLN222" s="40" t="s">
        <v>91</v>
      </c>
      <c r="SLO222" s="40" t="s">
        <v>91</v>
      </c>
      <c r="SLP222" s="40" t="s">
        <v>91</v>
      </c>
      <c r="SLQ222" s="40" t="s">
        <v>91</v>
      </c>
      <c r="SLR222" s="40" t="s">
        <v>91</v>
      </c>
      <c r="SLS222" s="40" t="s">
        <v>91</v>
      </c>
      <c r="SLT222" s="40" t="s">
        <v>91</v>
      </c>
      <c r="SLU222" s="40" t="s">
        <v>91</v>
      </c>
      <c r="SLV222" s="40" t="s">
        <v>91</v>
      </c>
      <c r="SLW222" s="40" t="s">
        <v>91</v>
      </c>
      <c r="SLX222" s="40" t="s">
        <v>91</v>
      </c>
      <c r="SLY222" s="40" t="s">
        <v>91</v>
      </c>
      <c r="SLZ222" s="40" t="s">
        <v>91</v>
      </c>
      <c r="SMA222" s="40" t="s">
        <v>91</v>
      </c>
      <c r="SMB222" s="40" t="s">
        <v>91</v>
      </c>
      <c r="SMC222" s="40" t="s">
        <v>91</v>
      </c>
      <c r="SMD222" s="40" t="s">
        <v>91</v>
      </c>
      <c r="SME222" s="40" t="s">
        <v>91</v>
      </c>
      <c r="SMF222" s="40" t="s">
        <v>91</v>
      </c>
      <c r="SMG222" s="40" t="s">
        <v>91</v>
      </c>
      <c r="SMH222" s="40" t="s">
        <v>91</v>
      </c>
      <c r="SMI222" s="40" t="s">
        <v>91</v>
      </c>
      <c r="SMJ222" s="40" t="s">
        <v>91</v>
      </c>
      <c r="SMK222" s="40" t="s">
        <v>91</v>
      </c>
      <c r="SML222" s="40" t="s">
        <v>91</v>
      </c>
      <c r="SMM222" s="40" t="s">
        <v>91</v>
      </c>
      <c r="SMN222" s="40" t="s">
        <v>91</v>
      </c>
      <c r="SMO222" s="40" t="s">
        <v>91</v>
      </c>
      <c r="SMP222" s="40" t="s">
        <v>91</v>
      </c>
      <c r="SMQ222" s="40" t="s">
        <v>91</v>
      </c>
      <c r="SMR222" s="40" t="s">
        <v>91</v>
      </c>
      <c r="SMS222" s="40" t="s">
        <v>91</v>
      </c>
      <c r="SMT222" s="40" t="s">
        <v>91</v>
      </c>
      <c r="SMU222" s="40" t="s">
        <v>91</v>
      </c>
      <c r="SMV222" s="40" t="s">
        <v>91</v>
      </c>
      <c r="SMW222" s="40" t="s">
        <v>91</v>
      </c>
      <c r="SMX222" s="40" t="s">
        <v>91</v>
      </c>
      <c r="SMY222" s="40" t="s">
        <v>91</v>
      </c>
      <c r="SMZ222" s="40" t="s">
        <v>91</v>
      </c>
      <c r="SNA222" s="40" t="s">
        <v>91</v>
      </c>
      <c r="SNB222" s="40" t="s">
        <v>91</v>
      </c>
      <c r="SNC222" s="40" t="s">
        <v>91</v>
      </c>
      <c r="SND222" s="40" t="s">
        <v>91</v>
      </c>
      <c r="SNE222" s="40" t="s">
        <v>91</v>
      </c>
      <c r="SNF222" s="40" t="s">
        <v>91</v>
      </c>
      <c r="SNG222" s="40" t="s">
        <v>91</v>
      </c>
      <c r="SNH222" s="40" t="s">
        <v>91</v>
      </c>
      <c r="SNI222" s="40" t="s">
        <v>91</v>
      </c>
      <c r="SNJ222" s="40" t="s">
        <v>91</v>
      </c>
      <c r="SNK222" s="40" t="s">
        <v>91</v>
      </c>
      <c r="SNL222" s="40" t="s">
        <v>91</v>
      </c>
      <c r="SNM222" s="40" t="s">
        <v>91</v>
      </c>
      <c r="SNN222" s="40" t="s">
        <v>91</v>
      </c>
      <c r="SNO222" s="40" t="s">
        <v>91</v>
      </c>
      <c r="SNP222" s="40" t="s">
        <v>91</v>
      </c>
      <c r="SNQ222" s="40" t="s">
        <v>91</v>
      </c>
      <c r="SNR222" s="40" t="s">
        <v>91</v>
      </c>
      <c r="SNS222" s="40" t="s">
        <v>91</v>
      </c>
      <c r="SNT222" s="40" t="s">
        <v>91</v>
      </c>
      <c r="SNU222" s="40" t="s">
        <v>91</v>
      </c>
      <c r="SNV222" s="40" t="s">
        <v>91</v>
      </c>
      <c r="SNW222" s="40" t="s">
        <v>91</v>
      </c>
      <c r="SNX222" s="40" t="s">
        <v>91</v>
      </c>
      <c r="SNY222" s="40" t="s">
        <v>91</v>
      </c>
      <c r="SNZ222" s="40" t="s">
        <v>91</v>
      </c>
      <c r="SOA222" s="40" t="s">
        <v>91</v>
      </c>
      <c r="SOB222" s="40" t="s">
        <v>91</v>
      </c>
      <c r="SOC222" s="40" t="s">
        <v>91</v>
      </c>
      <c r="SOD222" s="40" t="s">
        <v>91</v>
      </c>
      <c r="SOE222" s="40" t="s">
        <v>91</v>
      </c>
      <c r="SOF222" s="40" t="s">
        <v>91</v>
      </c>
      <c r="SOG222" s="40" t="s">
        <v>91</v>
      </c>
      <c r="SOH222" s="40" t="s">
        <v>91</v>
      </c>
      <c r="SOI222" s="40" t="s">
        <v>91</v>
      </c>
      <c r="SOJ222" s="40" t="s">
        <v>91</v>
      </c>
      <c r="SOK222" s="40" t="s">
        <v>91</v>
      </c>
      <c r="SOL222" s="40" t="s">
        <v>91</v>
      </c>
      <c r="SOM222" s="40" t="s">
        <v>91</v>
      </c>
      <c r="SON222" s="40" t="s">
        <v>91</v>
      </c>
      <c r="SOO222" s="40" t="s">
        <v>91</v>
      </c>
      <c r="SOP222" s="40" t="s">
        <v>91</v>
      </c>
      <c r="SOQ222" s="40" t="s">
        <v>91</v>
      </c>
      <c r="SOR222" s="40" t="s">
        <v>91</v>
      </c>
      <c r="SOS222" s="40" t="s">
        <v>91</v>
      </c>
      <c r="SOT222" s="40" t="s">
        <v>91</v>
      </c>
      <c r="SOU222" s="40" t="s">
        <v>91</v>
      </c>
      <c r="SOV222" s="40" t="s">
        <v>91</v>
      </c>
      <c r="SOW222" s="40" t="s">
        <v>91</v>
      </c>
      <c r="SOX222" s="40" t="s">
        <v>91</v>
      </c>
      <c r="SOY222" s="40" t="s">
        <v>91</v>
      </c>
      <c r="SOZ222" s="40" t="s">
        <v>91</v>
      </c>
      <c r="SPA222" s="40" t="s">
        <v>91</v>
      </c>
      <c r="SPB222" s="40" t="s">
        <v>91</v>
      </c>
      <c r="SPC222" s="40" t="s">
        <v>91</v>
      </c>
      <c r="SPD222" s="40" t="s">
        <v>91</v>
      </c>
      <c r="SPE222" s="40" t="s">
        <v>91</v>
      </c>
      <c r="SPF222" s="40" t="s">
        <v>91</v>
      </c>
      <c r="SPG222" s="40" t="s">
        <v>91</v>
      </c>
      <c r="SPH222" s="40" t="s">
        <v>91</v>
      </c>
      <c r="SPI222" s="40" t="s">
        <v>91</v>
      </c>
      <c r="SPJ222" s="40" t="s">
        <v>91</v>
      </c>
      <c r="SPK222" s="40" t="s">
        <v>91</v>
      </c>
      <c r="SPL222" s="40" t="s">
        <v>91</v>
      </c>
      <c r="SPM222" s="40" t="s">
        <v>91</v>
      </c>
      <c r="SPN222" s="40" t="s">
        <v>91</v>
      </c>
      <c r="SPO222" s="40" t="s">
        <v>91</v>
      </c>
      <c r="SPP222" s="40" t="s">
        <v>91</v>
      </c>
      <c r="SPQ222" s="40" t="s">
        <v>91</v>
      </c>
      <c r="SPR222" s="40" t="s">
        <v>91</v>
      </c>
      <c r="SPS222" s="40" t="s">
        <v>91</v>
      </c>
      <c r="SPT222" s="40" t="s">
        <v>91</v>
      </c>
      <c r="SPU222" s="40" t="s">
        <v>91</v>
      </c>
      <c r="SPV222" s="40" t="s">
        <v>91</v>
      </c>
      <c r="SPW222" s="40" t="s">
        <v>91</v>
      </c>
      <c r="SPX222" s="40" t="s">
        <v>91</v>
      </c>
      <c r="SPY222" s="40" t="s">
        <v>91</v>
      </c>
      <c r="SPZ222" s="40" t="s">
        <v>91</v>
      </c>
      <c r="SQA222" s="40" t="s">
        <v>91</v>
      </c>
      <c r="SQB222" s="40" t="s">
        <v>91</v>
      </c>
      <c r="SQC222" s="40" t="s">
        <v>91</v>
      </c>
      <c r="SQD222" s="40" t="s">
        <v>91</v>
      </c>
      <c r="SQE222" s="40" t="s">
        <v>91</v>
      </c>
      <c r="SQF222" s="40" t="s">
        <v>91</v>
      </c>
      <c r="SQG222" s="40" t="s">
        <v>91</v>
      </c>
      <c r="SQH222" s="40" t="s">
        <v>91</v>
      </c>
      <c r="SQI222" s="40" t="s">
        <v>91</v>
      </c>
      <c r="SQJ222" s="40" t="s">
        <v>91</v>
      </c>
      <c r="SQK222" s="40" t="s">
        <v>91</v>
      </c>
      <c r="SQL222" s="40" t="s">
        <v>91</v>
      </c>
      <c r="SQM222" s="40" t="s">
        <v>91</v>
      </c>
      <c r="SQN222" s="40" t="s">
        <v>91</v>
      </c>
      <c r="SQO222" s="40" t="s">
        <v>91</v>
      </c>
      <c r="SQP222" s="40" t="s">
        <v>91</v>
      </c>
      <c r="SQQ222" s="40" t="s">
        <v>91</v>
      </c>
      <c r="SQR222" s="40" t="s">
        <v>91</v>
      </c>
      <c r="SQS222" s="40" t="s">
        <v>91</v>
      </c>
      <c r="SQT222" s="40" t="s">
        <v>91</v>
      </c>
      <c r="SQU222" s="40" t="s">
        <v>91</v>
      </c>
      <c r="SQV222" s="40" t="s">
        <v>91</v>
      </c>
      <c r="SQW222" s="40" t="s">
        <v>91</v>
      </c>
      <c r="SQX222" s="40" t="s">
        <v>91</v>
      </c>
      <c r="SQY222" s="40" t="s">
        <v>91</v>
      </c>
      <c r="SQZ222" s="40" t="s">
        <v>91</v>
      </c>
      <c r="SRA222" s="40" t="s">
        <v>91</v>
      </c>
      <c r="SRB222" s="40" t="s">
        <v>91</v>
      </c>
      <c r="SRC222" s="40" t="s">
        <v>91</v>
      </c>
      <c r="SRD222" s="40" t="s">
        <v>91</v>
      </c>
      <c r="SRE222" s="40" t="s">
        <v>91</v>
      </c>
      <c r="SRF222" s="40" t="s">
        <v>91</v>
      </c>
      <c r="SRG222" s="40" t="s">
        <v>91</v>
      </c>
      <c r="SRH222" s="40" t="s">
        <v>91</v>
      </c>
      <c r="SRI222" s="40" t="s">
        <v>91</v>
      </c>
      <c r="SRJ222" s="40" t="s">
        <v>91</v>
      </c>
      <c r="SRK222" s="40" t="s">
        <v>91</v>
      </c>
      <c r="SRL222" s="40" t="s">
        <v>91</v>
      </c>
      <c r="SRM222" s="40" t="s">
        <v>91</v>
      </c>
      <c r="SRN222" s="40" t="s">
        <v>91</v>
      </c>
      <c r="SRO222" s="40" t="s">
        <v>91</v>
      </c>
      <c r="SRP222" s="40" t="s">
        <v>91</v>
      </c>
      <c r="SRQ222" s="40" t="s">
        <v>91</v>
      </c>
      <c r="SRR222" s="40" t="s">
        <v>91</v>
      </c>
      <c r="SRS222" s="40" t="s">
        <v>91</v>
      </c>
      <c r="SRT222" s="40" t="s">
        <v>91</v>
      </c>
      <c r="SRU222" s="40" t="s">
        <v>91</v>
      </c>
      <c r="SRV222" s="40" t="s">
        <v>91</v>
      </c>
      <c r="SRW222" s="40" t="s">
        <v>91</v>
      </c>
      <c r="SRX222" s="40" t="s">
        <v>91</v>
      </c>
      <c r="SRY222" s="40" t="s">
        <v>91</v>
      </c>
      <c r="SRZ222" s="40" t="s">
        <v>91</v>
      </c>
      <c r="SSA222" s="40" t="s">
        <v>91</v>
      </c>
      <c r="SSB222" s="40" t="s">
        <v>91</v>
      </c>
      <c r="SSC222" s="40" t="s">
        <v>91</v>
      </c>
      <c r="SSD222" s="40" t="s">
        <v>91</v>
      </c>
      <c r="SSE222" s="40" t="s">
        <v>91</v>
      </c>
      <c r="SSF222" s="40" t="s">
        <v>91</v>
      </c>
      <c r="SSG222" s="40" t="s">
        <v>91</v>
      </c>
      <c r="SSH222" s="40" t="s">
        <v>91</v>
      </c>
      <c r="SSI222" s="40" t="s">
        <v>91</v>
      </c>
      <c r="SSJ222" s="40" t="s">
        <v>91</v>
      </c>
      <c r="SSK222" s="40" t="s">
        <v>91</v>
      </c>
      <c r="SSL222" s="40" t="s">
        <v>91</v>
      </c>
      <c r="SSM222" s="40" t="s">
        <v>91</v>
      </c>
      <c r="SSN222" s="40" t="s">
        <v>91</v>
      </c>
      <c r="SSO222" s="40" t="s">
        <v>91</v>
      </c>
      <c r="SSP222" s="40" t="s">
        <v>91</v>
      </c>
      <c r="SSQ222" s="40" t="s">
        <v>91</v>
      </c>
      <c r="SSR222" s="40" t="s">
        <v>91</v>
      </c>
      <c r="SSS222" s="40" t="s">
        <v>91</v>
      </c>
      <c r="SST222" s="40" t="s">
        <v>91</v>
      </c>
      <c r="SSU222" s="40" t="s">
        <v>91</v>
      </c>
      <c r="SSV222" s="40" t="s">
        <v>91</v>
      </c>
      <c r="SSW222" s="40" t="s">
        <v>91</v>
      </c>
      <c r="SSX222" s="40" t="s">
        <v>91</v>
      </c>
      <c r="SSY222" s="40" t="s">
        <v>91</v>
      </c>
      <c r="SSZ222" s="40" t="s">
        <v>91</v>
      </c>
      <c r="STA222" s="40" t="s">
        <v>91</v>
      </c>
      <c r="STB222" s="40" t="s">
        <v>91</v>
      </c>
      <c r="STC222" s="40" t="s">
        <v>91</v>
      </c>
      <c r="STD222" s="40" t="s">
        <v>91</v>
      </c>
      <c r="STE222" s="40" t="s">
        <v>91</v>
      </c>
      <c r="STF222" s="40" t="s">
        <v>91</v>
      </c>
      <c r="STG222" s="40" t="s">
        <v>91</v>
      </c>
      <c r="STH222" s="40" t="s">
        <v>91</v>
      </c>
      <c r="STI222" s="40" t="s">
        <v>91</v>
      </c>
      <c r="STJ222" s="40" t="s">
        <v>91</v>
      </c>
      <c r="STK222" s="40" t="s">
        <v>91</v>
      </c>
      <c r="STL222" s="40" t="s">
        <v>91</v>
      </c>
      <c r="STM222" s="40" t="s">
        <v>91</v>
      </c>
      <c r="STN222" s="40" t="s">
        <v>91</v>
      </c>
      <c r="STO222" s="40" t="s">
        <v>91</v>
      </c>
      <c r="STP222" s="40" t="s">
        <v>91</v>
      </c>
      <c r="STQ222" s="40" t="s">
        <v>91</v>
      </c>
      <c r="STR222" s="40" t="s">
        <v>91</v>
      </c>
      <c r="STS222" s="40" t="s">
        <v>91</v>
      </c>
      <c r="STT222" s="40" t="s">
        <v>91</v>
      </c>
      <c r="STU222" s="40" t="s">
        <v>91</v>
      </c>
      <c r="STV222" s="40" t="s">
        <v>91</v>
      </c>
      <c r="STW222" s="40" t="s">
        <v>91</v>
      </c>
      <c r="STX222" s="40" t="s">
        <v>91</v>
      </c>
      <c r="STY222" s="40" t="s">
        <v>91</v>
      </c>
      <c r="STZ222" s="40" t="s">
        <v>91</v>
      </c>
      <c r="SUA222" s="40" t="s">
        <v>91</v>
      </c>
      <c r="SUB222" s="40" t="s">
        <v>91</v>
      </c>
      <c r="SUC222" s="40" t="s">
        <v>91</v>
      </c>
      <c r="SUD222" s="40" t="s">
        <v>91</v>
      </c>
      <c r="SUE222" s="40" t="s">
        <v>91</v>
      </c>
      <c r="SUF222" s="40" t="s">
        <v>91</v>
      </c>
      <c r="SUG222" s="40" t="s">
        <v>91</v>
      </c>
      <c r="SUH222" s="40" t="s">
        <v>91</v>
      </c>
      <c r="SUI222" s="40" t="s">
        <v>91</v>
      </c>
      <c r="SUJ222" s="40" t="s">
        <v>91</v>
      </c>
      <c r="SUK222" s="40" t="s">
        <v>91</v>
      </c>
      <c r="SUL222" s="40" t="s">
        <v>91</v>
      </c>
      <c r="SUM222" s="40" t="s">
        <v>91</v>
      </c>
      <c r="SUN222" s="40" t="s">
        <v>91</v>
      </c>
      <c r="SUO222" s="40" t="s">
        <v>91</v>
      </c>
      <c r="SUP222" s="40" t="s">
        <v>91</v>
      </c>
      <c r="SUQ222" s="40" t="s">
        <v>91</v>
      </c>
      <c r="SUR222" s="40" t="s">
        <v>91</v>
      </c>
      <c r="SUS222" s="40" t="s">
        <v>91</v>
      </c>
      <c r="SUT222" s="40" t="s">
        <v>91</v>
      </c>
      <c r="SUU222" s="40" t="s">
        <v>91</v>
      </c>
      <c r="SUV222" s="40" t="s">
        <v>91</v>
      </c>
      <c r="SUW222" s="40" t="s">
        <v>91</v>
      </c>
      <c r="SUX222" s="40" t="s">
        <v>91</v>
      </c>
      <c r="SUY222" s="40" t="s">
        <v>91</v>
      </c>
      <c r="SUZ222" s="40" t="s">
        <v>91</v>
      </c>
      <c r="SVA222" s="40" t="s">
        <v>91</v>
      </c>
      <c r="SVB222" s="40" t="s">
        <v>91</v>
      </c>
      <c r="SVC222" s="40" t="s">
        <v>91</v>
      </c>
      <c r="SVD222" s="40" t="s">
        <v>91</v>
      </c>
      <c r="SVE222" s="40" t="s">
        <v>91</v>
      </c>
      <c r="SVF222" s="40" t="s">
        <v>91</v>
      </c>
      <c r="SVG222" s="40" t="s">
        <v>91</v>
      </c>
      <c r="SVH222" s="40" t="s">
        <v>91</v>
      </c>
      <c r="SVI222" s="40" t="s">
        <v>91</v>
      </c>
      <c r="SVJ222" s="40" t="s">
        <v>91</v>
      </c>
      <c r="SVK222" s="40" t="s">
        <v>91</v>
      </c>
      <c r="SVL222" s="40" t="s">
        <v>91</v>
      </c>
      <c r="SVM222" s="40" t="s">
        <v>91</v>
      </c>
      <c r="SVN222" s="40" t="s">
        <v>91</v>
      </c>
      <c r="SVO222" s="40" t="s">
        <v>91</v>
      </c>
      <c r="SVP222" s="40" t="s">
        <v>91</v>
      </c>
      <c r="SVQ222" s="40" t="s">
        <v>91</v>
      </c>
      <c r="SVR222" s="40" t="s">
        <v>91</v>
      </c>
      <c r="SVS222" s="40" t="s">
        <v>91</v>
      </c>
      <c r="SVT222" s="40" t="s">
        <v>91</v>
      </c>
      <c r="SVU222" s="40" t="s">
        <v>91</v>
      </c>
      <c r="SVV222" s="40" t="s">
        <v>91</v>
      </c>
      <c r="SVW222" s="40" t="s">
        <v>91</v>
      </c>
      <c r="SVX222" s="40" t="s">
        <v>91</v>
      </c>
      <c r="SVY222" s="40" t="s">
        <v>91</v>
      </c>
      <c r="SVZ222" s="40" t="s">
        <v>91</v>
      </c>
      <c r="SWA222" s="40" t="s">
        <v>91</v>
      </c>
      <c r="SWB222" s="40" t="s">
        <v>91</v>
      </c>
      <c r="SWC222" s="40" t="s">
        <v>91</v>
      </c>
      <c r="SWD222" s="40" t="s">
        <v>91</v>
      </c>
      <c r="SWE222" s="40" t="s">
        <v>91</v>
      </c>
      <c r="SWF222" s="40" t="s">
        <v>91</v>
      </c>
      <c r="SWG222" s="40" t="s">
        <v>91</v>
      </c>
      <c r="SWH222" s="40" t="s">
        <v>91</v>
      </c>
      <c r="SWI222" s="40" t="s">
        <v>91</v>
      </c>
      <c r="SWJ222" s="40" t="s">
        <v>91</v>
      </c>
      <c r="SWK222" s="40" t="s">
        <v>91</v>
      </c>
      <c r="SWL222" s="40" t="s">
        <v>91</v>
      </c>
      <c r="SWM222" s="40" t="s">
        <v>91</v>
      </c>
      <c r="SWN222" s="40" t="s">
        <v>91</v>
      </c>
      <c r="SWO222" s="40" t="s">
        <v>91</v>
      </c>
      <c r="SWP222" s="40" t="s">
        <v>91</v>
      </c>
      <c r="SWQ222" s="40" t="s">
        <v>91</v>
      </c>
      <c r="SWR222" s="40" t="s">
        <v>91</v>
      </c>
      <c r="SWS222" s="40" t="s">
        <v>91</v>
      </c>
      <c r="SWT222" s="40" t="s">
        <v>91</v>
      </c>
      <c r="SWU222" s="40" t="s">
        <v>91</v>
      </c>
      <c r="SWV222" s="40" t="s">
        <v>91</v>
      </c>
      <c r="SWW222" s="40" t="s">
        <v>91</v>
      </c>
      <c r="SWX222" s="40" t="s">
        <v>91</v>
      </c>
      <c r="SWY222" s="40" t="s">
        <v>91</v>
      </c>
      <c r="SWZ222" s="40" t="s">
        <v>91</v>
      </c>
      <c r="SXA222" s="40" t="s">
        <v>91</v>
      </c>
      <c r="SXB222" s="40" t="s">
        <v>91</v>
      </c>
      <c r="SXC222" s="40" t="s">
        <v>91</v>
      </c>
      <c r="SXD222" s="40" t="s">
        <v>91</v>
      </c>
      <c r="SXE222" s="40" t="s">
        <v>91</v>
      </c>
      <c r="SXF222" s="40" t="s">
        <v>91</v>
      </c>
      <c r="SXG222" s="40" t="s">
        <v>91</v>
      </c>
      <c r="SXH222" s="40" t="s">
        <v>91</v>
      </c>
      <c r="SXI222" s="40" t="s">
        <v>91</v>
      </c>
      <c r="SXJ222" s="40" t="s">
        <v>91</v>
      </c>
      <c r="SXK222" s="40" t="s">
        <v>91</v>
      </c>
      <c r="SXL222" s="40" t="s">
        <v>91</v>
      </c>
      <c r="SXM222" s="40" t="s">
        <v>91</v>
      </c>
      <c r="SXN222" s="40" t="s">
        <v>91</v>
      </c>
      <c r="SXO222" s="40" t="s">
        <v>91</v>
      </c>
      <c r="SXP222" s="40" t="s">
        <v>91</v>
      </c>
      <c r="SXQ222" s="40" t="s">
        <v>91</v>
      </c>
      <c r="SXR222" s="40" t="s">
        <v>91</v>
      </c>
      <c r="SXS222" s="40" t="s">
        <v>91</v>
      </c>
      <c r="SXT222" s="40" t="s">
        <v>91</v>
      </c>
      <c r="SXU222" s="40" t="s">
        <v>91</v>
      </c>
      <c r="SXV222" s="40" t="s">
        <v>91</v>
      </c>
      <c r="SXW222" s="40" t="s">
        <v>91</v>
      </c>
      <c r="SXX222" s="40" t="s">
        <v>91</v>
      </c>
      <c r="SXY222" s="40" t="s">
        <v>91</v>
      </c>
      <c r="SXZ222" s="40" t="s">
        <v>91</v>
      </c>
      <c r="SYA222" s="40" t="s">
        <v>91</v>
      </c>
      <c r="SYB222" s="40" t="s">
        <v>91</v>
      </c>
      <c r="SYC222" s="40" t="s">
        <v>91</v>
      </c>
      <c r="SYD222" s="40" t="s">
        <v>91</v>
      </c>
      <c r="SYE222" s="40" t="s">
        <v>91</v>
      </c>
      <c r="SYF222" s="40" t="s">
        <v>91</v>
      </c>
      <c r="SYG222" s="40" t="s">
        <v>91</v>
      </c>
      <c r="SYH222" s="40" t="s">
        <v>91</v>
      </c>
      <c r="SYI222" s="40" t="s">
        <v>91</v>
      </c>
      <c r="SYJ222" s="40" t="s">
        <v>91</v>
      </c>
      <c r="SYK222" s="40" t="s">
        <v>91</v>
      </c>
      <c r="SYL222" s="40" t="s">
        <v>91</v>
      </c>
      <c r="SYM222" s="40" t="s">
        <v>91</v>
      </c>
      <c r="SYN222" s="40" t="s">
        <v>91</v>
      </c>
      <c r="SYO222" s="40" t="s">
        <v>91</v>
      </c>
      <c r="SYP222" s="40" t="s">
        <v>91</v>
      </c>
      <c r="SYQ222" s="40" t="s">
        <v>91</v>
      </c>
      <c r="SYR222" s="40" t="s">
        <v>91</v>
      </c>
      <c r="SYS222" s="40" t="s">
        <v>91</v>
      </c>
      <c r="SYT222" s="40" t="s">
        <v>91</v>
      </c>
      <c r="SYU222" s="40" t="s">
        <v>91</v>
      </c>
      <c r="SYV222" s="40" t="s">
        <v>91</v>
      </c>
      <c r="SYW222" s="40" t="s">
        <v>91</v>
      </c>
      <c r="SYX222" s="40" t="s">
        <v>91</v>
      </c>
      <c r="SYY222" s="40" t="s">
        <v>91</v>
      </c>
      <c r="SYZ222" s="40" t="s">
        <v>91</v>
      </c>
      <c r="SZA222" s="40" t="s">
        <v>91</v>
      </c>
      <c r="SZB222" s="40" t="s">
        <v>91</v>
      </c>
      <c r="SZC222" s="40" t="s">
        <v>91</v>
      </c>
      <c r="SZD222" s="40" t="s">
        <v>91</v>
      </c>
      <c r="SZE222" s="40" t="s">
        <v>91</v>
      </c>
      <c r="SZF222" s="40" t="s">
        <v>91</v>
      </c>
      <c r="SZG222" s="40" t="s">
        <v>91</v>
      </c>
      <c r="SZH222" s="40" t="s">
        <v>91</v>
      </c>
      <c r="SZI222" s="40" t="s">
        <v>91</v>
      </c>
      <c r="SZJ222" s="40" t="s">
        <v>91</v>
      </c>
      <c r="SZK222" s="40" t="s">
        <v>91</v>
      </c>
      <c r="SZL222" s="40" t="s">
        <v>91</v>
      </c>
      <c r="SZM222" s="40" t="s">
        <v>91</v>
      </c>
      <c r="SZN222" s="40" t="s">
        <v>91</v>
      </c>
      <c r="SZO222" s="40" t="s">
        <v>91</v>
      </c>
      <c r="SZP222" s="40" t="s">
        <v>91</v>
      </c>
      <c r="SZQ222" s="40" t="s">
        <v>91</v>
      </c>
      <c r="SZR222" s="40" t="s">
        <v>91</v>
      </c>
      <c r="SZS222" s="40" t="s">
        <v>91</v>
      </c>
      <c r="SZT222" s="40" t="s">
        <v>91</v>
      </c>
      <c r="SZU222" s="40" t="s">
        <v>91</v>
      </c>
      <c r="SZV222" s="40" t="s">
        <v>91</v>
      </c>
      <c r="SZW222" s="40" t="s">
        <v>91</v>
      </c>
      <c r="SZX222" s="40" t="s">
        <v>91</v>
      </c>
      <c r="SZY222" s="40" t="s">
        <v>91</v>
      </c>
      <c r="SZZ222" s="40" t="s">
        <v>91</v>
      </c>
      <c r="TAA222" s="40" t="s">
        <v>91</v>
      </c>
      <c r="TAB222" s="40" t="s">
        <v>91</v>
      </c>
      <c r="TAC222" s="40" t="s">
        <v>91</v>
      </c>
      <c r="TAD222" s="40" t="s">
        <v>91</v>
      </c>
      <c r="TAE222" s="40" t="s">
        <v>91</v>
      </c>
      <c r="TAF222" s="40" t="s">
        <v>91</v>
      </c>
      <c r="TAG222" s="40" t="s">
        <v>91</v>
      </c>
      <c r="TAH222" s="40" t="s">
        <v>91</v>
      </c>
      <c r="TAI222" s="40" t="s">
        <v>91</v>
      </c>
      <c r="TAJ222" s="40" t="s">
        <v>91</v>
      </c>
      <c r="TAK222" s="40" t="s">
        <v>91</v>
      </c>
      <c r="TAL222" s="40" t="s">
        <v>91</v>
      </c>
      <c r="TAM222" s="40" t="s">
        <v>91</v>
      </c>
      <c r="TAN222" s="40" t="s">
        <v>91</v>
      </c>
      <c r="TAO222" s="40" t="s">
        <v>91</v>
      </c>
      <c r="TAP222" s="40" t="s">
        <v>91</v>
      </c>
      <c r="TAQ222" s="40" t="s">
        <v>91</v>
      </c>
      <c r="TAR222" s="40" t="s">
        <v>91</v>
      </c>
      <c r="TAS222" s="40" t="s">
        <v>91</v>
      </c>
      <c r="TAT222" s="40" t="s">
        <v>91</v>
      </c>
      <c r="TAU222" s="40" t="s">
        <v>91</v>
      </c>
      <c r="TAV222" s="40" t="s">
        <v>91</v>
      </c>
      <c r="TAW222" s="40" t="s">
        <v>91</v>
      </c>
      <c r="TAX222" s="40" t="s">
        <v>91</v>
      </c>
      <c r="TAY222" s="40" t="s">
        <v>91</v>
      </c>
      <c r="TAZ222" s="40" t="s">
        <v>91</v>
      </c>
      <c r="TBA222" s="40" t="s">
        <v>91</v>
      </c>
      <c r="TBB222" s="40" t="s">
        <v>91</v>
      </c>
      <c r="TBC222" s="40" t="s">
        <v>91</v>
      </c>
      <c r="TBD222" s="40" t="s">
        <v>91</v>
      </c>
      <c r="TBE222" s="40" t="s">
        <v>91</v>
      </c>
      <c r="TBF222" s="40" t="s">
        <v>91</v>
      </c>
      <c r="TBG222" s="40" t="s">
        <v>91</v>
      </c>
      <c r="TBH222" s="40" t="s">
        <v>91</v>
      </c>
      <c r="TBI222" s="40" t="s">
        <v>91</v>
      </c>
      <c r="TBJ222" s="40" t="s">
        <v>91</v>
      </c>
      <c r="TBK222" s="40" t="s">
        <v>91</v>
      </c>
      <c r="TBL222" s="40" t="s">
        <v>91</v>
      </c>
      <c r="TBM222" s="40" t="s">
        <v>91</v>
      </c>
      <c r="TBN222" s="40" t="s">
        <v>91</v>
      </c>
      <c r="TBO222" s="40" t="s">
        <v>91</v>
      </c>
      <c r="TBP222" s="40" t="s">
        <v>91</v>
      </c>
      <c r="TBQ222" s="40" t="s">
        <v>91</v>
      </c>
      <c r="TBR222" s="40" t="s">
        <v>91</v>
      </c>
      <c r="TBS222" s="40" t="s">
        <v>91</v>
      </c>
      <c r="TBT222" s="40" t="s">
        <v>91</v>
      </c>
      <c r="TBU222" s="40" t="s">
        <v>91</v>
      </c>
      <c r="TBV222" s="40" t="s">
        <v>91</v>
      </c>
      <c r="TBW222" s="40" t="s">
        <v>91</v>
      </c>
      <c r="TBX222" s="40" t="s">
        <v>91</v>
      </c>
      <c r="TBY222" s="40" t="s">
        <v>91</v>
      </c>
      <c r="TBZ222" s="40" t="s">
        <v>91</v>
      </c>
      <c r="TCA222" s="40" t="s">
        <v>91</v>
      </c>
      <c r="TCB222" s="40" t="s">
        <v>91</v>
      </c>
      <c r="TCC222" s="40" t="s">
        <v>91</v>
      </c>
      <c r="TCD222" s="40" t="s">
        <v>91</v>
      </c>
      <c r="TCE222" s="40" t="s">
        <v>91</v>
      </c>
      <c r="TCF222" s="40" t="s">
        <v>91</v>
      </c>
      <c r="TCG222" s="40" t="s">
        <v>91</v>
      </c>
      <c r="TCH222" s="40" t="s">
        <v>91</v>
      </c>
      <c r="TCI222" s="40" t="s">
        <v>91</v>
      </c>
      <c r="TCJ222" s="40" t="s">
        <v>91</v>
      </c>
      <c r="TCK222" s="40" t="s">
        <v>91</v>
      </c>
      <c r="TCL222" s="40" t="s">
        <v>91</v>
      </c>
      <c r="TCM222" s="40" t="s">
        <v>91</v>
      </c>
      <c r="TCN222" s="40" t="s">
        <v>91</v>
      </c>
      <c r="TCO222" s="40" t="s">
        <v>91</v>
      </c>
      <c r="TCP222" s="40" t="s">
        <v>91</v>
      </c>
      <c r="TCQ222" s="40" t="s">
        <v>91</v>
      </c>
      <c r="TCR222" s="40" t="s">
        <v>91</v>
      </c>
      <c r="TCS222" s="40" t="s">
        <v>91</v>
      </c>
      <c r="TCT222" s="40" t="s">
        <v>91</v>
      </c>
      <c r="TCU222" s="40" t="s">
        <v>91</v>
      </c>
      <c r="TCV222" s="40" t="s">
        <v>91</v>
      </c>
      <c r="TCW222" s="40" t="s">
        <v>91</v>
      </c>
      <c r="TCX222" s="40" t="s">
        <v>91</v>
      </c>
      <c r="TCY222" s="40" t="s">
        <v>91</v>
      </c>
      <c r="TCZ222" s="40" t="s">
        <v>91</v>
      </c>
      <c r="TDA222" s="40" t="s">
        <v>91</v>
      </c>
      <c r="TDB222" s="40" t="s">
        <v>91</v>
      </c>
      <c r="TDC222" s="40" t="s">
        <v>91</v>
      </c>
      <c r="TDD222" s="40" t="s">
        <v>91</v>
      </c>
      <c r="TDE222" s="40" t="s">
        <v>91</v>
      </c>
      <c r="TDF222" s="40" t="s">
        <v>91</v>
      </c>
      <c r="TDG222" s="40" t="s">
        <v>91</v>
      </c>
      <c r="TDH222" s="40" t="s">
        <v>91</v>
      </c>
      <c r="TDI222" s="40" t="s">
        <v>91</v>
      </c>
      <c r="TDJ222" s="40" t="s">
        <v>91</v>
      </c>
      <c r="TDK222" s="40" t="s">
        <v>91</v>
      </c>
      <c r="TDL222" s="40" t="s">
        <v>91</v>
      </c>
      <c r="TDM222" s="40" t="s">
        <v>91</v>
      </c>
      <c r="TDN222" s="40" t="s">
        <v>91</v>
      </c>
      <c r="TDO222" s="40" t="s">
        <v>91</v>
      </c>
      <c r="TDP222" s="40" t="s">
        <v>91</v>
      </c>
      <c r="TDQ222" s="40" t="s">
        <v>91</v>
      </c>
      <c r="TDR222" s="40" t="s">
        <v>91</v>
      </c>
      <c r="TDS222" s="40" t="s">
        <v>91</v>
      </c>
      <c r="TDT222" s="40" t="s">
        <v>91</v>
      </c>
      <c r="TDU222" s="40" t="s">
        <v>91</v>
      </c>
      <c r="TDV222" s="40" t="s">
        <v>91</v>
      </c>
      <c r="TDW222" s="40" t="s">
        <v>91</v>
      </c>
      <c r="TDX222" s="40" t="s">
        <v>91</v>
      </c>
      <c r="TDY222" s="40" t="s">
        <v>91</v>
      </c>
      <c r="TDZ222" s="40" t="s">
        <v>91</v>
      </c>
      <c r="TEA222" s="40" t="s">
        <v>91</v>
      </c>
      <c r="TEB222" s="40" t="s">
        <v>91</v>
      </c>
      <c r="TEC222" s="40" t="s">
        <v>91</v>
      </c>
      <c r="TED222" s="40" t="s">
        <v>91</v>
      </c>
      <c r="TEE222" s="40" t="s">
        <v>91</v>
      </c>
      <c r="TEF222" s="40" t="s">
        <v>91</v>
      </c>
      <c r="TEG222" s="40" t="s">
        <v>91</v>
      </c>
      <c r="TEH222" s="40" t="s">
        <v>91</v>
      </c>
      <c r="TEI222" s="40" t="s">
        <v>91</v>
      </c>
      <c r="TEJ222" s="40" t="s">
        <v>91</v>
      </c>
      <c r="TEK222" s="40" t="s">
        <v>91</v>
      </c>
      <c r="TEL222" s="40" t="s">
        <v>91</v>
      </c>
      <c r="TEM222" s="40" t="s">
        <v>91</v>
      </c>
      <c r="TEN222" s="40" t="s">
        <v>91</v>
      </c>
      <c r="TEO222" s="40" t="s">
        <v>91</v>
      </c>
      <c r="TEP222" s="40" t="s">
        <v>91</v>
      </c>
      <c r="TEQ222" s="40" t="s">
        <v>91</v>
      </c>
      <c r="TER222" s="40" t="s">
        <v>91</v>
      </c>
      <c r="TES222" s="40" t="s">
        <v>91</v>
      </c>
      <c r="TET222" s="40" t="s">
        <v>91</v>
      </c>
      <c r="TEU222" s="40" t="s">
        <v>91</v>
      </c>
      <c r="TEV222" s="40" t="s">
        <v>91</v>
      </c>
      <c r="TEW222" s="40" t="s">
        <v>91</v>
      </c>
      <c r="TEX222" s="40" t="s">
        <v>91</v>
      </c>
      <c r="TEY222" s="40" t="s">
        <v>91</v>
      </c>
      <c r="TEZ222" s="40" t="s">
        <v>91</v>
      </c>
      <c r="TFA222" s="40" t="s">
        <v>91</v>
      </c>
      <c r="TFB222" s="40" t="s">
        <v>91</v>
      </c>
      <c r="TFC222" s="40" t="s">
        <v>91</v>
      </c>
      <c r="TFD222" s="40" t="s">
        <v>91</v>
      </c>
      <c r="TFE222" s="40" t="s">
        <v>91</v>
      </c>
      <c r="TFF222" s="40" t="s">
        <v>91</v>
      </c>
      <c r="TFG222" s="40" t="s">
        <v>91</v>
      </c>
      <c r="TFH222" s="40" t="s">
        <v>91</v>
      </c>
      <c r="TFI222" s="40" t="s">
        <v>91</v>
      </c>
      <c r="TFJ222" s="40" t="s">
        <v>91</v>
      </c>
      <c r="TFK222" s="40" t="s">
        <v>91</v>
      </c>
      <c r="TFL222" s="40" t="s">
        <v>91</v>
      </c>
      <c r="TFM222" s="40" t="s">
        <v>91</v>
      </c>
      <c r="TFN222" s="40" t="s">
        <v>91</v>
      </c>
      <c r="TFO222" s="40" t="s">
        <v>91</v>
      </c>
      <c r="TFP222" s="40" t="s">
        <v>91</v>
      </c>
      <c r="TFQ222" s="40" t="s">
        <v>91</v>
      </c>
      <c r="TFR222" s="40" t="s">
        <v>91</v>
      </c>
      <c r="TFS222" s="40" t="s">
        <v>91</v>
      </c>
      <c r="TFT222" s="40" t="s">
        <v>91</v>
      </c>
      <c r="TFU222" s="40" t="s">
        <v>91</v>
      </c>
      <c r="TFV222" s="40" t="s">
        <v>91</v>
      </c>
      <c r="TFW222" s="40" t="s">
        <v>91</v>
      </c>
      <c r="TFX222" s="40" t="s">
        <v>91</v>
      </c>
      <c r="TFY222" s="40" t="s">
        <v>91</v>
      </c>
      <c r="TFZ222" s="40" t="s">
        <v>91</v>
      </c>
      <c r="TGA222" s="40" t="s">
        <v>91</v>
      </c>
      <c r="TGB222" s="40" t="s">
        <v>91</v>
      </c>
      <c r="TGC222" s="40" t="s">
        <v>91</v>
      </c>
      <c r="TGD222" s="40" t="s">
        <v>91</v>
      </c>
      <c r="TGE222" s="40" t="s">
        <v>91</v>
      </c>
      <c r="TGF222" s="40" t="s">
        <v>91</v>
      </c>
      <c r="TGG222" s="40" t="s">
        <v>91</v>
      </c>
      <c r="TGH222" s="40" t="s">
        <v>91</v>
      </c>
      <c r="TGI222" s="40" t="s">
        <v>91</v>
      </c>
      <c r="TGJ222" s="40" t="s">
        <v>91</v>
      </c>
      <c r="TGK222" s="40" t="s">
        <v>91</v>
      </c>
      <c r="TGL222" s="40" t="s">
        <v>91</v>
      </c>
      <c r="TGM222" s="40" t="s">
        <v>91</v>
      </c>
      <c r="TGN222" s="40" t="s">
        <v>91</v>
      </c>
      <c r="TGO222" s="40" t="s">
        <v>91</v>
      </c>
      <c r="TGP222" s="40" t="s">
        <v>91</v>
      </c>
      <c r="TGQ222" s="40" t="s">
        <v>91</v>
      </c>
      <c r="TGR222" s="40" t="s">
        <v>91</v>
      </c>
      <c r="TGS222" s="40" t="s">
        <v>91</v>
      </c>
      <c r="TGT222" s="40" t="s">
        <v>91</v>
      </c>
      <c r="TGU222" s="40" t="s">
        <v>91</v>
      </c>
      <c r="TGV222" s="40" t="s">
        <v>91</v>
      </c>
      <c r="TGW222" s="40" t="s">
        <v>91</v>
      </c>
      <c r="TGX222" s="40" t="s">
        <v>91</v>
      </c>
      <c r="TGY222" s="40" t="s">
        <v>91</v>
      </c>
      <c r="TGZ222" s="40" t="s">
        <v>91</v>
      </c>
      <c r="THA222" s="40" t="s">
        <v>91</v>
      </c>
      <c r="THB222" s="40" t="s">
        <v>91</v>
      </c>
      <c r="THC222" s="40" t="s">
        <v>91</v>
      </c>
      <c r="THD222" s="40" t="s">
        <v>91</v>
      </c>
      <c r="THE222" s="40" t="s">
        <v>91</v>
      </c>
      <c r="THF222" s="40" t="s">
        <v>91</v>
      </c>
      <c r="THG222" s="40" t="s">
        <v>91</v>
      </c>
      <c r="THH222" s="40" t="s">
        <v>91</v>
      </c>
      <c r="THI222" s="40" t="s">
        <v>91</v>
      </c>
      <c r="THJ222" s="40" t="s">
        <v>91</v>
      </c>
      <c r="THK222" s="40" t="s">
        <v>91</v>
      </c>
      <c r="THL222" s="40" t="s">
        <v>91</v>
      </c>
      <c r="THM222" s="40" t="s">
        <v>91</v>
      </c>
      <c r="THN222" s="40" t="s">
        <v>91</v>
      </c>
      <c r="THO222" s="40" t="s">
        <v>91</v>
      </c>
      <c r="THP222" s="40" t="s">
        <v>91</v>
      </c>
      <c r="THQ222" s="40" t="s">
        <v>91</v>
      </c>
      <c r="THR222" s="40" t="s">
        <v>91</v>
      </c>
      <c r="THS222" s="40" t="s">
        <v>91</v>
      </c>
      <c r="THT222" s="40" t="s">
        <v>91</v>
      </c>
      <c r="THU222" s="40" t="s">
        <v>91</v>
      </c>
      <c r="THV222" s="40" t="s">
        <v>91</v>
      </c>
      <c r="THW222" s="40" t="s">
        <v>91</v>
      </c>
      <c r="THX222" s="40" t="s">
        <v>91</v>
      </c>
      <c r="THY222" s="40" t="s">
        <v>91</v>
      </c>
      <c r="THZ222" s="40" t="s">
        <v>91</v>
      </c>
      <c r="TIA222" s="40" t="s">
        <v>91</v>
      </c>
      <c r="TIB222" s="40" t="s">
        <v>91</v>
      </c>
      <c r="TIC222" s="40" t="s">
        <v>91</v>
      </c>
      <c r="TID222" s="40" t="s">
        <v>91</v>
      </c>
      <c r="TIE222" s="40" t="s">
        <v>91</v>
      </c>
      <c r="TIF222" s="40" t="s">
        <v>91</v>
      </c>
      <c r="TIG222" s="40" t="s">
        <v>91</v>
      </c>
      <c r="TIH222" s="40" t="s">
        <v>91</v>
      </c>
      <c r="TII222" s="40" t="s">
        <v>91</v>
      </c>
      <c r="TIJ222" s="40" t="s">
        <v>91</v>
      </c>
      <c r="TIK222" s="40" t="s">
        <v>91</v>
      </c>
      <c r="TIL222" s="40" t="s">
        <v>91</v>
      </c>
      <c r="TIM222" s="40" t="s">
        <v>91</v>
      </c>
      <c r="TIN222" s="40" t="s">
        <v>91</v>
      </c>
      <c r="TIO222" s="40" t="s">
        <v>91</v>
      </c>
      <c r="TIP222" s="40" t="s">
        <v>91</v>
      </c>
      <c r="TIQ222" s="40" t="s">
        <v>91</v>
      </c>
      <c r="TIR222" s="40" t="s">
        <v>91</v>
      </c>
      <c r="TIS222" s="40" t="s">
        <v>91</v>
      </c>
      <c r="TIT222" s="40" t="s">
        <v>91</v>
      </c>
      <c r="TIU222" s="40" t="s">
        <v>91</v>
      </c>
      <c r="TIV222" s="40" t="s">
        <v>91</v>
      </c>
      <c r="TIW222" s="40" t="s">
        <v>91</v>
      </c>
      <c r="TIX222" s="40" t="s">
        <v>91</v>
      </c>
      <c r="TIY222" s="40" t="s">
        <v>91</v>
      </c>
      <c r="TIZ222" s="40" t="s">
        <v>91</v>
      </c>
      <c r="TJA222" s="40" t="s">
        <v>91</v>
      </c>
      <c r="TJB222" s="40" t="s">
        <v>91</v>
      </c>
      <c r="TJC222" s="40" t="s">
        <v>91</v>
      </c>
      <c r="TJD222" s="40" t="s">
        <v>91</v>
      </c>
      <c r="TJE222" s="40" t="s">
        <v>91</v>
      </c>
      <c r="TJF222" s="40" t="s">
        <v>91</v>
      </c>
      <c r="TJG222" s="40" t="s">
        <v>91</v>
      </c>
      <c r="TJH222" s="40" t="s">
        <v>91</v>
      </c>
      <c r="TJI222" s="40" t="s">
        <v>91</v>
      </c>
      <c r="TJJ222" s="40" t="s">
        <v>91</v>
      </c>
      <c r="TJK222" s="40" t="s">
        <v>91</v>
      </c>
      <c r="TJL222" s="40" t="s">
        <v>91</v>
      </c>
      <c r="TJM222" s="40" t="s">
        <v>91</v>
      </c>
      <c r="TJN222" s="40" t="s">
        <v>91</v>
      </c>
      <c r="TJO222" s="40" t="s">
        <v>91</v>
      </c>
      <c r="TJP222" s="40" t="s">
        <v>91</v>
      </c>
      <c r="TJQ222" s="40" t="s">
        <v>91</v>
      </c>
      <c r="TJR222" s="40" t="s">
        <v>91</v>
      </c>
      <c r="TJS222" s="40" t="s">
        <v>91</v>
      </c>
      <c r="TJT222" s="40" t="s">
        <v>91</v>
      </c>
      <c r="TJU222" s="40" t="s">
        <v>91</v>
      </c>
      <c r="TJV222" s="40" t="s">
        <v>91</v>
      </c>
      <c r="TJW222" s="40" t="s">
        <v>91</v>
      </c>
      <c r="TJX222" s="40" t="s">
        <v>91</v>
      </c>
      <c r="TJY222" s="40" t="s">
        <v>91</v>
      </c>
      <c r="TJZ222" s="40" t="s">
        <v>91</v>
      </c>
      <c r="TKA222" s="40" t="s">
        <v>91</v>
      </c>
      <c r="TKB222" s="40" t="s">
        <v>91</v>
      </c>
      <c r="TKC222" s="40" t="s">
        <v>91</v>
      </c>
      <c r="TKD222" s="40" t="s">
        <v>91</v>
      </c>
      <c r="TKE222" s="40" t="s">
        <v>91</v>
      </c>
      <c r="TKF222" s="40" t="s">
        <v>91</v>
      </c>
      <c r="TKG222" s="40" t="s">
        <v>91</v>
      </c>
      <c r="TKH222" s="40" t="s">
        <v>91</v>
      </c>
      <c r="TKI222" s="40" t="s">
        <v>91</v>
      </c>
      <c r="TKJ222" s="40" t="s">
        <v>91</v>
      </c>
      <c r="TKK222" s="40" t="s">
        <v>91</v>
      </c>
      <c r="TKL222" s="40" t="s">
        <v>91</v>
      </c>
      <c r="TKM222" s="40" t="s">
        <v>91</v>
      </c>
      <c r="TKN222" s="40" t="s">
        <v>91</v>
      </c>
      <c r="TKO222" s="40" t="s">
        <v>91</v>
      </c>
      <c r="TKP222" s="40" t="s">
        <v>91</v>
      </c>
      <c r="TKQ222" s="40" t="s">
        <v>91</v>
      </c>
      <c r="TKR222" s="40" t="s">
        <v>91</v>
      </c>
      <c r="TKS222" s="40" t="s">
        <v>91</v>
      </c>
      <c r="TKT222" s="40" t="s">
        <v>91</v>
      </c>
      <c r="TKU222" s="40" t="s">
        <v>91</v>
      </c>
      <c r="TKV222" s="40" t="s">
        <v>91</v>
      </c>
      <c r="TKW222" s="40" t="s">
        <v>91</v>
      </c>
      <c r="TKX222" s="40" t="s">
        <v>91</v>
      </c>
      <c r="TKY222" s="40" t="s">
        <v>91</v>
      </c>
      <c r="TKZ222" s="40" t="s">
        <v>91</v>
      </c>
      <c r="TLA222" s="40" t="s">
        <v>91</v>
      </c>
      <c r="TLB222" s="40" t="s">
        <v>91</v>
      </c>
      <c r="TLC222" s="40" t="s">
        <v>91</v>
      </c>
      <c r="TLD222" s="40" t="s">
        <v>91</v>
      </c>
      <c r="TLE222" s="40" t="s">
        <v>91</v>
      </c>
      <c r="TLF222" s="40" t="s">
        <v>91</v>
      </c>
      <c r="TLG222" s="40" t="s">
        <v>91</v>
      </c>
      <c r="TLH222" s="40" t="s">
        <v>91</v>
      </c>
      <c r="TLI222" s="40" t="s">
        <v>91</v>
      </c>
      <c r="TLJ222" s="40" t="s">
        <v>91</v>
      </c>
      <c r="TLK222" s="40" t="s">
        <v>91</v>
      </c>
      <c r="TLL222" s="40" t="s">
        <v>91</v>
      </c>
      <c r="TLM222" s="40" t="s">
        <v>91</v>
      </c>
      <c r="TLN222" s="40" t="s">
        <v>91</v>
      </c>
      <c r="TLO222" s="40" t="s">
        <v>91</v>
      </c>
      <c r="TLP222" s="40" t="s">
        <v>91</v>
      </c>
      <c r="TLQ222" s="40" t="s">
        <v>91</v>
      </c>
      <c r="TLR222" s="40" t="s">
        <v>91</v>
      </c>
      <c r="TLS222" s="40" t="s">
        <v>91</v>
      </c>
      <c r="TLT222" s="40" t="s">
        <v>91</v>
      </c>
      <c r="TLU222" s="40" t="s">
        <v>91</v>
      </c>
      <c r="TLV222" s="40" t="s">
        <v>91</v>
      </c>
      <c r="TLW222" s="40" t="s">
        <v>91</v>
      </c>
      <c r="TLX222" s="40" t="s">
        <v>91</v>
      </c>
      <c r="TLY222" s="40" t="s">
        <v>91</v>
      </c>
      <c r="TLZ222" s="40" t="s">
        <v>91</v>
      </c>
      <c r="TMA222" s="40" t="s">
        <v>91</v>
      </c>
      <c r="TMB222" s="40" t="s">
        <v>91</v>
      </c>
      <c r="TMC222" s="40" t="s">
        <v>91</v>
      </c>
      <c r="TMD222" s="40" t="s">
        <v>91</v>
      </c>
      <c r="TME222" s="40" t="s">
        <v>91</v>
      </c>
      <c r="TMF222" s="40" t="s">
        <v>91</v>
      </c>
      <c r="TMG222" s="40" t="s">
        <v>91</v>
      </c>
      <c r="TMH222" s="40" t="s">
        <v>91</v>
      </c>
      <c r="TMI222" s="40" t="s">
        <v>91</v>
      </c>
      <c r="TMJ222" s="40" t="s">
        <v>91</v>
      </c>
      <c r="TMK222" s="40" t="s">
        <v>91</v>
      </c>
      <c r="TML222" s="40" t="s">
        <v>91</v>
      </c>
      <c r="TMM222" s="40" t="s">
        <v>91</v>
      </c>
      <c r="TMN222" s="40" t="s">
        <v>91</v>
      </c>
      <c r="TMO222" s="40" t="s">
        <v>91</v>
      </c>
      <c r="TMP222" s="40" t="s">
        <v>91</v>
      </c>
      <c r="TMQ222" s="40" t="s">
        <v>91</v>
      </c>
      <c r="TMR222" s="40" t="s">
        <v>91</v>
      </c>
      <c r="TMS222" s="40" t="s">
        <v>91</v>
      </c>
      <c r="TMT222" s="40" t="s">
        <v>91</v>
      </c>
      <c r="TMU222" s="40" t="s">
        <v>91</v>
      </c>
      <c r="TMV222" s="40" t="s">
        <v>91</v>
      </c>
      <c r="TMW222" s="40" t="s">
        <v>91</v>
      </c>
      <c r="TMX222" s="40" t="s">
        <v>91</v>
      </c>
      <c r="TMY222" s="40" t="s">
        <v>91</v>
      </c>
      <c r="TMZ222" s="40" t="s">
        <v>91</v>
      </c>
      <c r="TNA222" s="40" t="s">
        <v>91</v>
      </c>
      <c r="TNB222" s="40" t="s">
        <v>91</v>
      </c>
      <c r="TNC222" s="40" t="s">
        <v>91</v>
      </c>
      <c r="TND222" s="40" t="s">
        <v>91</v>
      </c>
      <c r="TNE222" s="40" t="s">
        <v>91</v>
      </c>
      <c r="TNF222" s="40" t="s">
        <v>91</v>
      </c>
      <c r="TNG222" s="40" t="s">
        <v>91</v>
      </c>
      <c r="TNH222" s="40" t="s">
        <v>91</v>
      </c>
      <c r="TNI222" s="40" t="s">
        <v>91</v>
      </c>
      <c r="TNJ222" s="40" t="s">
        <v>91</v>
      </c>
      <c r="TNK222" s="40" t="s">
        <v>91</v>
      </c>
      <c r="TNL222" s="40" t="s">
        <v>91</v>
      </c>
      <c r="TNM222" s="40" t="s">
        <v>91</v>
      </c>
      <c r="TNN222" s="40" t="s">
        <v>91</v>
      </c>
      <c r="TNO222" s="40" t="s">
        <v>91</v>
      </c>
      <c r="TNP222" s="40" t="s">
        <v>91</v>
      </c>
      <c r="TNQ222" s="40" t="s">
        <v>91</v>
      </c>
      <c r="TNR222" s="40" t="s">
        <v>91</v>
      </c>
      <c r="TNS222" s="40" t="s">
        <v>91</v>
      </c>
      <c r="TNT222" s="40" t="s">
        <v>91</v>
      </c>
      <c r="TNU222" s="40" t="s">
        <v>91</v>
      </c>
      <c r="TNV222" s="40" t="s">
        <v>91</v>
      </c>
      <c r="TNW222" s="40" t="s">
        <v>91</v>
      </c>
      <c r="TNX222" s="40" t="s">
        <v>91</v>
      </c>
      <c r="TNY222" s="40" t="s">
        <v>91</v>
      </c>
      <c r="TNZ222" s="40" t="s">
        <v>91</v>
      </c>
      <c r="TOA222" s="40" t="s">
        <v>91</v>
      </c>
      <c r="TOB222" s="40" t="s">
        <v>91</v>
      </c>
      <c r="TOC222" s="40" t="s">
        <v>91</v>
      </c>
      <c r="TOD222" s="40" t="s">
        <v>91</v>
      </c>
      <c r="TOE222" s="40" t="s">
        <v>91</v>
      </c>
      <c r="TOF222" s="40" t="s">
        <v>91</v>
      </c>
      <c r="TOG222" s="40" t="s">
        <v>91</v>
      </c>
      <c r="TOH222" s="40" t="s">
        <v>91</v>
      </c>
      <c r="TOI222" s="40" t="s">
        <v>91</v>
      </c>
      <c r="TOJ222" s="40" t="s">
        <v>91</v>
      </c>
      <c r="TOK222" s="40" t="s">
        <v>91</v>
      </c>
      <c r="TOL222" s="40" t="s">
        <v>91</v>
      </c>
      <c r="TOM222" s="40" t="s">
        <v>91</v>
      </c>
      <c r="TON222" s="40" t="s">
        <v>91</v>
      </c>
      <c r="TOO222" s="40" t="s">
        <v>91</v>
      </c>
      <c r="TOP222" s="40" t="s">
        <v>91</v>
      </c>
      <c r="TOQ222" s="40" t="s">
        <v>91</v>
      </c>
      <c r="TOR222" s="40" t="s">
        <v>91</v>
      </c>
      <c r="TOS222" s="40" t="s">
        <v>91</v>
      </c>
      <c r="TOT222" s="40" t="s">
        <v>91</v>
      </c>
      <c r="TOU222" s="40" t="s">
        <v>91</v>
      </c>
      <c r="TOV222" s="40" t="s">
        <v>91</v>
      </c>
      <c r="TOW222" s="40" t="s">
        <v>91</v>
      </c>
      <c r="TOX222" s="40" t="s">
        <v>91</v>
      </c>
      <c r="TOY222" s="40" t="s">
        <v>91</v>
      </c>
      <c r="TOZ222" s="40" t="s">
        <v>91</v>
      </c>
      <c r="TPA222" s="40" t="s">
        <v>91</v>
      </c>
      <c r="TPB222" s="40" t="s">
        <v>91</v>
      </c>
      <c r="TPC222" s="40" t="s">
        <v>91</v>
      </c>
      <c r="TPD222" s="40" t="s">
        <v>91</v>
      </c>
      <c r="TPE222" s="40" t="s">
        <v>91</v>
      </c>
      <c r="TPF222" s="40" t="s">
        <v>91</v>
      </c>
      <c r="TPG222" s="40" t="s">
        <v>91</v>
      </c>
      <c r="TPH222" s="40" t="s">
        <v>91</v>
      </c>
      <c r="TPI222" s="40" t="s">
        <v>91</v>
      </c>
      <c r="TPJ222" s="40" t="s">
        <v>91</v>
      </c>
      <c r="TPK222" s="40" t="s">
        <v>91</v>
      </c>
      <c r="TPL222" s="40" t="s">
        <v>91</v>
      </c>
      <c r="TPM222" s="40" t="s">
        <v>91</v>
      </c>
      <c r="TPN222" s="40" t="s">
        <v>91</v>
      </c>
      <c r="TPO222" s="40" t="s">
        <v>91</v>
      </c>
      <c r="TPP222" s="40" t="s">
        <v>91</v>
      </c>
      <c r="TPQ222" s="40" t="s">
        <v>91</v>
      </c>
      <c r="TPR222" s="40" t="s">
        <v>91</v>
      </c>
      <c r="TPS222" s="40" t="s">
        <v>91</v>
      </c>
      <c r="TPT222" s="40" t="s">
        <v>91</v>
      </c>
      <c r="TPU222" s="40" t="s">
        <v>91</v>
      </c>
      <c r="TPV222" s="40" t="s">
        <v>91</v>
      </c>
      <c r="TPW222" s="40" t="s">
        <v>91</v>
      </c>
      <c r="TPX222" s="40" t="s">
        <v>91</v>
      </c>
      <c r="TPY222" s="40" t="s">
        <v>91</v>
      </c>
      <c r="TPZ222" s="40" t="s">
        <v>91</v>
      </c>
      <c r="TQA222" s="40" t="s">
        <v>91</v>
      </c>
      <c r="TQB222" s="40" t="s">
        <v>91</v>
      </c>
      <c r="TQC222" s="40" t="s">
        <v>91</v>
      </c>
      <c r="TQD222" s="40" t="s">
        <v>91</v>
      </c>
      <c r="TQE222" s="40" t="s">
        <v>91</v>
      </c>
      <c r="TQF222" s="40" t="s">
        <v>91</v>
      </c>
      <c r="TQG222" s="40" t="s">
        <v>91</v>
      </c>
      <c r="TQH222" s="40" t="s">
        <v>91</v>
      </c>
      <c r="TQI222" s="40" t="s">
        <v>91</v>
      </c>
      <c r="TQJ222" s="40" t="s">
        <v>91</v>
      </c>
      <c r="TQK222" s="40" t="s">
        <v>91</v>
      </c>
      <c r="TQL222" s="40" t="s">
        <v>91</v>
      </c>
      <c r="TQM222" s="40" t="s">
        <v>91</v>
      </c>
      <c r="TQN222" s="40" t="s">
        <v>91</v>
      </c>
      <c r="TQO222" s="40" t="s">
        <v>91</v>
      </c>
      <c r="TQP222" s="40" t="s">
        <v>91</v>
      </c>
      <c r="TQQ222" s="40" t="s">
        <v>91</v>
      </c>
      <c r="TQR222" s="40" t="s">
        <v>91</v>
      </c>
      <c r="TQS222" s="40" t="s">
        <v>91</v>
      </c>
      <c r="TQT222" s="40" t="s">
        <v>91</v>
      </c>
      <c r="TQU222" s="40" t="s">
        <v>91</v>
      </c>
      <c r="TQV222" s="40" t="s">
        <v>91</v>
      </c>
      <c r="TQW222" s="40" t="s">
        <v>91</v>
      </c>
      <c r="TQX222" s="40" t="s">
        <v>91</v>
      </c>
      <c r="TQY222" s="40" t="s">
        <v>91</v>
      </c>
      <c r="TQZ222" s="40" t="s">
        <v>91</v>
      </c>
      <c r="TRA222" s="40" t="s">
        <v>91</v>
      </c>
      <c r="TRB222" s="40" t="s">
        <v>91</v>
      </c>
      <c r="TRC222" s="40" t="s">
        <v>91</v>
      </c>
      <c r="TRD222" s="40" t="s">
        <v>91</v>
      </c>
      <c r="TRE222" s="40" t="s">
        <v>91</v>
      </c>
      <c r="TRF222" s="40" t="s">
        <v>91</v>
      </c>
      <c r="TRG222" s="40" t="s">
        <v>91</v>
      </c>
      <c r="TRH222" s="40" t="s">
        <v>91</v>
      </c>
      <c r="TRI222" s="40" t="s">
        <v>91</v>
      </c>
      <c r="TRJ222" s="40" t="s">
        <v>91</v>
      </c>
      <c r="TRK222" s="40" t="s">
        <v>91</v>
      </c>
      <c r="TRL222" s="40" t="s">
        <v>91</v>
      </c>
      <c r="TRM222" s="40" t="s">
        <v>91</v>
      </c>
      <c r="TRN222" s="40" t="s">
        <v>91</v>
      </c>
      <c r="TRO222" s="40" t="s">
        <v>91</v>
      </c>
      <c r="TRP222" s="40" t="s">
        <v>91</v>
      </c>
      <c r="TRQ222" s="40" t="s">
        <v>91</v>
      </c>
      <c r="TRR222" s="40" t="s">
        <v>91</v>
      </c>
      <c r="TRS222" s="40" t="s">
        <v>91</v>
      </c>
      <c r="TRT222" s="40" t="s">
        <v>91</v>
      </c>
      <c r="TRU222" s="40" t="s">
        <v>91</v>
      </c>
      <c r="TRV222" s="40" t="s">
        <v>91</v>
      </c>
      <c r="TRW222" s="40" t="s">
        <v>91</v>
      </c>
      <c r="TRX222" s="40" t="s">
        <v>91</v>
      </c>
      <c r="TRY222" s="40" t="s">
        <v>91</v>
      </c>
      <c r="TRZ222" s="40" t="s">
        <v>91</v>
      </c>
      <c r="TSA222" s="40" t="s">
        <v>91</v>
      </c>
      <c r="TSB222" s="40" t="s">
        <v>91</v>
      </c>
      <c r="TSC222" s="40" t="s">
        <v>91</v>
      </c>
      <c r="TSD222" s="40" t="s">
        <v>91</v>
      </c>
      <c r="TSE222" s="40" t="s">
        <v>91</v>
      </c>
      <c r="TSF222" s="40" t="s">
        <v>91</v>
      </c>
      <c r="TSG222" s="40" t="s">
        <v>91</v>
      </c>
      <c r="TSH222" s="40" t="s">
        <v>91</v>
      </c>
      <c r="TSI222" s="40" t="s">
        <v>91</v>
      </c>
      <c r="TSJ222" s="40" t="s">
        <v>91</v>
      </c>
      <c r="TSK222" s="40" t="s">
        <v>91</v>
      </c>
      <c r="TSL222" s="40" t="s">
        <v>91</v>
      </c>
      <c r="TSM222" s="40" t="s">
        <v>91</v>
      </c>
      <c r="TSN222" s="40" t="s">
        <v>91</v>
      </c>
      <c r="TSO222" s="40" t="s">
        <v>91</v>
      </c>
      <c r="TSP222" s="40" t="s">
        <v>91</v>
      </c>
      <c r="TSQ222" s="40" t="s">
        <v>91</v>
      </c>
      <c r="TSR222" s="40" t="s">
        <v>91</v>
      </c>
      <c r="TSS222" s="40" t="s">
        <v>91</v>
      </c>
      <c r="TST222" s="40" t="s">
        <v>91</v>
      </c>
      <c r="TSU222" s="40" t="s">
        <v>91</v>
      </c>
      <c r="TSV222" s="40" t="s">
        <v>91</v>
      </c>
      <c r="TSW222" s="40" t="s">
        <v>91</v>
      </c>
      <c r="TSX222" s="40" t="s">
        <v>91</v>
      </c>
      <c r="TSY222" s="40" t="s">
        <v>91</v>
      </c>
      <c r="TSZ222" s="40" t="s">
        <v>91</v>
      </c>
      <c r="TTA222" s="40" t="s">
        <v>91</v>
      </c>
      <c r="TTB222" s="40" t="s">
        <v>91</v>
      </c>
      <c r="TTC222" s="40" t="s">
        <v>91</v>
      </c>
      <c r="TTD222" s="40" t="s">
        <v>91</v>
      </c>
      <c r="TTE222" s="40" t="s">
        <v>91</v>
      </c>
      <c r="TTF222" s="40" t="s">
        <v>91</v>
      </c>
      <c r="TTG222" s="40" t="s">
        <v>91</v>
      </c>
      <c r="TTH222" s="40" t="s">
        <v>91</v>
      </c>
      <c r="TTI222" s="40" t="s">
        <v>91</v>
      </c>
      <c r="TTJ222" s="40" t="s">
        <v>91</v>
      </c>
      <c r="TTK222" s="40" t="s">
        <v>91</v>
      </c>
      <c r="TTL222" s="40" t="s">
        <v>91</v>
      </c>
      <c r="TTM222" s="40" t="s">
        <v>91</v>
      </c>
      <c r="TTN222" s="40" t="s">
        <v>91</v>
      </c>
      <c r="TTO222" s="40" t="s">
        <v>91</v>
      </c>
      <c r="TTP222" s="40" t="s">
        <v>91</v>
      </c>
      <c r="TTQ222" s="40" t="s">
        <v>91</v>
      </c>
      <c r="TTR222" s="40" t="s">
        <v>91</v>
      </c>
      <c r="TTS222" s="40" t="s">
        <v>91</v>
      </c>
      <c r="TTT222" s="40" t="s">
        <v>91</v>
      </c>
      <c r="TTU222" s="40" t="s">
        <v>91</v>
      </c>
      <c r="TTV222" s="40" t="s">
        <v>91</v>
      </c>
      <c r="TTW222" s="40" t="s">
        <v>91</v>
      </c>
      <c r="TTX222" s="40" t="s">
        <v>91</v>
      </c>
      <c r="TTY222" s="40" t="s">
        <v>91</v>
      </c>
      <c r="TTZ222" s="40" t="s">
        <v>91</v>
      </c>
      <c r="TUA222" s="40" t="s">
        <v>91</v>
      </c>
      <c r="TUB222" s="40" t="s">
        <v>91</v>
      </c>
      <c r="TUC222" s="40" t="s">
        <v>91</v>
      </c>
      <c r="TUD222" s="40" t="s">
        <v>91</v>
      </c>
      <c r="TUE222" s="40" t="s">
        <v>91</v>
      </c>
      <c r="TUF222" s="40" t="s">
        <v>91</v>
      </c>
      <c r="TUG222" s="40" t="s">
        <v>91</v>
      </c>
      <c r="TUH222" s="40" t="s">
        <v>91</v>
      </c>
      <c r="TUI222" s="40" t="s">
        <v>91</v>
      </c>
      <c r="TUJ222" s="40" t="s">
        <v>91</v>
      </c>
      <c r="TUK222" s="40" t="s">
        <v>91</v>
      </c>
      <c r="TUL222" s="40" t="s">
        <v>91</v>
      </c>
      <c r="TUM222" s="40" t="s">
        <v>91</v>
      </c>
      <c r="TUN222" s="40" t="s">
        <v>91</v>
      </c>
      <c r="TUO222" s="40" t="s">
        <v>91</v>
      </c>
      <c r="TUP222" s="40" t="s">
        <v>91</v>
      </c>
      <c r="TUQ222" s="40" t="s">
        <v>91</v>
      </c>
      <c r="TUR222" s="40" t="s">
        <v>91</v>
      </c>
      <c r="TUS222" s="40" t="s">
        <v>91</v>
      </c>
      <c r="TUT222" s="40" t="s">
        <v>91</v>
      </c>
      <c r="TUU222" s="40" t="s">
        <v>91</v>
      </c>
      <c r="TUV222" s="40" t="s">
        <v>91</v>
      </c>
      <c r="TUW222" s="40" t="s">
        <v>91</v>
      </c>
      <c r="TUX222" s="40" t="s">
        <v>91</v>
      </c>
      <c r="TUY222" s="40" t="s">
        <v>91</v>
      </c>
      <c r="TUZ222" s="40" t="s">
        <v>91</v>
      </c>
      <c r="TVA222" s="40" t="s">
        <v>91</v>
      </c>
      <c r="TVB222" s="40" t="s">
        <v>91</v>
      </c>
      <c r="TVC222" s="40" t="s">
        <v>91</v>
      </c>
      <c r="TVD222" s="40" t="s">
        <v>91</v>
      </c>
      <c r="TVE222" s="40" t="s">
        <v>91</v>
      </c>
      <c r="TVF222" s="40" t="s">
        <v>91</v>
      </c>
      <c r="TVG222" s="40" t="s">
        <v>91</v>
      </c>
      <c r="TVH222" s="40" t="s">
        <v>91</v>
      </c>
      <c r="TVI222" s="40" t="s">
        <v>91</v>
      </c>
      <c r="TVJ222" s="40" t="s">
        <v>91</v>
      </c>
      <c r="TVK222" s="40" t="s">
        <v>91</v>
      </c>
      <c r="TVL222" s="40" t="s">
        <v>91</v>
      </c>
      <c r="TVM222" s="40" t="s">
        <v>91</v>
      </c>
      <c r="TVN222" s="40" t="s">
        <v>91</v>
      </c>
      <c r="TVO222" s="40" t="s">
        <v>91</v>
      </c>
      <c r="TVP222" s="40" t="s">
        <v>91</v>
      </c>
      <c r="TVQ222" s="40" t="s">
        <v>91</v>
      </c>
      <c r="TVR222" s="40" t="s">
        <v>91</v>
      </c>
      <c r="TVS222" s="40" t="s">
        <v>91</v>
      </c>
      <c r="TVT222" s="40" t="s">
        <v>91</v>
      </c>
      <c r="TVU222" s="40" t="s">
        <v>91</v>
      </c>
      <c r="TVV222" s="40" t="s">
        <v>91</v>
      </c>
      <c r="TVW222" s="40" t="s">
        <v>91</v>
      </c>
      <c r="TVX222" s="40" t="s">
        <v>91</v>
      </c>
      <c r="TVY222" s="40" t="s">
        <v>91</v>
      </c>
      <c r="TVZ222" s="40" t="s">
        <v>91</v>
      </c>
      <c r="TWA222" s="40" t="s">
        <v>91</v>
      </c>
      <c r="TWB222" s="40" t="s">
        <v>91</v>
      </c>
      <c r="TWC222" s="40" t="s">
        <v>91</v>
      </c>
      <c r="TWD222" s="40" t="s">
        <v>91</v>
      </c>
      <c r="TWE222" s="40" t="s">
        <v>91</v>
      </c>
      <c r="TWF222" s="40" t="s">
        <v>91</v>
      </c>
      <c r="TWG222" s="40" t="s">
        <v>91</v>
      </c>
      <c r="TWH222" s="40" t="s">
        <v>91</v>
      </c>
      <c r="TWI222" s="40" t="s">
        <v>91</v>
      </c>
      <c r="TWJ222" s="40" t="s">
        <v>91</v>
      </c>
      <c r="TWK222" s="40" t="s">
        <v>91</v>
      </c>
      <c r="TWL222" s="40" t="s">
        <v>91</v>
      </c>
      <c r="TWM222" s="40" t="s">
        <v>91</v>
      </c>
      <c r="TWN222" s="40" t="s">
        <v>91</v>
      </c>
      <c r="TWO222" s="40" t="s">
        <v>91</v>
      </c>
      <c r="TWP222" s="40" t="s">
        <v>91</v>
      </c>
      <c r="TWQ222" s="40" t="s">
        <v>91</v>
      </c>
      <c r="TWR222" s="40" t="s">
        <v>91</v>
      </c>
      <c r="TWS222" s="40" t="s">
        <v>91</v>
      </c>
      <c r="TWT222" s="40" t="s">
        <v>91</v>
      </c>
      <c r="TWU222" s="40" t="s">
        <v>91</v>
      </c>
      <c r="TWV222" s="40" t="s">
        <v>91</v>
      </c>
      <c r="TWW222" s="40" t="s">
        <v>91</v>
      </c>
      <c r="TWX222" s="40" t="s">
        <v>91</v>
      </c>
      <c r="TWY222" s="40" t="s">
        <v>91</v>
      </c>
      <c r="TWZ222" s="40" t="s">
        <v>91</v>
      </c>
      <c r="TXA222" s="40" t="s">
        <v>91</v>
      </c>
      <c r="TXB222" s="40" t="s">
        <v>91</v>
      </c>
      <c r="TXC222" s="40" t="s">
        <v>91</v>
      </c>
      <c r="TXD222" s="40" t="s">
        <v>91</v>
      </c>
      <c r="TXE222" s="40" t="s">
        <v>91</v>
      </c>
      <c r="TXF222" s="40" t="s">
        <v>91</v>
      </c>
      <c r="TXG222" s="40" t="s">
        <v>91</v>
      </c>
      <c r="TXH222" s="40" t="s">
        <v>91</v>
      </c>
      <c r="TXI222" s="40" t="s">
        <v>91</v>
      </c>
      <c r="TXJ222" s="40" t="s">
        <v>91</v>
      </c>
      <c r="TXK222" s="40" t="s">
        <v>91</v>
      </c>
      <c r="TXL222" s="40" t="s">
        <v>91</v>
      </c>
      <c r="TXM222" s="40" t="s">
        <v>91</v>
      </c>
      <c r="TXN222" s="40" t="s">
        <v>91</v>
      </c>
      <c r="TXO222" s="40" t="s">
        <v>91</v>
      </c>
      <c r="TXP222" s="40" t="s">
        <v>91</v>
      </c>
      <c r="TXQ222" s="40" t="s">
        <v>91</v>
      </c>
      <c r="TXR222" s="40" t="s">
        <v>91</v>
      </c>
      <c r="TXS222" s="40" t="s">
        <v>91</v>
      </c>
      <c r="TXT222" s="40" t="s">
        <v>91</v>
      </c>
      <c r="TXU222" s="40" t="s">
        <v>91</v>
      </c>
      <c r="TXV222" s="40" t="s">
        <v>91</v>
      </c>
      <c r="TXW222" s="40" t="s">
        <v>91</v>
      </c>
      <c r="TXX222" s="40" t="s">
        <v>91</v>
      </c>
      <c r="TXY222" s="40" t="s">
        <v>91</v>
      </c>
      <c r="TXZ222" s="40" t="s">
        <v>91</v>
      </c>
      <c r="TYA222" s="40" t="s">
        <v>91</v>
      </c>
      <c r="TYB222" s="40" t="s">
        <v>91</v>
      </c>
      <c r="TYC222" s="40" t="s">
        <v>91</v>
      </c>
      <c r="TYD222" s="40" t="s">
        <v>91</v>
      </c>
      <c r="TYE222" s="40" t="s">
        <v>91</v>
      </c>
      <c r="TYF222" s="40" t="s">
        <v>91</v>
      </c>
      <c r="TYG222" s="40" t="s">
        <v>91</v>
      </c>
      <c r="TYH222" s="40" t="s">
        <v>91</v>
      </c>
      <c r="TYI222" s="40" t="s">
        <v>91</v>
      </c>
      <c r="TYJ222" s="40" t="s">
        <v>91</v>
      </c>
      <c r="TYK222" s="40" t="s">
        <v>91</v>
      </c>
      <c r="TYL222" s="40" t="s">
        <v>91</v>
      </c>
      <c r="TYM222" s="40" t="s">
        <v>91</v>
      </c>
      <c r="TYN222" s="40" t="s">
        <v>91</v>
      </c>
      <c r="TYO222" s="40" t="s">
        <v>91</v>
      </c>
      <c r="TYP222" s="40" t="s">
        <v>91</v>
      </c>
      <c r="TYQ222" s="40" t="s">
        <v>91</v>
      </c>
      <c r="TYR222" s="40" t="s">
        <v>91</v>
      </c>
      <c r="TYS222" s="40" t="s">
        <v>91</v>
      </c>
      <c r="TYT222" s="40" t="s">
        <v>91</v>
      </c>
      <c r="TYU222" s="40" t="s">
        <v>91</v>
      </c>
      <c r="TYV222" s="40" t="s">
        <v>91</v>
      </c>
      <c r="TYW222" s="40" t="s">
        <v>91</v>
      </c>
      <c r="TYX222" s="40" t="s">
        <v>91</v>
      </c>
      <c r="TYY222" s="40" t="s">
        <v>91</v>
      </c>
      <c r="TYZ222" s="40" t="s">
        <v>91</v>
      </c>
      <c r="TZA222" s="40" t="s">
        <v>91</v>
      </c>
      <c r="TZB222" s="40" t="s">
        <v>91</v>
      </c>
      <c r="TZC222" s="40" t="s">
        <v>91</v>
      </c>
      <c r="TZD222" s="40" t="s">
        <v>91</v>
      </c>
      <c r="TZE222" s="40" t="s">
        <v>91</v>
      </c>
      <c r="TZF222" s="40" t="s">
        <v>91</v>
      </c>
      <c r="TZG222" s="40" t="s">
        <v>91</v>
      </c>
      <c r="TZH222" s="40" t="s">
        <v>91</v>
      </c>
      <c r="TZI222" s="40" t="s">
        <v>91</v>
      </c>
      <c r="TZJ222" s="40" t="s">
        <v>91</v>
      </c>
      <c r="TZK222" s="40" t="s">
        <v>91</v>
      </c>
      <c r="TZL222" s="40" t="s">
        <v>91</v>
      </c>
      <c r="TZM222" s="40" t="s">
        <v>91</v>
      </c>
      <c r="TZN222" s="40" t="s">
        <v>91</v>
      </c>
      <c r="TZO222" s="40" t="s">
        <v>91</v>
      </c>
      <c r="TZP222" s="40" t="s">
        <v>91</v>
      </c>
      <c r="TZQ222" s="40" t="s">
        <v>91</v>
      </c>
      <c r="TZR222" s="40" t="s">
        <v>91</v>
      </c>
      <c r="TZS222" s="40" t="s">
        <v>91</v>
      </c>
      <c r="TZT222" s="40" t="s">
        <v>91</v>
      </c>
      <c r="TZU222" s="40" t="s">
        <v>91</v>
      </c>
      <c r="TZV222" s="40" t="s">
        <v>91</v>
      </c>
      <c r="TZW222" s="40" t="s">
        <v>91</v>
      </c>
      <c r="TZX222" s="40" t="s">
        <v>91</v>
      </c>
      <c r="TZY222" s="40" t="s">
        <v>91</v>
      </c>
      <c r="TZZ222" s="40" t="s">
        <v>91</v>
      </c>
      <c r="UAA222" s="40" t="s">
        <v>91</v>
      </c>
      <c r="UAB222" s="40" t="s">
        <v>91</v>
      </c>
      <c r="UAC222" s="40" t="s">
        <v>91</v>
      </c>
      <c r="UAD222" s="40" t="s">
        <v>91</v>
      </c>
      <c r="UAE222" s="40" t="s">
        <v>91</v>
      </c>
      <c r="UAF222" s="40" t="s">
        <v>91</v>
      </c>
      <c r="UAG222" s="40" t="s">
        <v>91</v>
      </c>
      <c r="UAH222" s="40" t="s">
        <v>91</v>
      </c>
      <c r="UAI222" s="40" t="s">
        <v>91</v>
      </c>
      <c r="UAJ222" s="40" t="s">
        <v>91</v>
      </c>
      <c r="UAK222" s="40" t="s">
        <v>91</v>
      </c>
      <c r="UAL222" s="40" t="s">
        <v>91</v>
      </c>
      <c r="UAM222" s="40" t="s">
        <v>91</v>
      </c>
      <c r="UAN222" s="40" t="s">
        <v>91</v>
      </c>
      <c r="UAO222" s="40" t="s">
        <v>91</v>
      </c>
      <c r="UAP222" s="40" t="s">
        <v>91</v>
      </c>
      <c r="UAQ222" s="40" t="s">
        <v>91</v>
      </c>
      <c r="UAR222" s="40" t="s">
        <v>91</v>
      </c>
      <c r="UAS222" s="40" t="s">
        <v>91</v>
      </c>
      <c r="UAT222" s="40" t="s">
        <v>91</v>
      </c>
      <c r="UAU222" s="40" t="s">
        <v>91</v>
      </c>
      <c r="UAV222" s="40" t="s">
        <v>91</v>
      </c>
      <c r="UAW222" s="40" t="s">
        <v>91</v>
      </c>
      <c r="UAX222" s="40" t="s">
        <v>91</v>
      </c>
      <c r="UAY222" s="40" t="s">
        <v>91</v>
      </c>
      <c r="UAZ222" s="40" t="s">
        <v>91</v>
      </c>
      <c r="UBA222" s="40" t="s">
        <v>91</v>
      </c>
      <c r="UBB222" s="40" t="s">
        <v>91</v>
      </c>
      <c r="UBC222" s="40" t="s">
        <v>91</v>
      </c>
      <c r="UBD222" s="40" t="s">
        <v>91</v>
      </c>
      <c r="UBE222" s="40" t="s">
        <v>91</v>
      </c>
      <c r="UBF222" s="40" t="s">
        <v>91</v>
      </c>
      <c r="UBG222" s="40" t="s">
        <v>91</v>
      </c>
      <c r="UBH222" s="40" t="s">
        <v>91</v>
      </c>
      <c r="UBI222" s="40" t="s">
        <v>91</v>
      </c>
      <c r="UBJ222" s="40" t="s">
        <v>91</v>
      </c>
      <c r="UBK222" s="40" t="s">
        <v>91</v>
      </c>
      <c r="UBL222" s="40" t="s">
        <v>91</v>
      </c>
      <c r="UBM222" s="40" t="s">
        <v>91</v>
      </c>
      <c r="UBN222" s="40" t="s">
        <v>91</v>
      </c>
      <c r="UBO222" s="40" t="s">
        <v>91</v>
      </c>
      <c r="UBP222" s="40" t="s">
        <v>91</v>
      </c>
      <c r="UBQ222" s="40" t="s">
        <v>91</v>
      </c>
      <c r="UBR222" s="40" t="s">
        <v>91</v>
      </c>
      <c r="UBS222" s="40" t="s">
        <v>91</v>
      </c>
      <c r="UBT222" s="40" t="s">
        <v>91</v>
      </c>
      <c r="UBU222" s="40" t="s">
        <v>91</v>
      </c>
      <c r="UBV222" s="40" t="s">
        <v>91</v>
      </c>
      <c r="UBW222" s="40" t="s">
        <v>91</v>
      </c>
      <c r="UBX222" s="40" t="s">
        <v>91</v>
      </c>
      <c r="UBY222" s="40" t="s">
        <v>91</v>
      </c>
      <c r="UBZ222" s="40" t="s">
        <v>91</v>
      </c>
      <c r="UCA222" s="40" t="s">
        <v>91</v>
      </c>
      <c r="UCB222" s="40" t="s">
        <v>91</v>
      </c>
      <c r="UCC222" s="40" t="s">
        <v>91</v>
      </c>
      <c r="UCD222" s="40" t="s">
        <v>91</v>
      </c>
      <c r="UCE222" s="40" t="s">
        <v>91</v>
      </c>
      <c r="UCF222" s="40" t="s">
        <v>91</v>
      </c>
      <c r="UCG222" s="40" t="s">
        <v>91</v>
      </c>
      <c r="UCH222" s="40" t="s">
        <v>91</v>
      </c>
      <c r="UCI222" s="40" t="s">
        <v>91</v>
      </c>
      <c r="UCJ222" s="40" t="s">
        <v>91</v>
      </c>
      <c r="UCK222" s="40" t="s">
        <v>91</v>
      </c>
      <c r="UCL222" s="40" t="s">
        <v>91</v>
      </c>
      <c r="UCM222" s="40" t="s">
        <v>91</v>
      </c>
      <c r="UCN222" s="40" t="s">
        <v>91</v>
      </c>
      <c r="UCO222" s="40" t="s">
        <v>91</v>
      </c>
      <c r="UCP222" s="40" t="s">
        <v>91</v>
      </c>
      <c r="UCQ222" s="40" t="s">
        <v>91</v>
      </c>
      <c r="UCR222" s="40" t="s">
        <v>91</v>
      </c>
      <c r="UCS222" s="40" t="s">
        <v>91</v>
      </c>
      <c r="UCT222" s="40" t="s">
        <v>91</v>
      </c>
      <c r="UCU222" s="40" t="s">
        <v>91</v>
      </c>
      <c r="UCV222" s="40" t="s">
        <v>91</v>
      </c>
      <c r="UCW222" s="40" t="s">
        <v>91</v>
      </c>
      <c r="UCX222" s="40" t="s">
        <v>91</v>
      </c>
      <c r="UCY222" s="40" t="s">
        <v>91</v>
      </c>
      <c r="UCZ222" s="40" t="s">
        <v>91</v>
      </c>
      <c r="UDA222" s="40" t="s">
        <v>91</v>
      </c>
      <c r="UDB222" s="40" t="s">
        <v>91</v>
      </c>
      <c r="UDC222" s="40" t="s">
        <v>91</v>
      </c>
      <c r="UDD222" s="40" t="s">
        <v>91</v>
      </c>
      <c r="UDE222" s="40" t="s">
        <v>91</v>
      </c>
      <c r="UDF222" s="40" t="s">
        <v>91</v>
      </c>
      <c r="UDG222" s="40" t="s">
        <v>91</v>
      </c>
      <c r="UDH222" s="40" t="s">
        <v>91</v>
      </c>
      <c r="UDI222" s="40" t="s">
        <v>91</v>
      </c>
      <c r="UDJ222" s="40" t="s">
        <v>91</v>
      </c>
      <c r="UDK222" s="40" t="s">
        <v>91</v>
      </c>
      <c r="UDL222" s="40" t="s">
        <v>91</v>
      </c>
      <c r="UDM222" s="40" t="s">
        <v>91</v>
      </c>
      <c r="UDN222" s="40" t="s">
        <v>91</v>
      </c>
      <c r="UDO222" s="40" t="s">
        <v>91</v>
      </c>
      <c r="UDP222" s="40" t="s">
        <v>91</v>
      </c>
      <c r="UDQ222" s="40" t="s">
        <v>91</v>
      </c>
      <c r="UDR222" s="40" t="s">
        <v>91</v>
      </c>
      <c r="UDS222" s="40" t="s">
        <v>91</v>
      </c>
      <c r="UDT222" s="40" t="s">
        <v>91</v>
      </c>
      <c r="UDU222" s="40" t="s">
        <v>91</v>
      </c>
      <c r="UDV222" s="40" t="s">
        <v>91</v>
      </c>
      <c r="UDW222" s="40" t="s">
        <v>91</v>
      </c>
      <c r="UDX222" s="40" t="s">
        <v>91</v>
      </c>
      <c r="UDY222" s="40" t="s">
        <v>91</v>
      </c>
      <c r="UDZ222" s="40" t="s">
        <v>91</v>
      </c>
      <c r="UEA222" s="40" t="s">
        <v>91</v>
      </c>
      <c r="UEB222" s="40" t="s">
        <v>91</v>
      </c>
      <c r="UEC222" s="40" t="s">
        <v>91</v>
      </c>
      <c r="UED222" s="40" t="s">
        <v>91</v>
      </c>
      <c r="UEE222" s="40" t="s">
        <v>91</v>
      </c>
      <c r="UEF222" s="40" t="s">
        <v>91</v>
      </c>
      <c r="UEG222" s="40" t="s">
        <v>91</v>
      </c>
      <c r="UEH222" s="40" t="s">
        <v>91</v>
      </c>
      <c r="UEI222" s="40" t="s">
        <v>91</v>
      </c>
      <c r="UEJ222" s="40" t="s">
        <v>91</v>
      </c>
      <c r="UEK222" s="40" t="s">
        <v>91</v>
      </c>
      <c r="UEL222" s="40" t="s">
        <v>91</v>
      </c>
      <c r="UEM222" s="40" t="s">
        <v>91</v>
      </c>
      <c r="UEN222" s="40" t="s">
        <v>91</v>
      </c>
      <c r="UEO222" s="40" t="s">
        <v>91</v>
      </c>
      <c r="UEP222" s="40" t="s">
        <v>91</v>
      </c>
      <c r="UEQ222" s="40" t="s">
        <v>91</v>
      </c>
      <c r="UER222" s="40" t="s">
        <v>91</v>
      </c>
      <c r="UES222" s="40" t="s">
        <v>91</v>
      </c>
      <c r="UET222" s="40" t="s">
        <v>91</v>
      </c>
      <c r="UEU222" s="40" t="s">
        <v>91</v>
      </c>
      <c r="UEV222" s="40" t="s">
        <v>91</v>
      </c>
      <c r="UEW222" s="40" t="s">
        <v>91</v>
      </c>
      <c r="UEX222" s="40" t="s">
        <v>91</v>
      </c>
      <c r="UEY222" s="40" t="s">
        <v>91</v>
      </c>
      <c r="UEZ222" s="40" t="s">
        <v>91</v>
      </c>
      <c r="UFA222" s="40" t="s">
        <v>91</v>
      </c>
      <c r="UFB222" s="40" t="s">
        <v>91</v>
      </c>
      <c r="UFC222" s="40" t="s">
        <v>91</v>
      </c>
      <c r="UFD222" s="40" t="s">
        <v>91</v>
      </c>
      <c r="UFE222" s="40" t="s">
        <v>91</v>
      </c>
      <c r="UFF222" s="40" t="s">
        <v>91</v>
      </c>
      <c r="UFG222" s="40" t="s">
        <v>91</v>
      </c>
      <c r="UFH222" s="40" t="s">
        <v>91</v>
      </c>
      <c r="UFI222" s="40" t="s">
        <v>91</v>
      </c>
      <c r="UFJ222" s="40" t="s">
        <v>91</v>
      </c>
      <c r="UFK222" s="40" t="s">
        <v>91</v>
      </c>
      <c r="UFL222" s="40" t="s">
        <v>91</v>
      </c>
      <c r="UFM222" s="40" t="s">
        <v>91</v>
      </c>
      <c r="UFN222" s="40" t="s">
        <v>91</v>
      </c>
      <c r="UFO222" s="40" t="s">
        <v>91</v>
      </c>
      <c r="UFP222" s="40" t="s">
        <v>91</v>
      </c>
      <c r="UFQ222" s="40" t="s">
        <v>91</v>
      </c>
      <c r="UFR222" s="40" t="s">
        <v>91</v>
      </c>
      <c r="UFS222" s="40" t="s">
        <v>91</v>
      </c>
      <c r="UFT222" s="40" t="s">
        <v>91</v>
      </c>
      <c r="UFU222" s="40" t="s">
        <v>91</v>
      </c>
      <c r="UFV222" s="40" t="s">
        <v>91</v>
      </c>
      <c r="UFW222" s="40" t="s">
        <v>91</v>
      </c>
      <c r="UFX222" s="40" t="s">
        <v>91</v>
      </c>
      <c r="UFY222" s="40" t="s">
        <v>91</v>
      </c>
      <c r="UFZ222" s="40" t="s">
        <v>91</v>
      </c>
      <c r="UGA222" s="40" t="s">
        <v>91</v>
      </c>
      <c r="UGB222" s="40" t="s">
        <v>91</v>
      </c>
      <c r="UGC222" s="40" t="s">
        <v>91</v>
      </c>
      <c r="UGD222" s="40" t="s">
        <v>91</v>
      </c>
      <c r="UGE222" s="40" t="s">
        <v>91</v>
      </c>
      <c r="UGF222" s="40" t="s">
        <v>91</v>
      </c>
      <c r="UGG222" s="40" t="s">
        <v>91</v>
      </c>
      <c r="UGH222" s="40" t="s">
        <v>91</v>
      </c>
      <c r="UGI222" s="40" t="s">
        <v>91</v>
      </c>
      <c r="UGJ222" s="40" t="s">
        <v>91</v>
      </c>
      <c r="UGK222" s="40" t="s">
        <v>91</v>
      </c>
      <c r="UGL222" s="40" t="s">
        <v>91</v>
      </c>
      <c r="UGM222" s="40" t="s">
        <v>91</v>
      </c>
      <c r="UGN222" s="40" t="s">
        <v>91</v>
      </c>
      <c r="UGO222" s="40" t="s">
        <v>91</v>
      </c>
      <c r="UGP222" s="40" t="s">
        <v>91</v>
      </c>
      <c r="UGQ222" s="40" t="s">
        <v>91</v>
      </c>
      <c r="UGR222" s="40" t="s">
        <v>91</v>
      </c>
      <c r="UGS222" s="40" t="s">
        <v>91</v>
      </c>
      <c r="UGT222" s="40" t="s">
        <v>91</v>
      </c>
      <c r="UGU222" s="40" t="s">
        <v>91</v>
      </c>
      <c r="UGV222" s="40" t="s">
        <v>91</v>
      </c>
      <c r="UGW222" s="40" t="s">
        <v>91</v>
      </c>
      <c r="UGX222" s="40" t="s">
        <v>91</v>
      </c>
      <c r="UGY222" s="40" t="s">
        <v>91</v>
      </c>
      <c r="UGZ222" s="40" t="s">
        <v>91</v>
      </c>
      <c r="UHA222" s="40" t="s">
        <v>91</v>
      </c>
      <c r="UHB222" s="40" t="s">
        <v>91</v>
      </c>
      <c r="UHC222" s="40" t="s">
        <v>91</v>
      </c>
      <c r="UHD222" s="40" t="s">
        <v>91</v>
      </c>
      <c r="UHE222" s="40" t="s">
        <v>91</v>
      </c>
      <c r="UHF222" s="40" t="s">
        <v>91</v>
      </c>
      <c r="UHG222" s="40" t="s">
        <v>91</v>
      </c>
      <c r="UHH222" s="40" t="s">
        <v>91</v>
      </c>
      <c r="UHI222" s="40" t="s">
        <v>91</v>
      </c>
      <c r="UHJ222" s="40" t="s">
        <v>91</v>
      </c>
      <c r="UHK222" s="40" t="s">
        <v>91</v>
      </c>
      <c r="UHL222" s="40" t="s">
        <v>91</v>
      </c>
      <c r="UHM222" s="40" t="s">
        <v>91</v>
      </c>
      <c r="UHN222" s="40" t="s">
        <v>91</v>
      </c>
      <c r="UHO222" s="40" t="s">
        <v>91</v>
      </c>
      <c r="UHP222" s="40" t="s">
        <v>91</v>
      </c>
      <c r="UHQ222" s="40" t="s">
        <v>91</v>
      </c>
      <c r="UHR222" s="40" t="s">
        <v>91</v>
      </c>
      <c r="UHS222" s="40" t="s">
        <v>91</v>
      </c>
      <c r="UHT222" s="40" t="s">
        <v>91</v>
      </c>
      <c r="UHU222" s="40" t="s">
        <v>91</v>
      </c>
      <c r="UHV222" s="40" t="s">
        <v>91</v>
      </c>
      <c r="UHW222" s="40" t="s">
        <v>91</v>
      </c>
      <c r="UHX222" s="40" t="s">
        <v>91</v>
      </c>
      <c r="UHY222" s="40" t="s">
        <v>91</v>
      </c>
      <c r="UHZ222" s="40" t="s">
        <v>91</v>
      </c>
      <c r="UIA222" s="40" t="s">
        <v>91</v>
      </c>
      <c r="UIB222" s="40" t="s">
        <v>91</v>
      </c>
      <c r="UIC222" s="40" t="s">
        <v>91</v>
      </c>
      <c r="UID222" s="40" t="s">
        <v>91</v>
      </c>
      <c r="UIE222" s="40" t="s">
        <v>91</v>
      </c>
      <c r="UIF222" s="40" t="s">
        <v>91</v>
      </c>
      <c r="UIG222" s="40" t="s">
        <v>91</v>
      </c>
      <c r="UIH222" s="40" t="s">
        <v>91</v>
      </c>
      <c r="UII222" s="40" t="s">
        <v>91</v>
      </c>
      <c r="UIJ222" s="40" t="s">
        <v>91</v>
      </c>
      <c r="UIK222" s="40" t="s">
        <v>91</v>
      </c>
      <c r="UIL222" s="40" t="s">
        <v>91</v>
      </c>
      <c r="UIM222" s="40" t="s">
        <v>91</v>
      </c>
      <c r="UIN222" s="40" t="s">
        <v>91</v>
      </c>
      <c r="UIO222" s="40" t="s">
        <v>91</v>
      </c>
      <c r="UIP222" s="40" t="s">
        <v>91</v>
      </c>
      <c r="UIQ222" s="40" t="s">
        <v>91</v>
      </c>
      <c r="UIR222" s="40" t="s">
        <v>91</v>
      </c>
      <c r="UIS222" s="40" t="s">
        <v>91</v>
      </c>
      <c r="UIT222" s="40" t="s">
        <v>91</v>
      </c>
      <c r="UIU222" s="40" t="s">
        <v>91</v>
      </c>
      <c r="UIV222" s="40" t="s">
        <v>91</v>
      </c>
      <c r="UIW222" s="40" t="s">
        <v>91</v>
      </c>
      <c r="UIX222" s="40" t="s">
        <v>91</v>
      </c>
      <c r="UIY222" s="40" t="s">
        <v>91</v>
      </c>
      <c r="UIZ222" s="40" t="s">
        <v>91</v>
      </c>
      <c r="UJA222" s="40" t="s">
        <v>91</v>
      </c>
      <c r="UJB222" s="40" t="s">
        <v>91</v>
      </c>
      <c r="UJC222" s="40" t="s">
        <v>91</v>
      </c>
      <c r="UJD222" s="40" t="s">
        <v>91</v>
      </c>
      <c r="UJE222" s="40" t="s">
        <v>91</v>
      </c>
      <c r="UJF222" s="40" t="s">
        <v>91</v>
      </c>
      <c r="UJG222" s="40" t="s">
        <v>91</v>
      </c>
      <c r="UJH222" s="40" t="s">
        <v>91</v>
      </c>
      <c r="UJI222" s="40" t="s">
        <v>91</v>
      </c>
      <c r="UJJ222" s="40" t="s">
        <v>91</v>
      </c>
      <c r="UJK222" s="40" t="s">
        <v>91</v>
      </c>
      <c r="UJL222" s="40" t="s">
        <v>91</v>
      </c>
      <c r="UJM222" s="40" t="s">
        <v>91</v>
      </c>
      <c r="UJN222" s="40" t="s">
        <v>91</v>
      </c>
      <c r="UJO222" s="40" t="s">
        <v>91</v>
      </c>
      <c r="UJP222" s="40" t="s">
        <v>91</v>
      </c>
      <c r="UJQ222" s="40" t="s">
        <v>91</v>
      </c>
      <c r="UJR222" s="40" t="s">
        <v>91</v>
      </c>
      <c r="UJS222" s="40" t="s">
        <v>91</v>
      </c>
      <c r="UJT222" s="40" t="s">
        <v>91</v>
      </c>
      <c r="UJU222" s="40" t="s">
        <v>91</v>
      </c>
      <c r="UJV222" s="40" t="s">
        <v>91</v>
      </c>
      <c r="UJW222" s="40" t="s">
        <v>91</v>
      </c>
      <c r="UJX222" s="40" t="s">
        <v>91</v>
      </c>
      <c r="UJY222" s="40" t="s">
        <v>91</v>
      </c>
      <c r="UJZ222" s="40" t="s">
        <v>91</v>
      </c>
      <c r="UKA222" s="40" t="s">
        <v>91</v>
      </c>
      <c r="UKB222" s="40" t="s">
        <v>91</v>
      </c>
      <c r="UKC222" s="40" t="s">
        <v>91</v>
      </c>
      <c r="UKD222" s="40" t="s">
        <v>91</v>
      </c>
      <c r="UKE222" s="40" t="s">
        <v>91</v>
      </c>
      <c r="UKF222" s="40" t="s">
        <v>91</v>
      </c>
      <c r="UKG222" s="40" t="s">
        <v>91</v>
      </c>
      <c r="UKH222" s="40" t="s">
        <v>91</v>
      </c>
      <c r="UKI222" s="40" t="s">
        <v>91</v>
      </c>
      <c r="UKJ222" s="40" t="s">
        <v>91</v>
      </c>
      <c r="UKK222" s="40" t="s">
        <v>91</v>
      </c>
      <c r="UKL222" s="40" t="s">
        <v>91</v>
      </c>
      <c r="UKM222" s="40" t="s">
        <v>91</v>
      </c>
      <c r="UKN222" s="40" t="s">
        <v>91</v>
      </c>
      <c r="UKO222" s="40" t="s">
        <v>91</v>
      </c>
      <c r="UKP222" s="40" t="s">
        <v>91</v>
      </c>
      <c r="UKQ222" s="40" t="s">
        <v>91</v>
      </c>
      <c r="UKR222" s="40" t="s">
        <v>91</v>
      </c>
      <c r="UKS222" s="40" t="s">
        <v>91</v>
      </c>
      <c r="UKT222" s="40" t="s">
        <v>91</v>
      </c>
      <c r="UKU222" s="40" t="s">
        <v>91</v>
      </c>
      <c r="UKV222" s="40" t="s">
        <v>91</v>
      </c>
      <c r="UKW222" s="40" t="s">
        <v>91</v>
      </c>
      <c r="UKX222" s="40" t="s">
        <v>91</v>
      </c>
      <c r="UKY222" s="40" t="s">
        <v>91</v>
      </c>
      <c r="UKZ222" s="40" t="s">
        <v>91</v>
      </c>
      <c r="ULA222" s="40" t="s">
        <v>91</v>
      </c>
      <c r="ULB222" s="40" t="s">
        <v>91</v>
      </c>
      <c r="ULC222" s="40" t="s">
        <v>91</v>
      </c>
      <c r="ULD222" s="40" t="s">
        <v>91</v>
      </c>
      <c r="ULE222" s="40" t="s">
        <v>91</v>
      </c>
      <c r="ULF222" s="40" t="s">
        <v>91</v>
      </c>
      <c r="ULG222" s="40" t="s">
        <v>91</v>
      </c>
      <c r="ULH222" s="40" t="s">
        <v>91</v>
      </c>
      <c r="ULI222" s="40" t="s">
        <v>91</v>
      </c>
      <c r="ULJ222" s="40" t="s">
        <v>91</v>
      </c>
      <c r="ULK222" s="40" t="s">
        <v>91</v>
      </c>
      <c r="ULL222" s="40" t="s">
        <v>91</v>
      </c>
      <c r="ULM222" s="40" t="s">
        <v>91</v>
      </c>
      <c r="ULN222" s="40" t="s">
        <v>91</v>
      </c>
      <c r="ULO222" s="40" t="s">
        <v>91</v>
      </c>
      <c r="ULP222" s="40" t="s">
        <v>91</v>
      </c>
      <c r="ULQ222" s="40" t="s">
        <v>91</v>
      </c>
      <c r="ULR222" s="40" t="s">
        <v>91</v>
      </c>
      <c r="ULS222" s="40" t="s">
        <v>91</v>
      </c>
      <c r="ULT222" s="40" t="s">
        <v>91</v>
      </c>
      <c r="ULU222" s="40" t="s">
        <v>91</v>
      </c>
      <c r="ULV222" s="40" t="s">
        <v>91</v>
      </c>
      <c r="ULW222" s="40" t="s">
        <v>91</v>
      </c>
      <c r="ULX222" s="40" t="s">
        <v>91</v>
      </c>
      <c r="ULY222" s="40" t="s">
        <v>91</v>
      </c>
      <c r="ULZ222" s="40" t="s">
        <v>91</v>
      </c>
      <c r="UMA222" s="40" t="s">
        <v>91</v>
      </c>
      <c r="UMB222" s="40" t="s">
        <v>91</v>
      </c>
      <c r="UMC222" s="40" t="s">
        <v>91</v>
      </c>
      <c r="UMD222" s="40" t="s">
        <v>91</v>
      </c>
      <c r="UME222" s="40" t="s">
        <v>91</v>
      </c>
      <c r="UMF222" s="40" t="s">
        <v>91</v>
      </c>
      <c r="UMG222" s="40" t="s">
        <v>91</v>
      </c>
      <c r="UMH222" s="40" t="s">
        <v>91</v>
      </c>
      <c r="UMI222" s="40" t="s">
        <v>91</v>
      </c>
      <c r="UMJ222" s="40" t="s">
        <v>91</v>
      </c>
      <c r="UMK222" s="40" t="s">
        <v>91</v>
      </c>
      <c r="UML222" s="40" t="s">
        <v>91</v>
      </c>
      <c r="UMM222" s="40" t="s">
        <v>91</v>
      </c>
      <c r="UMN222" s="40" t="s">
        <v>91</v>
      </c>
      <c r="UMO222" s="40" t="s">
        <v>91</v>
      </c>
      <c r="UMP222" s="40" t="s">
        <v>91</v>
      </c>
      <c r="UMQ222" s="40" t="s">
        <v>91</v>
      </c>
      <c r="UMR222" s="40" t="s">
        <v>91</v>
      </c>
      <c r="UMS222" s="40" t="s">
        <v>91</v>
      </c>
      <c r="UMT222" s="40" t="s">
        <v>91</v>
      </c>
      <c r="UMU222" s="40" t="s">
        <v>91</v>
      </c>
      <c r="UMV222" s="40" t="s">
        <v>91</v>
      </c>
      <c r="UMW222" s="40" t="s">
        <v>91</v>
      </c>
      <c r="UMX222" s="40" t="s">
        <v>91</v>
      </c>
      <c r="UMY222" s="40" t="s">
        <v>91</v>
      </c>
      <c r="UMZ222" s="40" t="s">
        <v>91</v>
      </c>
      <c r="UNA222" s="40" t="s">
        <v>91</v>
      </c>
      <c r="UNB222" s="40" t="s">
        <v>91</v>
      </c>
      <c r="UNC222" s="40" t="s">
        <v>91</v>
      </c>
      <c r="UND222" s="40" t="s">
        <v>91</v>
      </c>
      <c r="UNE222" s="40" t="s">
        <v>91</v>
      </c>
      <c r="UNF222" s="40" t="s">
        <v>91</v>
      </c>
      <c r="UNG222" s="40" t="s">
        <v>91</v>
      </c>
      <c r="UNH222" s="40" t="s">
        <v>91</v>
      </c>
      <c r="UNI222" s="40" t="s">
        <v>91</v>
      </c>
      <c r="UNJ222" s="40" t="s">
        <v>91</v>
      </c>
      <c r="UNK222" s="40" t="s">
        <v>91</v>
      </c>
      <c r="UNL222" s="40" t="s">
        <v>91</v>
      </c>
      <c r="UNM222" s="40" t="s">
        <v>91</v>
      </c>
      <c r="UNN222" s="40" t="s">
        <v>91</v>
      </c>
      <c r="UNO222" s="40" t="s">
        <v>91</v>
      </c>
      <c r="UNP222" s="40" t="s">
        <v>91</v>
      </c>
      <c r="UNQ222" s="40" t="s">
        <v>91</v>
      </c>
      <c r="UNR222" s="40" t="s">
        <v>91</v>
      </c>
      <c r="UNS222" s="40" t="s">
        <v>91</v>
      </c>
      <c r="UNT222" s="40" t="s">
        <v>91</v>
      </c>
      <c r="UNU222" s="40" t="s">
        <v>91</v>
      </c>
      <c r="UNV222" s="40" t="s">
        <v>91</v>
      </c>
      <c r="UNW222" s="40" t="s">
        <v>91</v>
      </c>
      <c r="UNX222" s="40" t="s">
        <v>91</v>
      </c>
      <c r="UNY222" s="40" t="s">
        <v>91</v>
      </c>
      <c r="UNZ222" s="40" t="s">
        <v>91</v>
      </c>
      <c r="UOA222" s="40" t="s">
        <v>91</v>
      </c>
      <c r="UOB222" s="40" t="s">
        <v>91</v>
      </c>
      <c r="UOC222" s="40" t="s">
        <v>91</v>
      </c>
      <c r="UOD222" s="40" t="s">
        <v>91</v>
      </c>
      <c r="UOE222" s="40" t="s">
        <v>91</v>
      </c>
      <c r="UOF222" s="40" t="s">
        <v>91</v>
      </c>
      <c r="UOG222" s="40" t="s">
        <v>91</v>
      </c>
      <c r="UOH222" s="40" t="s">
        <v>91</v>
      </c>
      <c r="UOI222" s="40" t="s">
        <v>91</v>
      </c>
      <c r="UOJ222" s="40" t="s">
        <v>91</v>
      </c>
      <c r="UOK222" s="40" t="s">
        <v>91</v>
      </c>
      <c r="UOL222" s="40" t="s">
        <v>91</v>
      </c>
      <c r="UOM222" s="40" t="s">
        <v>91</v>
      </c>
      <c r="UON222" s="40" t="s">
        <v>91</v>
      </c>
      <c r="UOO222" s="40" t="s">
        <v>91</v>
      </c>
      <c r="UOP222" s="40" t="s">
        <v>91</v>
      </c>
      <c r="UOQ222" s="40" t="s">
        <v>91</v>
      </c>
      <c r="UOR222" s="40" t="s">
        <v>91</v>
      </c>
      <c r="UOS222" s="40" t="s">
        <v>91</v>
      </c>
      <c r="UOT222" s="40" t="s">
        <v>91</v>
      </c>
      <c r="UOU222" s="40" t="s">
        <v>91</v>
      </c>
      <c r="UOV222" s="40" t="s">
        <v>91</v>
      </c>
      <c r="UOW222" s="40" t="s">
        <v>91</v>
      </c>
      <c r="UOX222" s="40" t="s">
        <v>91</v>
      </c>
      <c r="UOY222" s="40" t="s">
        <v>91</v>
      </c>
      <c r="UOZ222" s="40" t="s">
        <v>91</v>
      </c>
      <c r="UPA222" s="40" t="s">
        <v>91</v>
      </c>
      <c r="UPB222" s="40" t="s">
        <v>91</v>
      </c>
      <c r="UPC222" s="40" t="s">
        <v>91</v>
      </c>
      <c r="UPD222" s="40" t="s">
        <v>91</v>
      </c>
      <c r="UPE222" s="40" t="s">
        <v>91</v>
      </c>
      <c r="UPF222" s="40" t="s">
        <v>91</v>
      </c>
      <c r="UPG222" s="40" t="s">
        <v>91</v>
      </c>
      <c r="UPH222" s="40" t="s">
        <v>91</v>
      </c>
      <c r="UPI222" s="40" t="s">
        <v>91</v>
      </c>
      <c r="UPJ222" s="40" t="s">
        <v>91</v>
      </c>
      <c r="UPK222" s="40" t="s">
        <v>91</v>
      </c>
      <c r="UPL222" s="40" t="s">
        <v>91</v>
      </c>
      <c r="UPM222" s="40" t="s">
        <v>91</v>
      </c>
      <c r="UPN222" s="40" t="s">
        <v>91</v>
      </c>
      <c r="UPO222" s="40" t="s">
        <v>91</v>
      </c>
      <c r="UPP222" s="40" t="s">
        <v>91</v>
      </c>
      <c r="UPQ222" s="40" t="s">
        <v>91</v>
      </c>
      <c r="UPR222" s="40" t="s">
        <v>91</v>
      </c>
      <c r="UPS222" s="40" t="s">
        <v>91</v>
      </c>
      <c r="UPT222" s="40" t="s">
        <v>91</v>
      </c>
      <c r="UPU222" s="40" t="s">
        <v>91</v>
      </c>
      <c r="UPV222" s="40" t="s">
        <v>91</v>
      </c>
      <c r="UPW222" s="40" t="s">
        <v>91</v>
      </c>
      <c r="UPX222" s="40" t="s">
        <v>91</v>
      </c>
      <c r="UPY222" s="40" t="s">
        <v>91</v>
      </c>
      <c r="UPZ222" s="40" t="s">
        <v>91</v>
      </c>
      <c r="UQA222" s="40" t="s">
        <v>91</v>
      </c>
      <c r="UQB222" s="40" t="s">
        <v>91</v>
      </c>
      <c r="UQC222" s="40" t="s">
        <v>91</v>
      </c>
      <c r="UQD222" s="40" t="s">
        <v>91</v>
      </c>
      <c r="UQE222" s="40" t="s">
        <v>91</v>
      </c>
      <c r="UQF222" s="40" t="s">
        <v>91</v>
      </c>
      <c r="UQG222" s="40" t="s">
        <v>91</v>
      </c>
      <c r="UQH222" s="40" t="s">
        <v>91</v>
      </c>
      <c r="UQI222" s="40" t="s">
        <v>91</v>
      </c>
      <c r="UQJ222" s="40" t="s">
        <v>91</v>
      </c>
      <c r="UQK222" s="40" t="s">
        <v>91</v>
      </c>
      <c r="UQL222" s="40" t="s">
        <v>91</v>
      </c>
      <c r="UQM222" s="40" t="s">
        <v>91</v>
      </c>
      <c r="UQN222" s="40" t="s">
        <v>91</v>
      </c>
      <c r="UQO222" s="40" t="s">
        <v>91</v>
      </c>
      <c r="UQP222" s="40" t="s">
        <v>91</v>
      </c>
      <c r="UQQ222" s="40" t="s">
        <v>91</v>
      </c>
      <c r="UQR222" s="40" t="s">
        <v>91</v>
      </c>
      <c r="UQS222" s="40" t="s">
        <v>91</v>
      </c>
      <c r="UQT222" s="40" t="s">
        <v>91</v>
      </c>
      <c r="UQU222" s="40" t="s">
        <v>91</v>
      </c>
      <c r="UQV222" s="40" t="s">
        <v>91</v>
      </c>
      <c r="UQW222" s="40" t="s">
        <v>91</v>
      </c>
      <c r="UQX222" s="40" t="s">
        <v>91</v>
      </c>
      <c r="UQY222" s="40" t="s">
        <v>91</v>
      </c>
      <c r="UQZ222" s="40" t="s">
        <v>91</v>
      </c>
      <c r="URA222" s="40" t="s">
        <v>91</v>
      </c>
      <c r="URB222" s="40" t="s">
        <v>91</v>
      </c>
      <c r="URC222" s="40" t="s">
        <v>91</v>
      </c>
      <c r="URD222" s="40" t="s">
        <v>91</v>
      </c>
      <c r="URE222" s="40" t="s">
        <v>91</v>
      </c>
      <c r="URF222" s="40" t="s">
        <v>91</v>
      </c>
      <c r="URG222" s="40" t="s">
        <v>91</v>
      </c>
      <c r="URH222" s="40" t="s">
        <v>91</v>
      </c>
      <c r="URI222" s="40" t="s">
        <v>91</v>
      </c>
      <c r="URJ222" s="40" t="s">
        <v>91</v>
      </c>
      <c r="URK222" s="40" t="s">
        <v>91</v>
      </c>
      <c r="URL222" s="40" t="s">
        <v>91</v>
      </c>
      <c r="URM222" s="40" t="s">
        <v>91</v>
      </c>
      <c r="URN222" s="40" t="s">
        <v>91</v>
      </c>
      <c r="URO222" s="40" t="s">
        <v>91</v>
      </c>
      <c r="URP222" s="40" t="s">
        <v>91</v>
      </c>
      <c r="URQ222" s="40" t="s">
        <v>91</v>
      </c>
      <c r="URR222" s="40" t="s">
        <v>91</v>
      </c>
      <c r="URS222" s="40" t="s">
        <v>91</v>
      </c>
      <c r="URT222" s="40" t="s">
        <v>91</v>
      </c>
      <c r="URU222" s="40" t="s">
        <v>91</v>
      </c>
      <c r="URV222" s="40" t="s">
        <v>91</v>
      </c>
      <c r="URW222" s="40" t="s">
        <v>91</v>
      </c>
      <c r="URX222" s="40" t="s">
        <v>91</v>
      </c>
      <c r="URY222" s="40" t="s">
        <v>91</v>
      </c>
      <c r="URZ222" s="40" t="s">
        <v>91</v>
      </c>
      <c r="USA222" s="40" t="s">
        <v>91</v>
      </c>
      <c r="USB222" s="40" t="s">
        <v>91</v>
      </c>
      <c r="USC222" s="40" t="s">
        <v>91</v>
      </c>
      <c r="USD222" s="40" t="s">
        <v>91</v>
      </c>
      <c r="USE222" s="40" t="s">
        <v>91</v>
      </c>
      <c r="USF222" s="40" t="s">
        <v>91</v>
      </c>
      <c r="USG222" s="40" t="s">
        <v>91</v>
      </c>
      <c r="USH222" s="40" t="s">
        <v>91</v>
      </c>
      <c r="USI222" s="40" t="s">
        <v>91</v>
      </c>
      <c r="USJ222" s="40" t="s">
        <v>91</v>
      </c>
      <c r="USK222" s="40" t="s">
        <v>91</v>
      </c>
      <c r="USL222" s="40" t="s">
        <v>91</v>
      </c>
      <c r="USM222" s="40" t="s">
        <v>91</v>
      </c>
      <c r="USN222" s="40" t="s">
        <v>91</v>
      </c>
      <c r="USO222" s="40" t="s">
        <v>91</v>
      </c>
      <c r="USP222" s="40" t="s">
        <v>91</v>
      </c>
      <c r="USQ222" s="40" t="s">
        <v>91</v>
      </c>
      <c r="USR222" s="40" t="s">
        <v>91</v>
      </c>
      <c r="USS222" s="40" t="s">
        <v>91</v>
      </c>
      <c r="UST222" s="40" t="s">
        <v>91</v>
      </c>
      <c r="USU222" s="40" t="s">
        <v>91</v>
      </c>
      <c r="USV222" s="40" t="s">
        <v>91</v>
      </c>
      <c r="USW222" s="40" t="s">
        <v>91</v>
      </c>
      <c r="USX222" s="40" t="s">
        <v>91</v>
      </c>
      <c r="USY222" s="40" t="s">
        <v>91</v>
      </c>
      <c r="USZ222" s="40" t="s">
        <v>91</v>
      </c>
      <c r="UTA222" s="40" t="s">
        <v>91</v>
      </c>
      <c r="UTB222" s="40" t="s">
        <v>91</v>
      </c>
      <c r="UTC222" s="40" t="s">
        <v>91</v>
      </c>
      <c r="UTD222" s="40" t="s">
        <v>91</v>
      </c>
      <c r="UTE222" s="40" t="s">
        <v>91</v>
      </c>
      <c r="UTF222" s="40" t="s">
        <v>91</v>
      </c>
      <c r="UTG222" s="40" t="s">
        <v>91</v>
      </c>
      <c r="UTH222" s="40" t="s">
        <v>91</v>
      </c>
      <c r="UTI222" s="40" t="s">
        <v>91</v>
      </c>
      <c r="UTJ222" s="40" t="s">
        <v>91</v>
      </c>
      <c r="UTK222" s="40" t="s">
        <v>91</v>
      </c>
      <c r="UTL222" s="40" t="s">
        <v>91</v>
      </c>
      <c r="UTM222" s="40" t="s">
        <v>91</v>
      </c>
      <c r="UTN222" s="40" t="s">
        <v>91</v>
      </c>
      <c r="UTO222" s="40" t="s">
        <v>91</v>
      </c>
      <c r="UTP222" s="40" t="s">
        <v>91</v>
      </c>
      <c r="UTQ222" s="40" t="s">
        <v>91</v>
      </c>
      <c r="UTR222" s="40" t="s">
        <v>91</v>
      </c>
      <c r="UTS222" s="40" t="s">
        <v>91</v>
      </c>
      <c r="UTT222" s="40" t="s">
        <v>91</v>
      </c>
      <c r="UTU222" s="40" t="s">
        <v>91</v>
      </c>
      <c r="UTV222" s="40" t="s">
        <v>91</v>
      </c>
      <c r="UTW222" s="40" t="s">
        <v>91</v>
      </c>
      <c r="UTX222" s="40" t="s">
        <v>91</v>
      </c>
      <c r="UTY222" s="40" t="s">
        <v>91</v>
      </c>
      <c r="UTZ222" s="40" t="s">
        <v>91</v>
      </c>
      <c r="UUA222" s="40" t="s">
        <v>91</v>
      </c>
      <c r="UUB222" s="40" t="s">
        <v>91</v>
      </c>
      <c r="UUC222" s="40" t="s">
        <v>91</v>
      </c>
      <c r="UUD222" s="40" t="s">
        <v>91</v>
      </c>
      <c r="UUE222" s="40" t="s">
        <v>91</v>
      </c>
      <c r="UUF222" s="40" t="s">
        <v>91</v>
      </c>
      <c r="UUG222" s="40" t="s">
        <v>91</v>
      </c>
      <c r="UUH222" s="40" t="s">
        <v>91</v>
      </c>
      <c r="UUI222" s="40" t="s">
        <v>91</v>
      </c>
      <c r="UUJ222" s="40" t="s">
        <v>91</v>
      </c>
      <c r="UUK222" s="40" t="s">
        <v>91</v>
      </c>
      <c r="UUL222" s="40" t="s">
        <v>91</v>
      </c>
      <c r="UUM222" s="40" t="s">
        <v>91</v>
      </c>
      <c r="UUN222" s="40" t="s">
        <v>91</v>
      </c>
      <c r="UUO222" s="40" t="s">
        <v>91</v>
      </c>
      <c r="UUP222" s="40" t="s">
        <v>91</v>
      </c>
      <c r="UUQ222" s="40" t="s">
        <v>91</v>
      </c>
      <c r="UUR222" s="40" t="s">
        <v>91</v>
      </c>
      <c r="UUS222" s="40" t="s">
        <v>91</v>
      </c>
      <c r="UUT222" s="40" t="s">
        <v>91</v>
      </c>
      <c r="UUU222" s="40" t="s">
        <v>91</v>
      </c>
      <c r="UUV222" s="40" t="s">
        <v>91</v>
      </c>
      <c r="UUW222" s="40" t="s">
        <v>91</v>
      </c>
      <c r="UUX222" s="40" t="s">
        <v>91</v>
      </c>
      <c r="UUY222" s="40" t="s">
        <v>91</v>
      </c>
      <c r="UUZ222" s="40" t="s">
        <v>91</v>
      </c>
      <c r="UVA222" s="40" t="s">
        <v>91</v>
      </c>
      <c r="UVB222" s="40" t="s">
        <v>91</v>
      </c>
      <c r="UVC222" s="40" t="s">
        <v>91</v>
      </c>
      <c r="UVD222" s="40" t="s">
        <v>91</v>
      </c>
      <c r="UVE222" s="40" t="s">
        <v>91</v>
      </c>
      <c r="UVF222" s="40" t="s">
        <v>91</v>
      </c>
      <c r="UVG222" s="40" t="s">
        <v>91</v>
      </c>
      <c r="UVH222" s="40" t="s">
        <v>91</v>
      </c>
      <c r="UVI222" s="40" t="s">
        <v>91</v>
      </c>
      <c r="UVJ222" s="40" t="s">
        <v>91</v>
      </c>
      <c r="UVK222" s="40" t="s">
        <v>91</v>
      </c>
      <c r="UVL222" s="40" t="s">
        <v>91</v>
      </c>
      <c r="UVM222" s="40" t="s">
        <v>91</v>
      </c>
      <c r="UVN222" s="40" t="s">
        <v>91</v>
      </c>
      <c r="UVO222" s="40" t="s">
        <v>91</v>
      </c>
      <c r="UVP222" s="40" t="s">
        <v>91</v>
      </c>
      <c r="UVQ222" s="40" t="s">
        <v>91</v>
      </c>
      <c r="UVR222" s="40" t="s">
        <v>91</v>
      </c>
      <c r="UVS222" s="40" t="s">
        <v>91</v>
      </c>
      <c r="UVT222" s="40" t="s">
        <v>91</v>
      </c>
      <c r="UVU222" s="40" t="s">
        <v>91</v>
      </c>
      <c r="UVV222" s="40" t="s">
        <v>91</v>
      </c>
      <c r="UVW222" s="40" t="s">
        <v>91</v>
      </c>
      <c r="UVX222" s="40" t="s">
        <v>91</v>
      </c>
      <c r="UVY222" s="40" t="s">
        <v>91</v>
      </c>
      <c r="UVZ222" s="40" t="s">
        <v>91</v>
      </c>
      <c r="UWA222" s="40" t="s">
        <v>91</v>
      </c>
      <c r="UWB222" s="40" t="s">
        <v>91</v>
      </c>
      <c r="UWC222" s="40" t="s">
        <v>91</v>
      </c>
      <c r="UWD222" s="40" t="s">
        <v>91</v>
      </c>
      <c r="UWE222" s="40" t="s">
        <v>91</v>
      </c>
      <c r="UWF222" s="40" t="s">
        <v>91</v>
      </c>
      <c r="UWG222" s="40" t="s">
        <v>91</v>
      </c>
      <c r="UWH222" s="40" t="s">
        <v>91</v>
      </c>
      <c r="UWI222" s="40" t="s">
        <v>91</v>
      </c>
      <c r="UWJ222" s="40" t="s">
        <v>91</v>
      </c>
      <c r="UWK222" s="40" t="s">
        <v>91</v>
      </c>
      <c r="UWL222" s="40" t="s">
        <v>91</v>
      </c>
      <c r="UWM222" s="40" t="s">
        <v>91</v>
      </c>
      <c r="UWN222" s="40" t="s">
        <v>91</v>
      </c>
      <c r="UWO222" s="40" t="s">
        <v>91</v>
      </c>
      <c r="UWP222" s="40" t="s">
        <v>91</v>
      </c>
      <c r="UWQ222" s="40" t="s">
        <v>91</v>
      </c>
      <c r="UWR222" s="40" t="s">
        <v>91</v>
      </c>
      <c r="UWS222" s="40" t="s">
        <v>91</v>
      </c>
      <c r="UWT222" s="40" t="s">
        <v>91</v>
      </c>
      <c r="UWU222" s="40" t="s">
        <v>91</v>
      </c>
      <c r="UWV222" s="40" t="s">
        <v>91</v>
      </c>
      <c r="UWW222" s="40" t="s">
        <v>91</v>
      </c>
      <c r="UWX222" s="40" t="s">
        <v>91</v>
      </c>
      <c r="UWY222" s="40" t="s">
        <v>91</v>
      </c>
      <c r="UWZ222" s="40" t="s">
        <v>91</v>
      </c>
      <c r="UXA222" s="40" t="s">
        <v>91</v>
      </c>
      <c r="UXB222" s="40" t="s">
        <v>91</v>
      </c>
      <c r="UXC222" s="40" t="s">
        <v>91</v>
      </c>
      <c r="UXD222" s="40" t="s">
        <v>91</v>
      </c>
      <c r="UXE222" s="40" t="s">
        <v>91</v>
      </c>
      <c r="UXF222" s="40" t="s">
        <v>91</v>
      </c>
      <c r="UXG222" s="40" t="s">
        <v>91</v>
      </c>
      <c r="UXH222" s="40" t="s">
        <v>91</v>
      </c>
      <c r="UXI222" s="40" t="s">
        <v>91</v>
      </c>
      <c r="UXJ222" s="40" t="s">
        <v>91</v>
      </c>
      <c r="UXK222" s="40" t="s">
        <v>91</v>
      </c>
      <c r="UXL222" s="40" t="s">
        <v>91</v>
      </c>
      <c r="UXM222" s="40" t="s">
        <v>91</v>
      </c>
      <c r="UXN222" s="40" t="s">
        <v>91</v>
      </c>
      <c r="UXO222" s="40" t="s">
        <v>91</v>
      </c>
      <c r="UXP222" s="40" t="s">
        <v>91</v>
      </c>
      <c r="UXQ222" s="40" t="s">
        <v>91</v>
      </c>
      <c r="UXR222" s="40" t="s">
        <v>91</v>
      </c>
      <c r="UXS222" s="40" t="s">
        <v>91</v>
      </c>
      <c r="UXT222" s="40" t="s">
        <v>91</v>
      </c>
      <c r="UXU222" s="40" t="s">
        <v>91</v>
      </c>
      <c r="UXV222" s="40" t="s">
        <v>91</v>
      </c>
      <c r="UXW222" s="40" t="s">
        <v>91</v>
      </c>
      <c r="UXX222" s="40" t="s">
        <v>91</v>
      </c>
      <c r="UXY222" s="40" t="s">
        <v>91</v>
      </c>
      <c r="UXZ222" s="40" t="s">
        <v>91</v>
      </c>
      <c r="UYA222" s="40" t="s">
        <v>91</v>
      </c>
      <c r="UYB222" s="40" t="s">
        <v>91</v>
      </c>
      <c r="UYC222" s="40" t="s">
        <v>91</v>
      </c>
      <c r="UYD222" s="40" t="s">
        <v>91</v>
      </c>
      <c r="UYE222" s="40" t="s">
        <v>91</v>
      </c>
      <c r="UYF222" s="40" t="s">
        <v>91</v>
      </c>
      <c r="UYG222" s="40" t="s">
        <v>91</v>
      </c>
      <c r="UYH222" s="40" t="s">
        <v>91</v>
      </c>
      <c r="UYI222" s="40" t="s">
        <v>91</v>
      </c>
      <c r="UYJ222" s="40" t="s">
        <v>91</v>
      </c>
      <c r="UYK222" s="40" t="s">
        <v>91</v>
      </c>
      <c r="UYL222" s="40" t="s">
        <v>91</v>
      </c>
      <c r="UYM222" s="40" t="s">
        <v>91</v>
      </c>
      <c r="UYN222" s="40" t="s">
        <v>91</v>
      </c>
      <c r="UYO222" s="40" t="s">
        <v>91</v>
      </c>
      <c r="UYP222" s="40" t="s">
        <v>91</v>
      </c>
      <c r="UYQ222" s="40" t="s">
        <v>91</v>
      </c>
      <c r="UYR222" s="40" t="s">
        <v>91</v>
      </c>
      <c r="UYS222" s="40" t="s">
        <v>91</v>
      </c>
      <c r="UYT222" s="40" t="s">
        <v>91</v>
      </c>
      <c r="UYU222" s="40" t="s">
        <v>91</v>
      </c>
      <c r="UYV222" s="40" t="s">
        <v>91</v>
      </c>
      <c r="UYW222" s="40" t="s">
        <v>91</v>
      </c>
      <c r="UYX222" s="40" t="s">
        <v>91</v>
      </c>
      <c r="UYY222" s="40" t="s">
        <v>91</v>
      </c>
      <c r="UYZ222" s="40" t="s">
        <v>91</v>
      </c>
      <c r="UZA222" s="40" t="s">
        <v>91</v>
      </c>
      <c r="UZB222" s="40" t="s">
        <v>91</v>
      </c>
      <c r="UZC222" s="40" t="s">
        <v>91</v>
      </c>
      <c r="UZD222" s="40" t="s">
        <v>91</v>
      </c>
      <c r="UZE222" s="40" t="s">
        <v>91</v>
      </c>
      <c r="UZF222" s="40" t="s">
        <v>91</v>
      </c>
      <c r="UZG222" s="40" t="s">
        <v>91</v>
      </c>
      <c r="UZH222" s="40" t="s">
        <v>91</v>
      </c>
      <c r="UZI222" s="40" t="s">
        <v>91</v>
      </c>
      <c r="UZJ222" s="40" t="s">
        <v>91</v>
      </c>
      <c r="UZK222" s="40" t="s">
        <v>91</v>
      </c>
      <c r="UZL222" s="40" t="s">
        <v>91</v>
      </c>
      <c r="UZM222" s="40" t="s">
        <v>91</v>
      </c>
      <c r="UZN222" s="40" t="s">
        <v>91</v>
      </c>
      <c r="UZO222" s="40" t="s">
        <v>91</v>
      </c>
      <c r="UZP222" s="40" t="s">
        <v>91</v>
      </c>
      <c r="UZQ222" s="40" t="s">
        <v>91</v>
      </c>
      <c r="UZR222" s="40" t="s">
        <v>91</v>
      </c>
      <c r="UZS222" s="40" t="s">
        <v>91</v>
      </c>
      <c r="UZT222" s="40" t="s">
        <v>91</v>
      </c>
      <c r="UZU222" s="40" t="s">
        <v>91</v>
      </c>
      <c r="UZV222" s="40" t="s">
        <v>91</v>
      </c>
      <c r="UZW222" s="40" t="s">
        <v>91</v>
      </c>
      <c r="UZX222" s="40" t="s">
        <v>91</v>
      </c>
      <c r="UZY222" s="40" t="s">
        <v>91</v>
      </c>
      <c r="UZZ222" s="40" t="s">
        <v>91</v>
      </c>
      <c r="VAA222" s="40" t="s">
        <v>91</v>
      </c>
      <c r="VAB222" s="40" t="s">
        <v>91</v>
      </c>
      <c r="VAC222" s="40" t="s">
        <v>91</v>
      </c>
      <c r="VAD222" s="40" t="s">
        <v>91</v>
      </c>
      <c r="VAE222" s="40" t="s">
        <v>91</v>
      </c>
      <c r="VAF222" s="40" t="s">
        <v>91</v>
      </c>
      <c r="VAG222" s="40" t="s">
        <v>91</v>
      </c>
      <c r="VAH222" s="40" t="s">
        <v>91</v>
      </c>
      <c r="VAI222" s="40" t="s">
        <v>91</v>
      </c>
      <c r="VAJ222" s="40" t="s">
        <v>91</v>
      </c>
      <c r="VAK222" s="40" t="s">
        <v>91</v>
      </c>
      <c r="VAL222" s="40" t="s">
        <v>91</v>
      </c>
      <c r="VAM222" s="40" t="s">
        <v>91</v>
      </c>
      <c r="VAN222" s="40" t="s">
        <v>91</v>
      </c>
      <c r="VAO222" s="40" t="s">
        <v>91</v>
      </c>
      <c r="VAP222" s="40" t="s">
        <v>91</v>
      </c>
      <c r="VAQ222" s="40" t="s">
        <v>91</v>
      </c>
      <c r="VAR222" s="40" t="s">
        <v>91</v>
      </c>
      <c r="VAS222" s="40" t="s">
        <v>91</v>
      </c>
      <c r="VAT222" s="40" t="s">
        <v>91</v>
      </c>
      <c r="VAU222" s="40" t="s">
        <v>91</v>
      </c>
      <c r="VAV222" s="40" t="s">
        <v>91</v>
      </c>
      <c r="VAW222" s="40" t="s">
        <v>91</v>
      </c>
      <c r="VAX222" s="40" t="s">
        <v>91</v>
      </c>
      <c r="VAY222" s="40" t="s">
        <v>91</v>
      </c>
      <c r="VAZ222" s="40" t="s">
        <v>91</v>
      </c>
      <c r="VBA222" s="40" t="s">
        <v>91</v>
      </c>
      <c r="VBB222" s="40" t="s">
        <v>91</v>
      </c>
      <c r="VBC222" s="40" t="s">
        <v>91</v>
      </c>
      <c r="VBD222" s="40" t="s">
        <v>91</v>
      </c>
      <c r="VBE222" s="40" t="s">
        <v>91</v>
      </c>
      <c r="VBF222" s="40" t="s">
        <v>91</v>
      </c>
      <c r="VBG222" s="40" t="s">
        <v>91</v>
      </c>
      <c r="VBH222" s="40" t="s">
        <v>91</v>
      </c>
      <c r="VBI222" s="40" t="s">
        <v>91</v>
      </c>
      <c r="VBJ222" s="40" t="s">
        <v>91</v>
      </c>
      <c r="VBK222" s="40" t="s">
        <v>91</v>
      </c>
      <c r="VBL222" s="40" t="s">
        <v>91</v>
      </c>
      <c r="VBM222" s="40" t="s">
        <v>91</v>
      </c>
      <c r="VBN222" s="40" t="s">
        <v>91</v>
      </c>
      <c r="VBO222" s="40" t="s">
        <v>91</v>
      </c>
      <c r="VBP222" s="40" t="s">
        <v>91</v>
      </c>
      <c r="VBQ222" s="40" t="s">
        <v>91</v>
      </c>
      <c r="VBR222" s="40" t="s">
        <v>91</v>
      </c>
      <c r="VBS222" s="40" t="s">
        <v>91</v>
      </c>
      <c r="VBT222" s="40" t="s">
        <v>91</v>
      </c>
      <c r="VBU222" s="40" t="s">
        <v>91</v>
      </c>
      <c r="VBV222" s="40" t="s">
        <v>91</v>
      </c>
      <c r="VBW222" s="40" t="s">
        <v>91</v>
      </c>
      <c r="VBX222" s="40" t="s">
        <v>91</v>
      </c>
      <c r="VBY222" s="40" t="s">
        <v>91</v>
      </c>
      <c r="VBZ222" s="40" t="s">
        <v>91</v>
      </c>
      <c r="VCA222" s="40" t="s">
        <v>91</v>
      </c>
      <c r="VCB222" s="40" t="s">
        <v>91</v>
      </c>
      <c r="VCC222" s="40" t="s">
        <v>91</v>
      </c>
      <c r="VCD222" s="40" t="s">
        <v>91</v>
      </c>
      <c r="VCE222" s="40" t="s">
        <v>91</v>
      </c>
      <c r="VCF222" s="40" t="s">
        <v>91</v>
      </c>
      <c r="VCG222" s="40" t="s">
        <v>91</v>
      </c>
      <c r="VCH222" s="40" t="s">
        <v>91</v>
      </c>
      <c r="VCI222" s="40" t="s">
        <v>91</v>
      </c>
      <c r="VCJ222" s="40" t="s">
        <v>91</v>
      </c>
      <c r="VCK222" s="40" t="s">
        <v>91</v>
      </c>
      <c r="VCL222" s="40" t="s">
        <v>91</v>
      </c>
      <c r="VCM222" s="40" t="s">
        <v>91</v>
      </c>
      <c r="VCN222" s="40" t="s">
        <v>91</v>
      </c>
      <c r="VCO222" s="40" t="s">
        <v>91</v>
      </c>
      <c r="VCP222" s="40" t="s">
        <v>91</v>
      </c>
      <c r="VCQ222" s="40" t="s">
        <v>91</v>
      </c>
      <c r="VCR222" s="40" t="s">
        <v>91</v>
      </c>
      <c r="VCS222" s="40" t="s">
        <v>91</v>
      </c>
      <c r="VCT222" s="40" t="s">
        <v>91</v>
      </c>
      <c r="VCU222" s="40" t="s">
        <v>91</v>
      </c>
      <c r="VCV222" s="40" t="s">
        <v>91</v>
      </c>
      <c r="VCW222" s="40" t="s">
        <v>91</v>
      </c>
      <c r="VCX222" s="40" t="s">
        <v>91</v>
      </c>
      <c r="VCY222" s="40" t="s">
        <v>91</v>
      </c>
      <c r="VCZ222" s="40" t="s">
        <v>91</v>
      </c>
      <c r="VDA222" s="40" t="s">
        <v>91</v>
      </c>
      <c r="VDB222" s="40" t="s">
        <v>91</v>
      </c>
      <c r="VDC222" s="40" t="s">
        <v>91</v>
      </c>
      <c r="VDD222" s="40" t="s">
        <v>91</v>
      </c>
      <c r="VDE222" s="40" t="s">
        <v>91</v>
      </c>
      <c r="VDF222" s="40" t="s">
        <v>91</v>
      </c>
      <c r="VDG222" s="40" t="s">
        <v>91</v>
      </c>
      <c r="VDH222" s="40" t="s">
        <v>91</v>
      </c>
      <c r="VDI222" s="40" t="s">
        <v>91</v>
      </c>
      <c r="VDJ222" s="40" t="s">
        <v>91</v>
      </c>
      <c r="VDK222" s="40" t="s">
        <v>91</v>
      </c>
      <c r="VDL222" s="40" t="s">
        <v>91</v>
      </c>
      <c r="VDM222" s="40" t="s">
        <v>91</v>
      </c>
      <c r="VDN222" s="40" t="s">
        <v>91</v>
      </c>
      <c r="VDO222" s="40" t="s">
        <v>91</v>
      </c>
      <c r="VDP222" s="40" t="s">
        <v>91</v>
      </c>
      <c r="VDQ222" s="40" t="s">
        <v>91</v>
      </c>
      <c r="VDR222" s="40" t="s">
        <v>91</v>
      </c>
      <c r="VDS222" s="40" t="s">
        <v>91</v>
      </c>
      <c r="VDT222" s="40" t="s">
        <v>91</v>
      </c>
      <c r="VDU222" s="40" t="s">
        <v>91</v>
      </c>
      <c r="VDV222" s="40" t="s">
        <v>91</v>
      </c>
      <c r="VDW222" s="40" t="s">
        <v>91</v>
      </c>
      <c r="VDX222" s="40" t="s">
        <v>91</v>
      </c>
      <c r="VDY222" s="40" t="s">
        <v>91</v>
      </c>
      <c r="VDZ222" s="40" t="s">
        <v>91</v>
      </c>
      <c r="VEA222" s="40" t="s">
        <v>91</v>
      </c>
      <c r="VEB222" s="40" t="s">
        <v>91</v>
      </c>
      <c r="VEC222" s="40" t="s">
        <v>91</v>
      </c>
      <c r="VED222" s="40" t="s">
        <v>91</v>
      </c>
      <c r="VEE222" s="40" t="s">
        <v>91</v>
      </c>
      <c r="VEF222" s="40" t="s">
        <v>91</v>
      </c>
      <c r="VEG222" s="40" t="s">
        <v>91</v>
      </c>
      <c r="VEH222" s="40" t="s">
        <v>91</v>
      </c>
      <c r="VEI222" s="40" t="s">
        <v>91</v>
      </c>
      <c r="VEJ222" s="40" t="s">
        <v>91</v>
      </c>
      <c r="VEK222" s="40" t="s">
        <v>91</v>
      </c>
      <c r="VEL222" s="40" t="s">
        <v>91</v>
      </c>
      <c r="VEM222" s="40" t="s">
        <v>91</v>
      </c>
      <c r="VEN222" s="40" t="s">
        <v>91</v>
      </c>
      <c r="VEO222" s="40" t="s">
        <v>91</v>
      </c>
      <c r="VEP222" s="40" t="s">
        <v>91</v>
      </c>
      <c r="VEQ222" s="40" t="s">
        <v>91</v>
      </c>
      <c r="VER222" s="40" t="s">
        <v>91</v>
      </c>
      <c r="VES222" s="40" t="s">
        <v>91</v>
      </c>
      <c r="VET222" s="40" t="s">
        <v>91</v>
      </c>
      <c r="VEU222" s="40" t="s">
        <v>91</v>
      </c>
      <c r="VEV222" s="40" t="s">
        <v>91</v>
      </c>
      <c r="VEW222" s="40" t="s">
        <v>91</v>
      </c>
      <c r="VEX222" s="40" t="s">
        <v>91</v>
      </c>
      <c r="VEY222" s="40" t="s">
        <v>91</v>
      </c>
      <c r="VEZ222" s="40" t="s">
        <v>91</v>
      </c>
      <c r="VFA222" s="40" t="s">
        <v>91</v>
      </c>
      <c r="VFB222" s="40" t="s">
        <v>91</v>
      </c>
      <c r="VFC222" s="40" t="s">
        <v>91</v>
      </c>
      <c r="VFD222" s="40" t="s">
        <v>91</v>
      </c>
      <c r="VFE222" s="40" t="s">
        <v>91</v>
      </c>
      <c r="VFF222" s="40" t="s">
        <v>91</v>
      </c>
      <c r="VFG222" s="40" t="s">
        <v>91</v>
      </c>
      <c r="VFH222" s="40" t="s">
        <v>91</v>
      </c>
      <c r="VFI222" s="40" t="s">
        <v>91</v>
      </c>
      <c r="VFJ222" s="40" t="s">
        <v>91</v>
      </c>
      <c r="VFK222" s="40" t="s">
        <v>91</v>
      </c>
      <c r="VFL222" s="40" t="s">
        <v>91</v>
      </c>
      <c r="VFM222" s="40" t="s">
        <v>91</v>
      </c>
      <c r="VFN222" s="40" t="s">
        <v>91</v>
      </c>
      <c r="VFO222" s="40" t="s">
        <v>91</v>
      </c>
      <c r="VFP222" s="40" t="s">
        <v>91</v>
      </c>
      <c r="VFQ222" s="40" t="s">
        <v>91</v>
      </c>
      <c r="VFR222" s="40" t="s">
        <v>91</v>
      </c>
      <c r="VFS222" s="40" t="s">
        <v>91</v>
      </c>
      <c r="VFT222" s="40" t="s">
        <v>91</v>
      </c>
      <c r="VFU222" s="40" t="s">
        <v>91</v>
      </c>
      <c r="VFV222" s="40" t="s">
        <v>91</v>
      </c>
      <c r="VFW222" s="40" t="s">
        <v>91</v>
      </c>
      <c r="VFX222" s="40" t="s">
        <v>91</v>
      </c>
      <c r="VFY222" s="40" t="s">
        <v>91</v>
      </c>
      <c r="VFZ222" s="40" t="s">
        <v>91</v>
      </c>
      <c r="VGA222" s="40" t="s">
        <v>91</v>
      </c>
      <c r="VGB222" s="40" t="s">
        <v>91</v>
      </c>
      <c r="VGC222" s="40" t="s">
        <v>91</v>
      </c>
      <c r="VGD222" s="40" t="s">
        <v>91</v>
      </c>
      <c r="VGE222" s="40" t="s">
        <v>91</v>
      </c>
      <c r="VGF222" s="40" t="s">
        <v>91</v>
      </c>
      <c r="VGG222" s="40" t="s">
        <v>91</v>
      </c>
      <c r="VGH222" s="40" t="s">
        <v>91</v>
      </c>
      <c r="VGI222" s="40" t="s">
        <v>91</v>
      </c>
      <c r="VGJ222" s="40" t="s">
        <v>91</v>
      </c>
      <c r="VGK222" s="40" t="s">
        <v>91</v>
      </c>
      <c r="VGL222" s="40" t="s">
        <v>91</v>
      </c>
      <c r="VGM222" s="40" t="s">
        <v>91</v>
      </c>
      <c r="VGN222" s="40" t="s">
        <v>91</v>
      </c>
      <c r="VGO222" s="40" t="s">
        <v>91</v>
      </c>
      <c r="VGP222" s="40" t="s">
        <v>91</v>
      </c>
      <c r="VGQ222" s="40" t="s">
        <v>91</v>
      </c>
      <c r="VGR222" s="40" t="s">
        <v>91</v>
      </c>
      <c r="VGS222" s="40" t="s">
        <v>91</v>
      </c>
      <c r="VGT222" s="40" t="s">
        <v>91</v>
      </c>
      <c r="VGU222" s="40" t="s">
        <v>91</v>
      </c>
      <c r="VGV222" s="40" t="s">
        <v>91</v>
      </c>
      <c r="VGW222" s="40" t="s">
        <v>91</v>
      </c>
      <c r="VGX222" s="40" t="s">
        <v>91</v>
      </c>
      <c r="VGY222" s="40" t="s">
        <v>91</v>
      </c>
      <c r="VGZ222" s="40" t="s">
        <v>91</v>
      </c>
      <c r="VHA222" s="40" t="s">
        <v>91</v>
      </c>
      <c r="VHB222" s="40" t="s">
        <v>91</v>
      </c>
      <c r="VHC222" s="40" t="s">
        <v>91</v>
      </c>
      <c r="VHD222" s="40" t="s">
        <v>91</v>
      </c>
      <c r="VHE222" s="40" t="s">
        <v>91</v>
      </c>
      <c r="VHF222" s="40" t="s">
        <v>91</v>
      </c>
      <c r="VHG222" s="40" t="s">
        <v>91</v>
      </c>
      <c r="VHH222" s="40" t="s">
        <v>91</v>
      </c>
      <c r="VHI222" s="40" t="s">
        <v>91</v>
      </c>
      <c r="VHJ222" s="40" t="s">
        <v>91</v>
      </c>
      <c r="VHK222" s="40" t="s">
        <v>91</v>
      </c>
      <c r="VHL222" s="40" t="s">
        <v>91</v>
      </c>
      <c r="VHM222" s="40" t="s">
        <v>91</v>
      </c>
      <c r="VHN222" s="40" t="s">
        <v>91</v>
      </c>
      <c r="VHO222" s="40" t="s">
        <v>91</v>
      </c>
      <c r="VHP222" s="40" t="s">
        <v>91</v>
      </c>
      <c r="VHQ222" s="40" t="s">
        <v>91</v>
      </c>
      <c r="VHR222" s="40" t="s">
        <v>91</v>
      </c>
      <c r="VHS222" s="40" t="s">
        <v>91</v>
      </c>
      <c r="VHT222" s="40" t="s">
        <v>91</v>
      </c>
      <c r="VHU222" s="40" t="s">
        <v>91</v>
      </c>
      <c r="VHV222" s="40" t="s">
        <v>91</v>
      </c>
      <c r="VHW222" s="40" t="s">
        <v>91</v>
      </c>
      <c r="VHX222" s="40" t="s">
        <v>91</v>
      </c>
      <c r="VHY222" s="40" t="s">
        <v>91</v>
      </c>
      <c r="VHZ222" s="40" t="s">
        <v>91</v>
      </c>
      <c r="VIA222" s="40" t="s">
        <v>91</v>
      </c>
      <c r="VIB222" s="40" t="s">
        <v>91</v>
      </c>
      <c r="VIC222" s="40" t="s">
        <v>91</v>
      </c>
      <c r="VID222" s="40" t="s">
        <v>91</v>
      </c>
      <c r="VIE222" s="40" t="s">
        <v>91</v>
      </c>
      <c r="VIF222" s="40" t="s">
        <v>91</v>
      </c>
      <c r="VIG222" s="40" t="s">
        <v>91</v>
      </c>
      <c r="VIH222" s="40" t="s">
        <v>91</v>
      </c>
      <c r="VII222" s="40" t="s">
        <v>91</v>
      </c>
      <c r="VIJ222" s="40" t="s">
        <v>91</v>
      </c>
      <c r="VIK222" s="40" t="s">
        <v>91</v>
      </c>
      <c r="VIL222" s="40" t="s">
        <v>91</v>
      </c>
      <c r="VIM222" s="40" t="s">
        <v>91</v>
      </c>
      <c r="VIN222" s="40" t="s">
        <v>91</v>
      </c>
      <c r="VIO222" s="40" t="s">
        <v>91</v>
      </c>
      <c r="VIP222" s="40" t="s">
        <v>91</v>
      </c>
      <c r="VIQ222" s="40" t="s">
        <v>91</v>
      </c>
      <c r="VIR222" s="40" t="s">
        <v>91</v>
      </c>
      <c r="VIS222" s="40" t="s">
        <v>91</v>
      </c>
      <c r="VIT222" s="40" t="s">
        <v>91</v>
      </c>
      <c r="VIU222" s="40" t="s">
        <v>91</v>
      </c>
      <c r="VIV222" s="40" t="s">
        <v>91</v>
      </c>
      <c r="VIW222" s="40" t="s">
        <v>91</v>
      </c>
      <c r="VIX222" s="40" t="s">
        <v>91</v>
      </c>
      <c r="VIY222" s="40" t="s">
        <v>91</v>
      </c>
      <c r="VIZ222" s="40" t="s">
        <v>91</v>
      </c>
      <c r="VJA222" s="40" t="s">
        <v>91</v>
      </c>
      <c r="VJB222" s="40" t="s">
        <v>91</v>
      </c>
      <c r="VJC222" s="40" t="s">
        <v>91</v>
      </c>
      <c r="VJD222" s="40" t="s">
        <v>91</v>
      </c>
      <c r="VJE222" s="40" t="s">
        <v>91</v>
      </c>
      <c r="VJF222" s="40" t="s">
        <v>91</v>
      </c>
      <c r="VJG222" s="40" t="s">
        <v>91</v>
      </c>
      <c r="VJH222" s="40" t="s">
        <v>91</v>
      </c>
      <c r="VJI222" s="40" t="s">
        <v>91</v>
      </c>
      <c r="VJJ222" s="40" t="s">
        <v>91</v>
      </c>
      <c r="VJK222" s="40" t="s">
        <v>91</v>
      </c>
      <c r="VJL222" s="40" t="s">
        <v>91</v>
      </c>
      <c r="VJM222" s="40" t="s">
        <v>91</v>
      </c>
      <c r="VJN222" s="40" t="s">
        <v>91</v>
      </c>
      <c r="VJO222" s="40" t="s">
        <v>91</v>
      </c>
      <c r="VJP222" s="40" t="s">
        <v>91</v>
      </c>
      <c r="VJQ222" s="40" t="s">
        <v>91</v>
      </c>
      <c r="VJR222" s="40" t="s">
        <v>91</v>
      </c>
      <c r="VJS222" s="40" t="s">
        <v>91</v>
      </c>
      <c r="VJT222" s="40" t="s">
        <v>91</v>
      </c>
      <c r="VJU222" s="40" t="s">
        <v>91</v>
      </c>
      <c r="VJV222" s="40" t="s">
        <v>91</v>
      </c>
      <c r="VJW222" s="40" t="s">
        <v>91</v>
      </c>
      <c r="VJX222" s="40" t="s">
        <v>91</v>
      </c>
      <c r="VJY222" s="40" t="s">
        <v>91</v>
      </c>
      <c r="VJZ222" s="40" t="s">
        <v>91</v>
      </c>
      <c r="VKA222" s="40" t="s">
        <v>91</v>
      </c>
      <c r="VKB222" s="40" t="s">
        <v>91</v>
      </c>
      <c r="VKC222" s="40" t="s">
        <v>91</v>
      </c>
      <c r="VKD222" s="40" t="s">
        <v>91</v>
      </c>
      <c r="VKE222" s="40" t="s">
        <v>91</v>
      </c>
      <c r="VKF222" s="40" t="s">
        <v>91</v>
      </c>
      <c r="VKG222" s="40" t="s">
        <v>91</v>
      </c>
      <c r="VKH222" s="40" t="s">
        <v>91</v>
      </c>
      <c r="VKI222" s="40" t="s">
        <v>91</v>
      </c>
      <c r="VKJ222" s="40" t="s">
        <v>91</v>
      </c>
      <c r="VKK222" s="40" t="s">
        <v>91</v>
      </c>
      <c r="VKL222" s="40" t="s">
        <v>91</v>
      </c>
      <c r="VKM222" s="40" t="s">
        <v>91</v>
      </c>
      <c r="VKN222" s="40" t="s">
        <v>91</v>
      </c>
      <c r="VKO222" s="40" t="s">
        <v>91</v>
      </c>
      <c r="VKP222" s="40" t="s">
        <v>91</v>
      </c>
      <c r="VKQ222" s="40" t="s">
        <v>91</v>
      </c>
      <c r="VKR222" s="40" t="s">
        <v>91</v>
      </c>
      <c r="VKS222" s="40" t="s">
        <v>91</v>
      </c>
      <c r="VKT222" s="40" t="s">
        <v>91</v>
      </c>
      <c r="VKU222" s="40" t="s">
        <v>91</v>
      </c>
      <c r="VKV222" s="40" t="s">
        <v>91</v>
      </c>
      <c r="VKW222" s="40" t="s">
        <v>91</v>
      </c>
      <c r="VKX222" s="40" t="s">
        <v>91</v>
      </c>
      <c r="VKY222" s="40" t="s">
        <v>91</v>
      </c>
      <c r="VKZ222" s="40" t="s">
        <v>91</v>
      </c>
      <c r="VLA222" s="40" t="s">
        <v>91</v>
      </c>
      <c r="VLB222" s="40" t="s">
        <v>91</v>
      </c>
      <c r="VLC222" s="40" t="s">
        <v>91</v>
      </c>
      <c r="VLD222" s="40" t="s">
        <v>91</v>
      </c>
      <c r="VLE222" s="40" t="s">
        <v>91</v>
      </c>
      <c r="VLF222" s="40" t="s">
        <v>91</v>
      </c>
      <c r="VLG222" s="40" t="s">
        <v>91</v>
      </c>
      <c r="VLH222" s="40" t="s">
        <v>91</v>
      </c>
      <c r="VLI222" s="40" t="s">
        <v>91</v>
      </c>
      <c r="VLJ222" s="40" t="s">
        <v>91</v>
      </c>
      <c r="VLK222" s="40" t="s">
        <v>91</v>
      </c>
      <c r="VLL222" s="40" t="s">
        <v>91</v>
      </c>
      <c r="VLM222" s="40" t="s">
        <v>91</v>
      </c>
      <c r="VLN222" s="40" t="s">
        <v>91</v>
      </c>
      <c r="VLO222" s="40" t="s">
        <v>91</v>
      </c>
      <c r="VLP222" s="40" t="s">
        <v>91</v>
      </c>
      <c r="VLQ222" s="40" t="s">
        <v>91</v>
      </c>
      <c r="VLR222" s="40" t="s">
        <v>91</v>
      </c>
      <c r="VLS222" s="40" t="s">
        <v>91</v>
      </c>
      <c r="VLT222" s="40" t="s">
        <v>91</v>
      </c>
      <c r="VLU222" s="40" t="s">
        <v>91</v>
      </c>
      <c r="VLV222" s="40" t="s">
        <v>91</v>
      </c>
      <c r="VLW222" s="40" t="s">
        <v>91</v>
      </c>
      <c r="VLX222" s="40" t="s">
        <v>91</v>
      </c>
      <c r="VLY222" s="40" t="s">
        <v>91</v>
      </c>
      <c r="VLZ222" s="40" t="s">
        <v>91</v>
      </c>
      <c r="VMA222" s="40" t="s">
        <v>91</v>
      </c>
      <c r="VMB222" s="40" t="s">
        <v>91</v>
      </c>
      <c r="VMC222" s="40" t="s">
        <v>91</v>
      </c>
      <c r="VMD222" s="40" t="s">
        <v>91</v>
      </c>
      <c r="VME222" s="40" t="s">
        <v>91</v>
      </c>
      <c r="VMF222" s="40" t="s">
        <v>91</v>
      </c>
      <c r="VMG222" s="40" t="s">
        <v>91</v>
      </c>
      <c r="VMH222" s="40" t="s">
        <v>91</v>
      </c>
      <c r="VMI222" s="40" t="s">
        <v>91</v>
      </c>
      <c r="VMJ222" s="40" t="s">
        <v>91</v>
      </c>
      <c r="VMK222" s="40" t="s">
        <v>91</v>
      </c>
      <c r="VML222" s="40" t="s">
        <v>91</v>
      </c>
      <c r="VMM222" s="40" t="s">
        <v>91</v>
      </c>
      <c r="VMN222" s="40" t="s">
        <v>91</v>
      </c>
      <c r="VMO222" s="40" t="s">
        <v>91</v>
      </c>
      <c r="VMP222" s="40" t="s">
        <v>91</v>
      </c>
      <c r="VMQ222" s="40" t="s">
        <v>91</v>
      </c>
      <c r="VMR222" s="40" t="s">
        <v>91</v>
      </c>
      <c r="VMS222" s="40" t="s">
        <v>91</v>
      </c>
      <c r="VMT222" s="40" t="s">
        <v>91</v>
      </c>
      <c r="VMU222" s="40" t="s">
        <v>91</v>
      </c>
      <c r="VMV222" s="40" t="s">
        <v>91</v>
      </c>
      <c r="VMW222" s="40" t="s">
        <v>91</v>
      </c>
      <c r="VMX222" s="40" t="s">
        <v>91</v>
      </c>
      <c r="VMY222" s="40" t="s">
        <v>91</v>
      </c>
      <c r="VMZ222" s="40" t="s">
        <v>91</v>
      </c>
      <c r="VNA222" s="40" t="s">
        <v>91</v>
      </c>
      <c r="VNB222" s="40" t="s">
        <v>91</v>
      </c>
      <c r="VNC222" s="40" t="s">
        <v>91</v>
      </c>
      <c r="VND222" s="40" t="s">
        <v>91</v>
      </c>
      <c r="VNE222" s="40" t="s">
        <v>91</v>
      </c>
      <c r="VNF222" s="40" t="s">
        <v>91</v>
      </c>
      <c r="VNG222" s="40" t="s">
        <v>91</v>
      </c>
      <c r="VNH222" s="40" t="s">
        <v>91</v>
      </c>
      <c r="VNI222" s="40" t="s">
        <v>91</v>
      </c>
      <c r="VNJ222" s="40" t="s">
        <v>91</v>
      </c>
      <c r="VNK222" s="40" t="s">
        <v>91</v>
      </c>
      <c r="VNL222" s="40" t="s">
        <v>91</v>
      </c>
      <c r="VNM222" s="40" t="s">
        <v>91</v>
      </c>
      <c r="VNN222" s="40" t="s">
        <v>91</v>
      </c>
      <c r="VNO222" s="40" t="s">
        <v>91</v>
      </c>
      <c r="VNP222" s="40" t="s">
        <v>91</v>
      </c>
      <c r="VNQ222" s="40" t="s">
        <v>91</v>
      </c>
      <c r="VNR222" s="40" t="s">
        <v>91</v>
      </c>
      <c r="VNS222" s="40" t="s">
        <v>91</v>
      </c>
      <c r="VNT222" s="40" t="s">
        <v>91</v>
      </c>
      <c r="VNU222" s="40" t="s">
        <v>91</v>
      </c>
      <c r="VNV222" s="40" t="s">
        <v>91</v>
      </c>
      <c r="VNW222" s="40" t="s">
        <v>91</v>
      </c>
      <c r="VNX222" s="40" t="s">
        <v>91</v>
      </c>
      <c r="VNY222" s="40" t="s">
        <v>91</v>
      </c>
      <c r="VNZ222" s="40" t="s">
        <v>91</v>
      </c>
      <c r="VOA222" s="40" t="s">
        <v>91</v>
      </c>
      <c r="VOB222" s="40" t="s">
        <v>91</v>
      </c>
      <c r="VOC222" s="40" t="s">
        <v>91</v>
      </c>
      <c r="VOD222" s="40" t="s">
        <v>91</v>
      </c>
      <c r="VOE222" s="40" t="s">
        <v>91</v>
      </c>
      <c r="VOF222" s="40" t="s">
        <v>91</v>
      </c>
      <c r="VOG222" s="40" t="s">
        <v>91</v>
      </c>
      <c r="VOH222" s="40" t="s">
        <v>91</v>
      </c>
      <c r="VOI222" s="40" t="s">
        <v>91</v>
      </c>
      <c r="VOJ222" s="40" t="s">
        <v>91</v>
      </c>
      <c r="VOK222" s="40" t="s">
        <v>91</v>
      </c>
      <c r="VOL222" s="40" t="s">
        <v>91</v>
      </c>
      <c r="VOM222" s="40" t="s">
        <v>91</v>
      </c>
      <c r="VON222" s="40" t="s">
        <v>91</v>
      </c>
      <c r="VOO222" s="40" t="s">
        <v>91</v>
      </c>
      <c r="VOP222" s="40" t="s">
        <v>91</v>
      </c>
      <c r="VOQ222" s="40" t="s">
        <v>91</v>
      </c>
      <c r="VOR222" s="40" t="s">
        <v>91</v>
      </c>
      <c r="VOS222" s="40" t="s">
        <v>91</v>
      </c>
      <c r="VOT222" s="40" t="s">
        <v>91</v>
      </c>
      <c r="VOU222" s="40" t="s">
        <v>91</v>
      </c>
      <c r="VOV222" s="40" t="s">
        <v>91</v>
      </c>
      <c r="VOW222" s="40" t="s">
        <v>91</v>
      </c>
      <c r="VOX222" s="40" t="s">
        <v>91</v>
      </c>
      <c r="VOY222" s="40" t="s">
        <v>91</v>
      </c>
      <c r="VOZ222" s="40" t="s">
        <v>91</v>
      </c>
      <c r="VPA222" s="40" t="s">
        <v>91</v>
      </c>
      <c r="VPB222" s="40" t="s">
        <v>91</v>
      </c>
      <c r="VPC222" s="40" t="s">
        <v>91</v>
      </c>
      <c r="VPD222" s="40" t="s">
        <v>91</v>
      </c>
      <c r="VPE222" s="40" t="s">
        <v>91</v>
      </c>
      <c r="VPF222" s="40" t="s">
        <v>91</v>
      </c>
      <c r="VPG222" s="40" t="s">
        <v>91</v>
      </c>
      <c r="VPH222" s="40" t="s">
        <v>91</v>
      </c>
      <c r="VPI222" s="40" t="s">
        <v>91</v>
      </c>
      <c r="VPJ222" s="40" t="s">
        <v>91</v>
      </c>
      <c r="VPK222" s="40" t="s">
        <v>91</v>
      </c>
      <c r="VPL222" s="40" t="s">
        <v>91</v>
      </c>
      <c r="VPM222" s="40" t="s">
        <v>91</v>
      </c>
      <c r="VPN222" s="40" t="s">
        <v>91</v>
      </c>
      <c r="VPO222" s="40" t="s">
        <v>91</v>
      </c>
      <c r="VPP222" s="40" t="s">
        <v>91</v>
      </c>
      <c r="VPQ222" s="40" t="s">
        <v>91</v>
      </c>
      <c r="VPR222" s="40" t="s">
        <v>91</v>
      </c>
      <c r="VPS222" s="40" t="s">
        <v>91</v>
      </c>
      <c r="VPT222" s="40" t="s">
        <v>91</v>
      </c>
      <c r="VPU222" s="40" t="s">
        <v>91</v>
      </c>
      <c r="VPV222" s="40" t="s">
        <v>91</v>
      </c>
      <c r="VPW222" s="40" t="s">
        <v>91</v>
      </c>
      <c r="VPX222" s="40" t="s">
        <v>91</v>
      </c>
      <c r="VPY222" s="40" t="s">
        <v>91</v>
      </c>
      <c r="VPZ222" s="40" t="s">
        <v>91</v>
      </c>
      <c r="VQA222" s="40" t="s">
        <v>91</v>
      </c>
      <c r="VQB222" s="40" t="s">
        <v>91</v>
      </c>
      <c r="VQC222" s="40" t="s">
        <v>91</v>
      </c>
      <c r="VQD222" s="40" t="s">
        <v>91</v>
      </c>
      <c r="VQE222" s="40" t="s">
        <v>91</v>
      </c>
      <c r="VQF222" s="40" t="s">
        <v>91</v>
      </c>
      <c r="VQG222" s="40" t="s">
        <v>91</v>
      </c>
      <c r="VQH222" s="40" t="s">
        <v>91</v>
      </c>
      <c r="VQI222" s="40" t="s">
        <v>91</v>
      </c>
      <c r="VQJ222" s="40" t="s">
        <v>91</v>
      </c>
      <c r="VQK222" s="40" t="s">
        <v>91</v>
      </c>
      <c r="VQL222" s="40" t="s">
        <v>91</v>
      </c>
      <c r="VQM222" s="40" t="s">
        <v>91</v>
      </c>
      <c r="VQN222" s="40" t="s">
        <v>91</v>
      </c>
      <c r="VQO222" s="40" t="s">
        <v>91</v>
      </c>
      <c r="VQP222" s="40" t="s">
        <v>91</v>
      </c>
      <c r="VQQ222" s="40" t="s">
        <v>91</v>
      </c>
      <c r="VQR222" s="40" t="s">
        <v>91</v>
      </c>
      <c r="VQS222" s="40" t="s">
        <v>91</v>
      </c>
      <c r="VQT222" s="40" t="s">
        <v>91</v>
      </c>
      <c r="VQU222" s="40" t="s">
        <v>91</v>
      </c>
      <c r="VQV222" s="40" t="s">
        <v>91</v>
      </c>
      <c r="VQW222" s="40" t="s">
        <v>91</v>
      </c>
      <c r="VQX222" s="40" t="s">
        <v>91</v>
      </c>
      <c r="VQY222" s="40" t="s">
        <v>91</v>
      </c>
      <c r="VQZ222" s="40" t="s">
        <v>91</v>
      </c>
      <c r="VRA222" s="40" t="s">
        <v>91</v>
      </c>
      <c r="VRB222" s="40" t="s">
        <v>91</v>
      </c>
      <c r="VRC222" s="40" t="s">
        <v>91</v>
      </c>
      <c r="VRD222" s="40" t="s">
        <v>91</v>
      </c>
      <c r="VRE222" s="40" t="s">
        <v>91</v>
      </c>
      <c r="VRF222" s="40" t="s">
        <v>91</v>
      </c>
      <c r="VRG222" s="40" t="s">
        <v>91</v>
      </c>
      <c r="VRH222" s="40" t="s">
        <v>91</v>
      </c>
      <c r="VRI222" s="40" t="s">
        <v>91</v>
      </c>
      <c r="VRJ222" s="40" t="s">
        <v>91</v>
      </c>
      <c r="VRK222" s="40" t="s">
        <v>91</v>
      </c>
      <c r="VRL222" s="40" t="s">
        <v>91</v>
      </c>
      <c r="VRM222" s="40" t="s">
        <v>91</v>
      </c>
      <c r="VRN222" s="40" t="s">
        <v>91</v>
      </c>
      <c r="VRO222" s="40" t="s">
        <v>91</v>
      </c>
      <c r="VRP222" s="40" t="s">
        <v>91</v>
      </c>
      <c r="VRQ222" s="40" t="s">
        <v>91</v>
      </c>
      <c r="VRR222" s="40" t="s">
        <v>91</v>
      </c>
      <c r="VRS222" s="40" t="s">
        <v>91</v>
      </c>
      <c r="VRT222" s="40" t="s">
        <v>91</v>
      </c>
      <c r="VRU222" s="40" t="s">
        <v>91</v>
      </c>
      <c r="VRV222" s="40" t="s">
        <v>91</v>
      </c>
      <c r="VRW222" s="40" t="s">
        <v>91</v>
      </c>
      <c r="VRX222" s="40" t="s">
        <v>91</v>
      </c>
      <c r="VRY222" s="40" t="s">
        <v>91</v>
      </c>
      <c r="VRZ222" s="40" t="s">
        <v>91</v>
      </c>
      <c r="VSA222" s="40" t="s">
        <v>91</v>
      </c>
      <c r="VSB222" s="40" t="s">
        <v>91</v>
      </c>
      <c r="VSC222" s="40" t="s">
        <v>91</v>
      </c>
      <c r="VSD222" s="40" t="s">
        <v>91</v>
      </c>
      <c r="VSE222" s="40" t="s">
        <v>91</v>
      </c>
      <c r="VSF222" s="40" t="s">
        <v>91</v>
      </c>
      <c r="VSG222" s="40" t="s">
        <v>91</v>
      </c>
      <c r="VSH222" s="40" t="s">
        <v>91</v>
      </c>
      <c r="VSI222" s="40" t="s">
        <v>91</v>
      </c>
      <c r="VSJ222" s="40" t="s">
        <v>91</v>
      </c>
      <c r="VSK222" s="40" t="s">
        <v>91</v>
      </c>
      <c r="VSL222" s="40" t="s">
        <v>91</v>
      </c>
      <c r="VSM222" s="40" t="s">
        <v>91</v>
      </c>
      <c r="VSN222" s="40" t="s">
        <v>91</v>
      </c>
      <c r="VSO222" s="40" t="s">
        <v>91</v>
      </c>
      <c r="VSP222" s="40" t="s">
        <v>91</v>
      </c>
      <c r="VSQ222" s="40" t="s">
        <v>91</v>
      </c>
      <c r="VSR222" s="40" t="s">
        <v>91</v>
      </c>
      <c r="VSS222" s="40" t="s">
        <v>91</v>
      </c>
      <c r="VST222" s="40" t="s">
        <v>91</v>
      </c>
      <c r="VSU222" s="40" t="s">
        <v>91</v>
      </c>
      <c r="VSV222" s="40" t="s">
        <v>91</v>
      </c>
      <c r="VSW222" s="40" t="s">
        <v>91</v>
      </c>
      <c r="VSX222" s="40" t="s">
        <v>91</v>
      </c>
      <c r="VSY222" s="40" t="s">
        <v>91</v>
      </c>
      <c r="VSZ222" s="40" t="s">
        <v>91</v>
      </c>
      <c r="VTA222" s="40" t="s">
        <v>91</v>
      </c>
      <c r="VTB222" s="40" t="s">
        <v>91</v>
      </c>
      <c r="VTC222" s="40" t="s">
        <v>91</v>
      </c>
      <c r="VTD222" s="40" t="s">
        <v>91</v>
      </c>
      <c r="VTE222" s="40" t="s">
        <v>91</v>
      </c>
      <c r="VTF222" s="40" t="s">
        <v>91</v>
      </c>
      <c r="VTG222" s="40" t="s">
        <v>91</v>
      </c>
      <c r="VTH222" s="40" t="s">
        <v>91</v>
      </c>
      <c r="VTI222" s="40" t="s">
        <v>91</v>
      </c>
      <c r="VTJ222" s="40" t="s">
        <v>91</v>
      </c>
      <c r="VTK222" s="40" t="s">
        <v>91</v>
      </c>
      <c r="VTL222" s="40" t="s">
        <v>91</v>
      </c>
      <c r="VTM222" s="40" t="s">
        <v>91</v>
      </c>
      <c r="VTN222" s="40" t="s">
        <v>91</v>
      </c>
      <c r="VTO222" s="40" t="s">
        <v>91</v>
      </c>
      <c r="VTP222" s="40" t="s">
        <v>91</v>
      </c>
      <c r="VTQ222" s="40" t="s">
        <v>91</v>
      </c>
      <c r="VTR222" s="40" t="s">
        <v>91</v>
      </c>
      <c r="VTS222" s="40" t="s">
        <v>91</v>
      </c>
      <c r="VTT222" s="40" t="s">
        <v>91</v>
      </c>
      <c r="VTU222" s="40" t="s">
        <v>91</v>
      </c>
      <c r="VTV222" s="40" t="s">
        <v>91</v>
      </c>
      <c r="VTW222" s="40" t="s">
        <v>91</v>
      </c>
      <c r="VTX222" s="40" t="s">
        <v>91</v>
      </c>
      <c r="VTY222" s="40" t="s">
        <v>91</v>
      </c>
      <c r="VTZ222" s="40" t="s">
        <v>91</v>
      </c>
      <c r="VUA222" s="40" t="s">
        <v>91</v>
      </c>
      <c r="VUB222" s="40" t="s">
        <v>91</v>
      </c>
      <c r="VUC222" s="40" t="s">
        <v>91</v>
      </c>
      <c r="VUD222" s="40" t="s">
        <v>91</v>
      </c>
      <c r="VUE222" s="40" t="s">
        <v>91</v>
      </c>
      <c r="VUF222" s="40" t="s">
        <v>91</v>
      </c>
      <c r="VUG222" s="40" t="s">
        <v>91</v>
      </c>
      <c r="VUH222" s="40" t="s">
        <v>91</v>
      </c>
      <c r="VUI222" s="40" t="s">
        <v>91</v>
      </c>
      <c r="VUJ222" s="40" t="s">
        <v>91</v>
      </c>
      <c r="VUK222" s="40" t="s">
        <v>91</v>
      </c>
      <c r="VUL222" s="40" t="s">
        <v>91</v>
      </c>
      <c r="VUM222" s="40" t="s">
        <v>91</v>
      </c>
      <c r="VUN222" s="40" t="s">
        <v>91</v>
      </c>
      <c r="VUO222" s="40" t="s">
        <v>91</v>
      </c>
      <c r="VUP222" s="40" t="s">
        <v>91</v>
      </c>
      <c r="VUQ222" s="40" t="s">
        <v>91</v>
      </c>
      <c r="VUR222" s="40" t="s">
        <v>91</v>
      </c>
      <c r="VUS222" s="40" t="s">
        <v>91</v>
      </c>
      <c r="VUT222" s="40" t="s">
        <v>91</v>
      </c>
      <c r="VUU222" s="40" t="s">
        <v>91</v>
      </c>
      <c r="VUV222" s="40" t="s">
        <v>91</v>
      </c>
      <c r="VUW222" s="40" t="s">
        <v>91</v>
      </c>
      <c r="VUX222" s="40" t="s">
        <v>91</v>
      </c>
      <c r="VUY222" s="40" t="s">
        <v>91</v>
      </c>
      <c r="VUZ222" s="40" t="s">
        <v>91</v>
      </c>
      <c r="VVA222" s="40" t="s">
        <v>91</v>
      </c>
      <c r="VVB222" s="40" t="s">
        <v>91</v>
      </c>
      <c r="VVC222" s="40" t="s">
        <v>91</v>
      </c>
      <c r="VVD222" s="40" t="s">
        <v>91</v>
      </c>
      <c r="VVE222" s="40" t="s">
        <v>91</v>
      </c>
      <c r="VVF222" s="40" t="s">
        <v>91</v>
      </c>
      <c r="VVG222" s="40" t="s">
        <v>91</v>
      </c>
      <c r="VVH222" s="40" t="s">
        <v>91</v>
      </c>
      <c r="VVI222" s="40" t="s">
        <v>91</v>
      </c>
      <c r="VVJ222" s="40" t="s">
        <v>91</v>
      </c>
      <c r="VVK222" s="40" t="s">
        <v>91</v>
      </c>
      <c r="VVL222" s="40" t="s">
        <v>91</v>
      </c>
      <c r="VVM222" s="40" t="s">
        <v>91</v>
      </c>
      <c r="VVN222" s="40" t="s">
        <v>91</v>
      </c>
      <c r="VVO222" s="40" t="s">
        <v>91</v>
      </c>
      <c r="VVP222" s="40" t="s">
        <v>91</v>
      </c>
      <c r="VVQ222" s="40" t="s">
        <v>91</v>
      </c>
      <c r="VVR222" s="40" t="s">
        <v>91</v>
      </c>
      <c r="VVS222" s="40" t="s">
        <v>91</v>
      </c>
      <c r="VVT222" s="40" t="s">
        <v>91</v>
      </c>
      <c r="VVU222" s="40" t="s">
        <v>91</v>
      </c>
      <c r="VVV222" s="40" t="s">
        <v>91</v>
      </c>
      <c r="VVW222" s="40" t="s">
        <v>91</v>
      </c>
      <c r="VVX222" s="40" t="s">
        <v>91</v>
      </c>
      <c r="VVY222" s="40" t="s">
        <v>91</v>
      </c>
      <c r="VVZ222" s="40" t="s">
        <v>91</v>
      </c>
      <c r="VWA222" s="40" t="s">
        <v>91</v>
      </c>
      <c r="VWB222" s="40" t="s">
        <v>91</v>
      </c>
      <c r="VWC222" s="40" t="s">
        <v>91</v>
      </c>
      <c r="VWD222" s="40" t="s">
        <v>91</v>
      </c>
      <c r="VWE222" s="40" t="s">
        <v>91</v>
      </c>
      <c r="VWF222" s="40" t="s">
        <v>91</v>
      </c>
      <c r="VWG222" s="40" t="s">
        <v>91</v>
      </c>
      <c r="VWH222" s="40" t="s">
        <v>91</v>
      </c>
      <c r="VWI222" s="40" t="s">
        <v>91</v>
      </c>
      <c r="VWJ222" s="40" t="s">
        <v>91</v>
      </c>
      <c r="VWK222" s="40" t="s">
        <v>91</v>
      </c>
      <c r="VWL222" s="40" t="s">
        <v>91</v>
      </c>
      <c r="VWM222" s="40" t="s">
        <v>91</v>
      </c>
      <c r="VWN222" s="40" t="s">
        <v>91</v>
      </c>
      <c r="VWO222" s="40" t="s">
        <v>91</v>
      </c>
      <c r="VWP222" s="40" t="s">
        <v>91</v>
      </c>
      <c r="VWQ222" s="40" t="s">
        <v>91</v>
      </c>
      <c r="VWR222" s="40" t="s">
        <v>91</v>
      </c>
      <c r="VWS222" s="40" t="s">
        <v>91</v>
      </c>
      <c r="VWT222" s="40" t="s">
        <v>91</v>
      </c>
      <c r="VWU222" s="40" t="s">
        <v>91</v>
      </c>
      <c r="VWV222" s="40" t="s">
        <v>91</v>
      </c>
      <c r="VWW222" s="40" t="s">
        <v>91</v>
      </c>
      <c r="VWX222" s="40" t="s">
        <v>91</v>
      </c>
      <c r="VWY222" s="40" t="s">
        <v>91</v>
      </c>
      <c r="VWZ222" s="40" t="s">
        <v>91</v>
      </c>
      <c r="VXA222" s="40" t="s">
        <v>91</v>
      </c>
      <c r="VXB222" s="40" t="s">
        <v>91</v>
      </c>
      <c r="VXC222" s="40" t="s">
        <v>91</v>
      </c>
      <c r="VXD222" s="40" t="s">
        <v>91</v>
      </c>
      <c r="VXE222" s="40" t="s">
        <v>91</v>
      </c>
      <c r="VXF222" s="40" t="s">
        <v>91</v>
      </c>
      <c r="VXG222" s="40" t="s">
        <v>91</v>
      </c>
      <c r="VXH222" s="40" t="s">
        <v>91</v>
      </c>
      <c r="VXI222" s="40" t="s">
        <v>91</v>
      </c>
      <c r="VXJ222" s="40" t="s">
        <v>91</v>
      </c>
      <c r="VXK222" s="40" t="s">
        <v>91</v>
      </c>
      <c r="VXL222" s="40" t="s">
        <v>91</v>
      </c>
      <c r="VXM222" s="40" t="s">
        <v>91</v>
      </c>
      <c r="VXN222" s="40" t="s">
        <v>91</v>
      </c>
      <c r="VXO222" s="40" t="s">
        <v>91</v>
      </c>
      <c r="VXP222" s="40" t="s">
        <v>91</v>
      </c>
      <c r="VXQ222" s="40" t="s">
        <v>91</v>
      </c>
      <c r="VXR222" s="40" t="s">
        <v>91</v>
      </c>
      <c r="VXS222" s="40" t="s">
        <v>91</v>
      </c>
      <c r="VXT222" s="40" t="s">
        <v>91</v>
      </c>
      <c r="VXU222" s="40" t="s">
        <v>91</v>
      </c>
      <c r="VXV222" s="40" t="s">
        <v>91</v>
      </c>
      <c r="VXW222" s="40" t="s">
        <v>91</v>
      </c>
      <c r="VXX222" s="40" t="s">
        <v>91</v>
      </c>
      <c r="VXY222" s="40" t="s">
        <v>91</v>
      </c>
      <c r="VXZ222" s="40" t="s">
        <v>91</v>
      </c>
      <c r="VYA222" s="40" t="s">
        <v>91</v>
      </c>
      <c r="VYB222" s="40" t="s">
        <v>91</v>
      </c>
      <c r="VYC222" s="40" t="s">
        <v>91</v>
      </c>
      <c r="VYD222" s="40" t="s">
        <v>91</v>
      </c>
      <c r="VYE222" s="40" t="s">
        <v>91</v>
      </c>
      <c r="VYF222" s="40" t="s">
        <v>91</v>
      </c>
      <c r="VYG222" s="40" t="s">
        <v>91</v>
      </c>
      <c r="VYH222" s="40" t="s">
        <v>91</v>
      </c>
      <c r="VYI222" s="40" t="s">
        <v>91</v>
      </c>
      <c r="VYJ222" s="40" t="s">
        <v>91</v>
      </c>
      <c r="VYK222" s="40" t="s">
        <v>91</v>
      </c>
      <c r="VYL222" s="40" t="s">
        <v>91</v>
      </c>
      <c r="VYM222" s="40" t="s">
        <v>91</v>
      </c>
      <c r="VYN222" s="40" t="s">
        <v>91</v>
      </c>
      <c r="VYO222" s="40" t="s">
        <v>91</v>
      </c>
      <c r="VYP222" s="40" t="s">
        <v>91</v>
      </c>
      <c r="VYQ222" s="40" t="s">
        <v>91</v>
      </c>
      <c r="VYR222" s="40" t="s">
        <v>91</v>
      </c>
      <c r="VYS222" s="40" t="s">
        <v>91</v>
      </c>
      <c r="VYT222" s="40" t="s">
        <v>91</v>
      </c>
      <c r="VYU222" s="40" t="s">
        <v>91</v>
      </c>
      <c r="VYV222" s="40" t="s">
        <v>91</v>
      </c>
      <c r="VYW222" s="40" t="s">
        <v>91</v>
      </c>
      <c r="VYX222" s="40" t="s">
        <v>91</v>
      </c>
      <c r="VYY222" s="40" t="s">
        <v>91</v>
      </c>
      <c r="VYZ222" s="40" t="s">
        <v>91</v>
      </c>
      <c r="VZA222" s="40" t="s">
        <v>91</v>
      </c>
      <c r="VZB222" s="40" t="s">
        <v>91</v>
      </c>
      <c r="VZC222" s="40" t="s">
        <v>91</v>
      </c>
      <c r="VZD222" s="40" t="s">
        <v>91</v>
      </c>
      <c r="VZE222" s="40" t="s">
        <v>91</v>
      </c>
      <c r="VZF222" s="40" t="s">
        <v>91</v>
      </c>
      <c r="VZG222" s="40" t="s">
        <v>91</v>
      </c>
      <c r="VZH222" s="40" t="s">
        <v>91</v>
      </c>
      <c r="VZI222" s="40" t="s">
        <v>91</v>
      </c>
      <c r="VZJ222" s="40" t="s">
        <v>91</v>
      </c>
      <c r="VZK222" s="40" t="s">
        <v>91</v>
      </c>
      <c r="VZL222" s="40" t="s">
        <v>91</v>
      </c>
      <c r="VZM222" s="40" t="s">
        <v>91</v>
      </c>
      <c r="VZN222" s="40" t="s">
        <v>91</v>
      </c>
      <c r="VZO222" s="40" t="s">
        <v>91</v>
      </c>
      <c r="VZP222" s="40" t="s">
        <v>91</v>
      </c>
      <c r="VZQ222" s="40" t="s">
        <v>91</v>
      </c>
      <c r="VZR222" s="40" t="s">
        <v>91</v>
      </c>
      <c r="VZS222" s="40" t="s">
        <v>91</v>
      </c>
      <c r="VZT222" s="40" t="s">
        <v>91</v>
      </c>
      <c r="VZU222" s="40" t="s">
        <v>91</v>
      </c>
      <c r="VZV222" s="40" t="s">
        <v>91</v>
      </c>
      <c r="VZW222" s="40" t="s">
        <v>91</v>
      </c>
      <c r="VZX222" s="40" t="s">
        <v>91</v>
      </c>
      <c r="VZY222" s="40" t="s">
        <v>91</v>
      </c>
      <c r="VZZ222" s="40" t="s">
        <v>91</v>
      </c>
      <c r="WAA222" s="40" t="s">
        <v>91</v>
      </c>
      <c r="WAB222" s="40" t="s">
        <v>91</v>
      </c>
      <c r="WAC222" s="40" t="s">
        <v>91</v>
      </c>
      <c r="WAD222" s="40" t="s">
        <v>91</v>
      </c>
      <c r="WAE222" s="40" t="s">
        <v>91</v>
      </c>
      <c r="WAF222" s="40" t="s">
        <v>91</v>
      </c>
      <c r="WAG222" s="40" t="s">
        <v>91</v>
      </c>
      <c r="WAH222" s="40" t="s">
        <v>91</v>
      </c>
      <c r="WAI222" s="40" t="s">
        <v>91</v>
      </c>
      <c r="WAJ222" s="40" t="s">
        <v>91</v>
      </c>
      <c r="WAK222" s="40" t="s">
        <v>91</v>
      </c>
      <c r="WAL222" s="40" t="s">
        <v>91</v>
      </c>
      <c r="WAM222" s="40" t="s">
        <v>91</v>
      </c>
      <c r="WAN222" s="40" t="s">
        <v>91</v>
      </c>
      <c r="WAO222" s="40" t="s">
        <v>91</v>
      </c>
      <c r="WAP222" s="40" t="s">
        <v>91</v>
      </c>
      <c r="WAQ222" s="40" t="s">
        <v>91</v>
      </c>
      <c r="WAR222" s="40" t="s">
        <v>91</v>
      </c>
      <c r="WAS222" s="40" t="s">
        <v>91</v>
      </c>
      <c r="WAT222" s="40" t="s">
        <v>91</v>
      </c>
      <c r="WAU222" s="40" t="s">
        <v>91</v>
      </c>
      <c r="WAV222" s="40" t="s">
        <v>91</v>
      </c>
      <c r="WAW222" s="40" t="s">
        <v>91</v>
      </c>
      <c r="WAX222" s="40" t="s">
        <v>91</v>
      </c>
      <c r="WAY222" s="40" t="s">
        <v>91</v>
      </c>
      <c r="WAZ222" s="40" t="s">
        <v>91</v>
      </c>
      <c r="WBA222" s="40" t="s">
        <v>91</v>
      </c>
      <c r="WBB222" s="40" t="s">
        <v>91</v>
      </c>
      <c r="WBC222" s="40" t="s">
        <v>91</v>
      </c>
      <c r="WBD222" s="40" t="s">
        <v>91</v>
      </c>
      <c r="WBE222" s="40" t="s">
        <v>91</v>
      </c>
      <c r="WBF222" s="40" t="s">
        <v>91</v>
      </c>
      <c r="WBG222" s="40" t="s">
        <v>91</v>
      </c>
      <c r="WBH222" s="40" t="s">
        <v>91</v>
      </c>
      <c r="WBI222" s="40" t="s">
        <v>91</v>
      </c>
      <c r="WBJ222" s="40" t="s">
        <v>91</v>
      </c>
      <c r="WBK222" s="40" t="s">
        <v>91</v>
      </c>
      <c r="WBL222" s="40" t="s">
        <v>91</v>
      </c>
      <c r="WBM222" s="40" t="s">
        <v>91</v>
      </c>
      <c r="WBN222" s="40" t="s">
        <v>91</v>
      </c>
      <c r="WBO222" s="40" t="s">
        <v>91</v>
      </c>
      <c r="WBP222" s="40" t="s">
        <v>91</v>
      </c>
      <c r="WBQ222" s="40" t="s">
        <v>91</v>
      </c>
      <c r="WBR222" s="40" t="s">
        <v>91</v>
      </c>
      <c r="WBS222" s="40" t="s">
        <v>91</v>
      </c>
      <c r="WBT222" s="40" t="s">
        <v>91</v>
      </c>
      <c r="WBU222" s="40" t="s">
        <v>91</v>
      </c>
      <c r="WBV222" s="40" t="s">
        <v>91</v>
      </c>
      <c r="WBW222" s="40" t="s">
        <v>91</v>
      </c>
      <c r="WBX222" s="40" t="s">
        <v>91</v>
      </c>
      <c r="WBY222" s="40" t="s">
        <v>91</v>
      </c>
      <c r="WBZ222" s="40" t="s">
        <v>91</v>
      </c>
      <c r="WCA222" s="40" t="s">
        <v>91</v>
      </c>
      <c r="WCB222" s="40" t="s">
        <v>91</v>
      </c>
      <c r="WCC222" s="40" t="s">
        <v>91</v>
      </c>
      <c r="WCD222" s="40" t="s">
        <v>91</v>
      </c>
      <c r="WCE222" s="40" t="s">
        <v>91</v>
      </c>
      <c r="WCF222" s="40" t="s">
        <v>91</v>
      </c>
      <c r="WCG222" s="40" t="s">
        <v>91</v>
      </c>
      <c r="WCH222" s="40" t="s">
        <v>91</v>
      </c>
      <c r="WCI222" s="40" t="s">
        <v>91</v>
      </c>
      <c r="WCJ222" s="40" t="s">
        <v>91</v>
      </c>
      <c r="WCK222" s="40" t="s">
        <v>91</v>
      </c>
      <c r="WCL222" s="40" t="s">
        <v>91</v>
      </c>
      <c r="WCM222" s="40" t="s">
        <v>91</v>
      </c>
      <c r="WCN222" s="40" t="s">
        <v>91</v>
      </c>
      <c r="WCO222" s="40" t="s">
        <v>91</v>
      </c>
      <c r="WCP222" s="40" t="s">
        <v>91</v>
      </c>
      <c r="WCQ222" s="40" t="s">
        <v>91</v>
      </c>
      <c r="WCR222" s="40" t="s">
        <v>91</v>
      </c>
      <c r="WCS222" s="40" t="s">
        <v>91</v>
      </c>
      <c r="WCT222" s="40" t="s">
        <v>91</v>
      </c>
      <c r="WCU222" s="40" t="s">
        <v>91</v>
      </c>
      <c r="WCV222" s="40" t="s">
        <v>91</v>
      </c>
      <c r="WCW222" s="40" t="s">
        <v>91</v>
      </c>
      <c r="WCX222" s="40" t="s">
        <v>91</v>
      </c>
      <c r="WCY222" s="40" t="s">
        <v>91</v>
      </c>
      <c r="WCZ222" s="40" t="s">
        <v>91</v>
      </c>
      <c r="WDA222" s="40" t="s">
        <v>91</v>
      </c>
      <c r="WDB222" s="40" t="s">
        <v>91</v>
      </c>
      <c r="WDC222" s="40" t="s">
        <v>91</v>
      </c>
      <c r="WDD222" s="40" t="s">
        <v>91</v>
      </c>
      <c r="WDE222" s="40" t="s">
        <v>91</v>
      </c>
      <c r="WDF222" s="40" t="s">
        <v>91</v>
      </c>
      <c r="WDG222" s="40" t="s">
        <v>91</v>
      </c>
      <c r="WDH222" s="40" t="s">
        <v>91</v>
      </c>
      <c r="WDI222" s="40" t="s">
        <v>91</v>
      </c>
      <c r="WDJ222" s="40" t="s">
        <v>91</v>
      </c>
      <c r="WDK222" s="40" t="s">
        <v>91</v>
      </c>
      <c r="WDL222" s="40" t="s">
        <v>91</v>
      </c>
      <c r="WDM222" s="40" t="s">
        <v>91</v>
      </c>
      <c r="WDN222" s="40" t="s">
        <v>91</v>
      </c>
      <c r="WDO222" s="40" t="s">
        <v>91</v>
      </c>
      <c r="WDP222" s="40" t="s">
        <v>91</v>
      </c>
      <c r="WDQ222" s="40" t="s">
        <v>91</v>
      </c>
      <c r="WDR222" s="40" t="s">
        <v>91</v>
      </c>
      <c r="WDS222" s="40" t="s">
        <v>91</v>
      </c>
      <c r="WDT222" s="40" t="s">
        <v>91</v>
      </c>
      <c r="WDU222" s="40" t="s">
        <v>91</v>
      </c>
      <c r="WDV222" s="40" t="s">
        <v>91</v>
      </c>
      <c r="WDW222" s="40" t="s">
        <v>91</v>
      </c>
      <c r="WDX222" s="40" t="s">
        <v>91</v>
      </c>
      <c r="WDY222" s="40" t="s">
        <v>91</v>
      </c>
      <c r="WDZ222" s="40" t="s">
        <v>91</v>
      </c>
      <c r="WEA222" s="40" t="s">
        <v>91</v>
      </c>
      <c r="WEB222" s="40" t="s">
        <v>91</v>
      </c>
      <c r="WEC222" s="40" t="s">
        <v>91</v>
      </c>
      <c r="WED222" s="40" t="s">
        <v>91</v>
      </c>
      <c r="WEE222" s="40" t="s">
        <v>91</v>
      </c>
      <c r="WEF222" s="40" t="s">
        <v>91</v>
      </c>
      <c r="WEG222" s="40" t="s">
        <v>91</v>
      </c>
      <c r="WEH222" s="40" t="s">
        <v>91</v>
      </c>
      <c r="WEI222" s="40" t="s">
        <v>91</v>
      </c>
      <c r="WEJ222" s="40" t="s">
        <v>91</v>
      </c>
      <c r="WEK222" s="40" t="s">
        <v>91</v>
      </c>
      <c r="WEL222" s="40" t="s">
        <v>91</v>
      </c>
      <c r="WEM222" s="40" t="s">
        <v>91</v>
      </c>
      <c r="WEN222" s="40" t="s">
        <v>91</v>
      </c>
      <c r="WEO222" s="40" t="s">
        <v>91</v>
      </c>
      <c r="WEP222" s="40" t="s">
        <v>91</v>
      </c>
      <c r="WEQ222" s="40" t="s">
        <v>91</v>
      </c>
      <c r="WER222" s="40" t="s">
        <v>91</v>
      </c>
      <c r="WES222" s="40" t="s">
        <v>91</v>
      </c>
      <c r="WET222" s="40" t="s">
        <v>91</v>
      </c>
      <c r="WEU222" s="40" t="s">
        <v>91</v>
      </c>
      <c r="WEV222" s="40" t="s">
        <v>91</v>
      </c>
      <c r="WEW222" s="40" t="s">
        <v>91</v>
      </c>
      <c r="WEX222" s="40" t="s">
        <v>91</v>
      </c>
      <c r="WEY222" s="40" t="s">
        <v>91</v>
      </c>
      <c r="WEZ222" s="40" t="s">
        <v>91</v>
      </c>
      <c r="WFA222" s="40" t="s">
        <v>91</v>
      </c>
      <c r="WFB222" s="40" t="s">
        <v>91</v>
      </c>
      <c r="WFC222" s="40" t="s">
        <v>91</v>
      </c>
      <c r="WFD222" s="40" t="s">
        <v>91</v>
      </c>
      <c r="WFE222" s="40" t="s">
        <v>91</v>
      </c>
      <c r="WFF222" s="40" t="s">
        <v>91</v>
      </c>
      <c r="WFG222" s="40" t="s">
        <v>91</v>
      </c>
      <c r="WFH222" s="40" t="s">
        <v>91</v>
      </c>
      <c r="WFI222" s="40" t="s">
        <v>91</v>
      </c>
      <c r="WFJ222" s="40" t="s">
        <v>91</v>
      </c>
      <c r="WFK222" s="40" t="s">
        <v>91</v>
      </c>
      <c r="WFL222" s="40" t="s">
        <v>91</v>
      </c>
      <c r="WFM222" s="40" t="s">
        <v>91</v>
      </c>
      <c r="WFN222" s="40" t="s">
        <v>91</v>
      </c>
      <c r="WFO222" s="40" t="s">
        <v>91</v>
      </c>
      <c r="WFP222" s="40" t="s">
        <v>91</v>
      </c>
      <c r="WFQ222" s="40" t="s">
        <v>91</v>
      </c>
      <c r="WFR222" s="40" t="s">
        <v>91</v>
      </c>
      <c r="WFS222" s="40" t="s">
        <v>91</v>
      </c>
      <c r="WFT222" s="40" t="s">
        <v>91</v>
      </c>
      <c r="WFU222" s="40" t="s">
        <v>91</v>
      </c>
      <c r="WFV222" s="40" t="s">
        <v>91</v>
      </c>
      <c r="WFW222" s="40" t="s">
        <v>91</v>
      </c>
      <c r="WFX222" s="40" t="s">
        <v>91</v>
      </c>
      <c r="WFY222" s="40" t="s">
        <v>91</v>
      </c>
      <c r="WFZ222" s="40" t="s">
        <v>91</v>
      </c>
      <c r="WGA222" s="40" t="s">
        <v>91</v>
      </c>
      <c r="WGB222" s="40" t="s">
        <v>91</v>
      </c>
      <c r="WGC222" s="40" t="s">
        <v>91</v>
      </c>
      <c r="WGD222" s="40" t="s">
        <v>91</v>
      </c>
      <c r="WGE222" s="40" t="s">
        <v>91</v>
      </c>
      <c r="WGF222" s="40" t="s">
        <v>91</v>
      </c>
      <c r="WGG222" s="40" t="s">
        <v>91</v>
      </c>
      <c r="WGH222" s="40" t="s">
        <v>91</v>
      </c>
      <c r="WGI222" s="40" t="s">
        <v>91</v>
      </c>
      <c r="WGJ222" s="40" t="s">
        <v>91</v>
      </c>
      <c r="WGK222" s="40" t="s">
        <v>91</v>
      </c>
      <c r="WGL222" s="40" t="s">
        <v>91</v>
      </c>
      <c r="WGM222" s="40" t="s">
        <v>91</v>
      </c>
      <c r="WGN222" s="40" t="s">
        <v>91</v>
      </c>
      <c r="WGO222" s="40" t="s">
        <v>91</v>
      </c>
      <c r="WGP222" s="40" t="s">
        <v>91</v>
      </c>
      <c r="WGQ222" s="40" t="s">
        <v>91</v>
      </c>
      <c r="WGR222" s="40" t="s">
        <v>91</v>
      </c>
      <c r="WGS222" s="40" t="s">
        <v>91</v>
      </c>
      <c r="WGT222" s="40" t="s">
        <v>91</v>
      </c>
      <c r="WGU222" s="40" t="s">
        <v>91</v>
      </c>
      <c r="WGV222" s="40" t="s">
        <v>91</v>
      </c>
      <c r="WGW222" s="40" t="s">
        <v>91</v>
      </c>
      <c r="WGX222" s="40" t="s">
        <v>91</v>
      </c>
      <c r="WGY222" s="40" t="s">
        <v>91</v>
      </c>
      <c r="WGZ222" s="40" t="s">
        <v>91</v>
      </c>
      <c r="WHA222" s="40" t="s">
        <v>91</v>
      </c>
      <c r="WHB222" s="40" t="s">
        <v>91</v>
      </c>
      <c r="WHC222" s="40" t="s">
        <v>91</v>
      </c>
      <c r="WHD222" s="40" t="s">
        <v>91</v>
      </c>
      <c r="WHE222" s="40" t="s">
        <v>91</v>
      </c>
      <c r="WHF222" s="40" t="s">
        <v>91</v>
      </c>
      <c r="WHG222" s="40" t="s">
        <v>91</v>
      </c>
      <c r="WHH222" s="40" t="s">
        <v>91</v>
      </c>
      <c r="WHI222" s="40" t="s">
        <v>91</v>
      </c>
      <c r="WHJ222" s="40" t="s">
        <v>91</v>
      </c>
      <c r="WHK222" s="40" t="s">
        <v>91</v>
      </c>
      <c r="WHL222" s="40" t="s">
        <v>91</v>
      </c>
      <c r="WHM222" s="40" t="s">
        <v>91</v>
      </c>
      <c r="WHN222" s="40" t="s">
        <v>91</v>
      </c>
      <c r="WHO222" s="40" t="s">
        <v>91</v>
      </c>
      <c r="WHP222" s="40" t="s">
        <v>91</v>
      </c>
      <c r="WHQ222" s="40" t="s">
        <v>91</v>
      </c>
      <c r="WHR222" s="40" t="s">
        <v>91</v>
      </c>
      <c r="WHS222" s="40" t="s">
        <v>91</v>
      </c>
      <c r="WHT222" s="40" t="s">
        <v>91</v>
      </c>
      <c r="WHU222" s="40" t="s">
        <v>91</v>
      </c>
      <c r="WHV222" s="40" t="s">
        <v>91</v>
      </c>
      <c r="WHW222" s="40" t="s">
        <v>91</v>
      </c>
      <c r="WHX222" s="40" t="s">
        <v>91</v>
      </c>
      <c r="WHY222" s="40" t="s">
        <v>91</v>
      </c>
      <c r="WHZ222" s="40" t="s">
        <v>91</v>
      </c>
      <c r="WIA222" s="40" t="s">
        <v>91</v>
      </c>
      <c r="WIB222" s="40" t="s">
        <v>91</v>
      </c>
      <c r="WIC222" s="40" t="s">
        <v>91</v>
      </c>
      <c r="WID222" s="40" t="s">
        <v>91</v>
      </c>
      <c r="WIE222" s="40" t="s">
        <v>91</v>
      </c>
      <c r="WIF222" s="40" t="s">
        <v>91</v>
      </c>
      <c r="WIG222" s="40" t="s">
        <v>91</v>
      </c>
      <c r="WIH222" s="40" t="s">
        <v>91</v>
      </c>
      <c r="WII222" s="40" t="s">
        <v>91</v>
      </c>
      <c r="WIJ222" s="40" t="s">
        <v>91</v>
      </c>
      <c r="WIK222" s="40" t="s">
        <v>91</v>
      </c>
      <c r="WIL222" s="40" t="s">
        <v>91</v>
      </c>
      <c r="WIM222" s="40" t="s">
        <v>91</v>
      </c>
      <c r="WIN222" s="40" t="s">
        <v>91</v>
      </c>
      <c r="WIO222" s="40" t="s">
        <v>91</v>
      </c>
      <c r="WIP222" s="40" t="s">
        <v>91</v>
      </c>
      <c r="WIQ222" s="40" t="s">
        <v>91</v>
      </c>
      <c r="WIR222" s="40" t="s">
        <v>91</v>
      </c>
      <c r="WIS222" s="40" t="s">
        <v>91</v>
      </c>
      <c r="WIT222" s="40" t="s">
        <v>91</v>
      </c>
      <c r="WIU222" s="40" t="s">
        <v>91</v>
      </c>
      <c r="WIV222" s="40" t="s">
        <v>91</v>
      </c>
      <c r="WIW222" s="40" t="s">
        <v>91</v>
      </c>
      <c r="WIX222" s="40" t="s">
        <v>91</v>
      </c>
      <c r="WIY222" s="40" t="s">
        <v>91</v>
      </c>
      <c r="WIZ222" s="40" t="s">
        <v>91</v>
      </c>
      <c r="WJA222" s="40" t="s">
        <v>91</v>
      </c>
      <c r="WJB222" s="40" t="s">
        <v>91</v>
      </c>
      <c r="WJC222" s="40" t="s">
        <v>91</v>
      </c>
      <c r="WJD222" s="40" t="s">
        <v>91</v>
      </c>
      <c r="WJE222" s="40" t="s">
        <v>91</v>
      </c>
      <c r="WJF222" s="40" t="s">
        <v>91</v>
      </c>
      <c r="WJG222" s="40" t="s">
        <v>91</v>
      </c>
      <c r="WJH222" s="40" t="s">
        <v>91</v>
      </c>
      <c r="WJI222" s="40" t="s">
        <v>91</v>
      </c>
      <c r="WJJ222" s="40" t="s">
        <v>91</v>
      </c>
      <c r="WJK222" s="40" t="s">
        <v>91</v>
      </c>
      <c r="WJL222" s="40" t="s">
        <v>91</v>
      </c>
      <c r="WJM222" s="40" t="s">
        <v>91</v>
      </c>
      <c r="WJN222" s="40" t="s">
        <v>91</v>
      </c>
      <c r="WJO222" s="40" t="s">
        <v>91</v>
      </c>
      <c r="WJP222" s="40" t="s">
        <v>91</v>
      </c>
      <c r="WJQ222" s="40" t="s">
        <v>91</v>
      </c>
      <c r="WJR222" s="40" t="s">
        <v>91</v>
      </c>
      <c r="WJS222" s="40" t="s">
        <v>91</v>
      </c>
      <c r="WJT222" s="40" t="s">
        <v>91</v>
      </c>
      <c r="WJU222" s="40" t="s">
        <v>91</v>
      </c>
      <c r="WJV222" s="40" t="s">
        <v>91</v>
      </c>
      <c r="WJW222" s="40" t="s">
        <v>91</v>
      </c>
      <c r="WJX222" s="40" t="s">
        <v>91</v>
      </c>
      <c r="WJY222" s="40" t="s">
        <v>91</v>
      </c>
      <c r="WJZ222" s="40" t="s">
        <v>91</v>
      </c>
      <c r="WKA222" s="40" t="s">
        <v>91</v>
      </c>
      <c r="WKB222" s="40" t="s">
        <v>91</v>
      </c>
      <c r="WKC222" s="40" t="s">
        <v>91</v>
      </c>
      <c r="WKD222" s="40" t="s">
        <v>91</v>
      </c>
      <c r="WKE222" s="40" t="s">
        <v>91</v>
      </c>
      <c r="WKF222" s="40" t="s">
        <v>91</v>
      </c>
      <c r="WKG222" s="40" t="s">
        <v>91</v>
      </c>
      <c r="WKH222" s="40" t="s">
        <v>91</v>
      </c>
      <c r="WKI222" s="40" t="s">
        <v>91</v>
      </c>
      <c r="WKJ222" s="40" t="s">
        <v>91</v>
      </c>
      <c r="WKK222" s="40" t="s">
        <v>91</v>
      </c>
      <c r="WKL222" s="40" t="s">
        <v>91</v>
      </c>
      <c r="WKM222" s="40" t="s">
        <v>91</v>
      </c>
      <c r="WKN222" s="40" t="s">
        <v>91</v>
      </c>
      <c r="WKO222" s="40" t="s">
        <v>91</v>
      </c>
      <c r="WKP222" s="40" t="s">
        <v>91</v>
      </c>
      <c r="WKQ222" s="40" t="s">
        <v>91</v>
      </c>
      <c r="WKR222" s="40" t="s">
        <v>91</v>
      </c>
      <c r="WKS222" s="40" t="s">
        <v>91</v>
      </c>
      <c r="WKT222" s="40" t="s">
        <v>91</v>
      </c>
      <c r="WKU222" s="40" t="s">
        <v>91</v>
      </c>
      <c r="WKV222" s="40" t="s">
        <v>91</v>
      </c>
      <c r="WKW222" s="40" t="s">
        <v>91</v>
      </c>
      <c r="WKX222" s="40" t="s">
        <v>91</v>
      </c>
      <c r="WKY222" s="40" t="s">
        <v>91</v>
      </c>
      <c r="WKZ222" s="40" t="s">
        <v>91</v>
      </c>
      <c r="WLA222" s="40" t="s">
        <v>91</v>
      </c>
      <c r="WLB222" s="40" t="s">
        <v>91</v>
      </c>
      <c r="WLC222" s="40" t="s">
        <v>91</v>
      </c>
      <c r="WLD222" s="40" t="s">
        <v>91</v>
      </c>
      <c r="WLE222" s="40" t="s">
        <v>91</v>
      </c>
      <c r="WLF222" s="40" t="s">
        <v>91</v>
      </c>
      <c r="WLG222" s="40" t="s">
        <v>91</v>
      </c>
      <c r="WLH222" s="40" t="s">
        <v>91</v>
      </c>
      <c r="WLI222" s="40" t="s">
        <v>91</v>
      </c>
      <c r="WLJ222" s="40" t="s">
        <v>91</v>
      </c>
      <c r="WLK222" s="40" t="s">
        <v>91</v>
      </c>
      <c r="WLL222" s="40" t="s">
        <v>91</v>
      </c>
      <c r="WLM222" s="40" t="s">
        <v>91</v>
      </c>
      <c r="WLN222" s="40" t="s">
        <v>91</v>
      </c>
      <c r="WLO222" s="40" t="s">
        <v>91</v>
      </c>
      <c r="WLP222" s="40" t="s">
        <v>91</v>
      </c>
      <c r="WLQ222" s="40" t="s">
        <v>91</v>
      </c>
      <c r="WLR222" s="40" t="s">
        <v>91</v>
      </c>
      <c r="WLS222" s="40" t="s">
        <v>91</v>
      </c>
      <c r="WLT222" s="40" t="s">
        <v>91</v>
      </c>
      <c r="WLU222" s="40" t="s">
        <v>91</v>
      </c>
      <c r="WLV222" s="40" t="s">
        <v>91</v>
      </c>
      <c r="WLW222" s="40" t="s">
        <v>91</v>
      </c>
      <c r="WLX222" s="40" t="s">
        <v>91</v>
      </c>
      <c r="WLY222" s="40" t="s">
        <v>91</v>
      </c>
      <c r="WLZ222" s="40" t="s">
        <v>91</v>
      </c>
      <c r="WMA222" s="40" t="s">
        <v>91</v>
      </c>
      <c r="WMB222" s="40" t="s">
        <v>91</v>
      </c>
      <c r="WMC222" s="40" t="s">
        <v>91</v>
      </c>
      <c r="WMD222" s="40" t="s">
        <v>91</v>
      </c>
      <c r="WME222" s="40" t="s">
        <v>91</v>
      </c>
      <c r="WMF222" s="40" t="s">
        <v>91</v>
      </c>
      <c r="WMG222" s="40" t="s">
        <v>91</v>
      </c>
      <c r="WMH222" s="40" t="s">
        <v>91</v>
      </c>
      <c r="WMI222" s="40" t="s">
        <v>91</v>
      </c>
      <c r="WMJ222" s="40" t="s">
        <v>91</v>
      </c>
      <c r="WMK222" s="40" t="s">
        <v>91</v>
      </c>
      <c r="WML222" s="40" t="s">
        <v>91</v>
      </c>
      <c r="WMM222" s="40" t="s">
        <v>91</v>
      </c>
      <c r="WMN222" s="40" t="s">
        <v>91</v>
      </c>
      <c r="WMO222" s="40" t="s">
        <v>91</v>
      </c>
      <c r="WMP222" s="40" t="s">
        <v>91</v>
      </c>
      <c r="WMQ222" s="40" t="s">
        <v>91</v>
      </c>
      <c r="WMR222" s="40" t="s">
        <v>91</v>
      </c>
      <c r="WMS222" s="40" t="s">
        <v>91</v>
      </c>
      <c r="WMT222" s="40" t="s">
        <v>91</v>
      </c>
      <c r="WMU222" s="40" t="s">
        <v>91</v>
      </c>
      <c r="WMV222" s="40" t="s">
        <v>91</v>
      </c>
      <c r="WMW222" s="40" t="s">
        <v>91</v>
      </c>
      <c r="WMX222" s="40" t="s">
        <v>91</v>
      </c>
      <c r="WMY222" s="40" t="s">
        <v>91</v>
      </c>
      <c r="WMZ222" s="40" t="s">
        <v>91</v>
      </c>
      <c r="WNA222" s="40" t="s">
        <v>91</v>
      </c>
      <c r="WNB222" s="40" t="s">
        <v>91</v>
      </c>
      <c r="WNC222" s="40" t="s">
        <v>91</v>
      </c>
      <c r="WND222" s="40" t="s">
        <v>91</v>
      </c>
      <c r="WNE222" s="40" t="s">
        <v>91</v>
      </c>
      <c r="WNF222" s="40" t="s">
        <v>91</v>
      </c>
      <c r="WNG222" s="40" t="s">
        <v>91</v>
      </c>
      <c r="WNH222" s="40" t="s">
        <v>91</v>
      </c>
      <c r="WNI222" s="40" t="s">
        <v>91</v>
      </c>
      <c r="WNJ222" s="40" t="s">
        <v>91</v>
      </c>
      <c r="WNK222" s="40" t="s">
        <v>91</v>
      </c>
      <c r="WNL222" s="40" t="s">
        <v>91</v>
      </c>
      <c r="WNM222" s="40" t="s">
        <v>91</v>
      </c>
      <c r="WNN222" s="40" t="s">
        <v>91</v>
      </c>
      <c r="WNO222" s="40" t="s">
        <v>91</v>
      </c>
      <c r="WNP222" s="40" t="s">
        <v>91</v>
      </c>
      <c r="WNQ222" s="40" t="s">
        <v>91</v>
      </c>
      <c r="WNR222" s="40" t="s">
        <v>91</v>
      </c>
      <c r="WNS222" s="40" t="s">
        <v>91</v>
      </c>
      <c r="WNT222" s="40" t="s">
        <v>91</v>
      </c>
      <c r="WNU222" s="40" t="s">
        <v>91</v>
      </c>
      <c r="WNV222" s="40" t="s">
        <v>91</v>
      </c>
      <c r="WNW222" s="40" t="s">
        <v>91</v>
      </c>
      <c r="WNX222" s="40" t="s">
        <v>91</v>
      </c>
      <c r="WNY222" s="40" t="s">
        <v>91</v>
      </c>
      <c r="WNZ222" s="40" t="s">
        <v>91</v>
      </c>
      <c r="WOA222" s="40" t="s">
        <v>91</v>
      </c>
      <c r="WOB222" s="40" t="s">
        <v>91</v>
      </c>
      <c r="WOC222" s="40" t="s">
        <v>91</v>
      </c>
      <c r="WOD222" s="40" t="s">
        <v>91</v>
      </c>
      <c r="WOE222" s="40" t="s">
        <v>91</v>
      </c>
      <c r="WOF222" s="40" t="s">
        <v>91</v>
      </c>
      <c r="WOG222" s="40" t="s">
        <v>91</v>
      </c>
      <c r="WOH222" s="40" t="s">
        <v>91</v>
      </c>
      <c r="WOI222" s="40" t="s">
        <v>91</v>
      </c>
      <c r="WOJ222" s="40" t="s">
        <v>91</v>
      </c>
      <c r="WOK222" s="40" t="s">
        <v>91</v>
      </c>
      <c r="WOL222" s="40" t="s">
        <v>91</v>
      </c>
      <c r="WOM222" s="40" t="s">
        <v>91</v>
      </c>
      <c r="WON222" s="40" t="s">
        <v>91</v>
      </c>
      <c r="WOO222" s="40" t="s">
        <v>91</v>
      </c>
      <c r="WOP222" s="40" t="s">
        <v>91</v>
      </c>
      <c r="WOQ222" s="40" t="s">
        <v>91</v>
      </c>
      <c r="WOR222" s="40" t="s">
        <v>91</v>
      </c>
      <c r="WOS222" s="40" t="s">
        <v>91</v>
      </c>
      <c r="WOT222" s="40" t="s">
        <v>91</v>
      </c>
      <c r="WOU222" s="40" t="s">
        <v>91</v>
      </c>
      <c r="WOV222" s="40" t="s">
        <v>91</v>
      </c>
      <c r="WOW222" s="40" t="s">
        <v>91</v>
      </c>
      <c r="WOX222" s="40" t="s">
        <v>91</v>
      </c>
      <c r="WOY222" s="40" t="s">
        <v>91</v>
      </c>
      <c r="WOZ222" s="40" t="s">
        <v>91</v>
      </c>
      <c r="WPA222" s="40" t="s">
        <v>91</v>
      </c>
      <c r="WPB222" s="40" t="s">
        <v>91</v>
      </c>
      <c r="WPC222" s="40" t="s">
        <v>91</v>
      </c>
      <c r="WPD222" s="40" t="s">
        <v>91</v>
      </c>
      <c r="WPE222" s="40" t="s">
        <v>91</v>
      </c>
      <c r="WPF222" s="40" t="s">
        <v>91</v>
      </c>
      <c r="WPG222" s="40" t="s">
        <v>91</v>
      </c>
      <c r="WPH222" s="40" t="s">
        <v>91</v>
      </c>
      <c r="WPI222" s="40" t="s">
        <v>91</v>
      </c>
      <c r="WPJ222" s="40" t="s">
        <v>91</v>
      </c>
      <c r="WPK222" s="40" t="s">
        <v>91</v>
      </c>
      <c r="WPL222" s="40" t="s">
        <v>91</v>
      </c>
      <c r="WPM222" s="40" t="s">
        <v>91</v>
      </c>
      <c r="WPN222" s="40" t="s">
        <v>91</v>
      </c>
      <c r="WPO222" s="40" t="s">
        <v>91</v>
      </c>
      <c r="WPP222" s="40" t="s">
        <v>91</v>
      </c>
      <c r="WPQ222" s="40" t="s">
        <v>91</v>
      </c>
      <c r="WPR222" s="40" t="s">
        <v>91</v>
      </c>
      <c r="WPS222" s="40" t="s">
        <v>91</v>
      </c>
      <c r="WPT222" s="40" t="s">
        <v>91</v>
      </c>
      <c r="WPU222" s="40" t="s">
        <v>91</v>
      </c>
      <c r="WPV222" s="40" t="s">
        <v>91</v>
      </c>
      <c r="WPW222" s="40" t="s">
        <v>91</v>
      </c>
      <c r="WPX222" s="40" t="s">
        <v>91</v>
      </c>
      <c r="WPY222" s="40" t="s">
        <v>91</v>
      </c>
      <c r="WPZ222" s="40" t="s">
        <v>91</v>
      </c>
      <c r="WQA222" s="40" t="s">
        <v>91</v>
      </c>
      <c r="WQB222" s="40" t="s">
        <v>91</v>
      </c>
      <c r="WQC222" s="40" t="s">
        <v>91</v>
      </c>
      <c r="WQD222" s="40" t="s">
        <v>91</v>
      </c>
      <c r="WQE222" s="40" t="s">
        <v>91</v>
      </c>
      <c r="WQF222" s="40" t="s">
        <v>91</v>
      </c>
      <c r="WQG222" s="40" t="s">
        <v>91</v>
      </c>
      <c r="WQH222" s="40" t="s">
        <v>91</v>
      </c>
      <c r="WQI222" s="40" t="s">
        <v>91</v>
      </c>
      <c r="WQJ222" s="40" t="s">
        <v>91</v>
      </c>
      <c r="WQK222" s="40" t="s">
        <v>91</v>
      </c>
      <c r="WQL222" s="40" t="s">
        <v>91</v>
      </c>
      <c r="WQM222" s="40" t="s">
        <v>91</v>
      </c>
      <c r="WQN222" s="40" t="s">
        <v>91</v>
      </c>
      <c r="WQO222" s="40" t="s">
        <v>91</v>
      </c>
      <c r="WQP222" s="40" t="s">
        <v>91</v>
      </c>
      <c r="WQQ222" s="40" t="s">
        <v>91</v>
      </c>
      <c r="WQR222" s="40" t="s">
        <v>91</v>
      </c>
      <c r="WQS222" s="40" t="s">
        <v>91</v>
      </c>
      <c r="WQT222" s="40" t="s">
        <v>91</v>
      </c>
      <c r="WQU222" s="40" t="s">
        <v>91</v>
      </c>
      <c r="WQV222" s="40" t="s">
        <v>91</v>
      </c>
      <c r="WQW222" s="40" t="s">
        <v>91</v>
      </c>
      <c r="WQX222" s="40" t="s">
        <v>91</v>
      </c>
      <c r="WQY222" s="40" t="s">
        <v>91</v>
      </c>
      <c r="WQZ222" s="40" t="s">
        <v>91</v>
      </c>
      <c r="WRA222" s="40" t="s">
        <v>91</v>
      </c>
      <c r="WRB222" s="40" t="s">
        <v>91</v>
      </c>
      <c r="WRC222" s="40" t="s">
        <v>91</v>
      </c>
      <c r="WRD222" s="40" t="s">
        <v>91</v>
      </c>
      <c r="WRE222" s="40" t="s">
        <v>91</v>
      </c>
      <c r="WRF222" s="40" t="s">
        <v>91</v>
      </c>
      <c r="WRG222" s="40" t="s">
        <v>91</v>
      </c>
      <c r="WRH222" s="40" t="s">
        <v>91</v>
      </c>
      <c r="WRI222" s="40" t="s">
        <v>91</v>
      </c>
      <c r="WRJ222" s="40" t="s">
        <v>91</v>
      </c>
      <c r="WRK222" s="40" t="s">
        <v>91</v>
      </c>
      <c r="WRL222" s="40" t="s">
        <v>91</v>
      </c>
      <c r="WRM222" s="40" t="s">
        <v>91</v>
      </c>
      <c r="WRN222" s="40" t="s">
        <v>91</v>
      </c>
      <c r="WRO222" s="40" t="s">
        <v>91</v>
      </c>
      <c r="WRP222" s="40" t="s">
        <v>91</v>
      </c>
      <c r="WRQ222" s="40" t="s">
        <v>91</v>
      </c>
      <c r="WRR222" s="40" t="s">
        <v>91</v>
      </c>
      <c r="WRS222" s="40" t="s">
        <v>91</v>
      </c>
      <c r="WRT222" s="40" t="s">
        <v>91</v>
      </c>
      <c r="WRU222" s="40" t="s">
        <v>91</v>
      </c>
      <c r="WRV222" s="40" t="s">
        <v>91</v>
      </c>
      <c r="WRW222" s="40" t="s">
        <v>91</v>
      </c>
      <c r="WRX222" s="40" t="s">
        <v>91</v>
      </c>
      <c r="WRY222" s="40" t="s">
        <v>91</v>
      </c>
      <c r="WRZ222" s="40" t="s">
        <v>91</v>
      </c>
      <c r="WSA222" s="40" t="s">
        <v>91</v>
      </c>
      <c r="WSB222" s="40" t="s">
        <v>91</v>
      </c>
      <c r="WSC222" s="40" t="s">
        <v>91</v>
      </c>
      <c r="WSD222" s="40" t="s">
        <v>91</v>
      </c>
      <c r="WSE222" s="40" t="s">
        <v>91</v>
      </c>
      <c r="WSF222" s="40" t="s">
        <v>91</v>
      </c>
      <c r="WSG222" s="40" t="s">
        <v>91</v>
      </c>
      <c r="WSH222" s="40" t="s">
        <v>91</v>
      </c>
      <c r="WSI222" s="40" t="s">
        <v>91</v>
      </c>
      <c r="WSJ222" s="40" t="s">
        <v>91</v>
      </c>
      <c r="WSK222" s="40" t="s">
        <v>91</v>
      </c>
      <c r="WSL222" s="40" t="s">
        <v>91</v>
      </c>
      <c r="WSM222" s="40" t="s">
        <v>91</v>
      </c>
      <c r="WSN222" s="40" t="s">
        <v>91</v>
      </c>
      <c r="WSO222" s="40" t="s">
        <v>91</v>
      </c>
      <c r="WSP222" s="40" t="s">
        <v>91</v>
      </c>
      <c r="WSQ222" s="40" t="s">
        <v>91</v>
      </c>
      <c r="WSR222" s="40" t="s">
        <v>91</v>
      </c>
      <c r="WSS222" s="40" t="s">
        <v>91</v>
      </c>
      <c r="WST222" s="40" t="s">
        <v>91</v>
      </c>
      <c r="WSU222" s="40" t="s">
        <v>91</v>
      </c>
      <c r="WSV222" s="40" t="s">
        <v>91</v>
      </c>
      <c r="WSW222" s="40" t="s">
        <v>91</v>
      </c>
      <c r="WSX222" s="40" t="s">
        <v>91</v>
      </c>
      <c r="WSY222" s="40" t="s">
        <v>91</v>
      </c>
      <c r="WSZ222" s="40" t="s">
        <v>91</v>
      </c>
      <c r="WTA222" s="40" t="s">
        <v>91</v>
      </c>
      <c r="WTB222" s="40" t="s">
        <v>91</v>
      </c>
      <c r="WTC222" s="40" t="s">
        <v>91</v>
      </c>
      <c r="WTD222" s="40" t="s">
        <v>91</v>
      </c>
      <c r="WTE222" s="40" t="s">
        <v>91</v>
      </c>
      <c r="WTF222" s="40" t="s">
        <v>91</v>
      </c>
      <c r="WTG222" s="40" t="s">
        <v>91</v>
      </c>
      <c r="WTH222" s="40" t="s">
        <v>91</v>
      </c>
      <c r="WTI222" s="40" t="s">
        <v>91</v>
      </c>
      <c r="WTJ222" s="40" t="s">
        <v>91</v>
      </c>
      <c r="WTK222" s="40" t="s">
        <v>91</v>
      </c>
      <c r="WTL222" s="40" t="s">
        <v>91</v>
      </c>
      <c r="WTM222" s="40" t="s">
        <v>91</v>
      </c>
      <c r="WTN222" s="40" t="s">
        <v>91</v>
      </c>
      <c r="WTO222" s="40" t="s">
        <v>91</v>
      </c>
      <c r="WTP222" s="40" t="s">
        <v>91</v>
      </c>
      <c r="WTQ222" s="40" t="s">
        <v>91</v>
      </c>
      <c r="WTR222" s="40" t="s">
        <v>91</v>
      </c>
      <c r="WTS222" s="40" t="s">
        <v>91</v>
      </c>
      <c r="WTT222" s="40" t="s">
        <v>91</v>
      </c>
      <c r="WTU222" s="40" t="s">
        <v>91</v>
      </c>
      <c r="WTV222" s="40" t="s">
        <v>91</v>
      </c>
      <c r="WTW222" s="40" t="s">
        <v>91</v>
      </c>
      <c r="WTX222" s="40" t="s">
        <v>91</v>
      </c>
      <c r="WTY222" s="40" t="s">
        <v>91</v>
      </c>
      <c r="WTZ222" s="40" t="s">
        <v>91</v>
      </c>
      <c r="WUA222" s="40" t="s">
        <v>91</v>
      </c>
      <c r="WUB222" s="40" t="s">
        <v>91</v>
      </c>
      <c r="WUC222" s="40" t="s">
        <v>91</v>
      </c>
      <c r="WUD222" s="40" t="s">
        <v>91</v>
      </c>
      <c r="WUE222" s="40" t="s">
        <v>91</v>
      </c>
      <c r="WUF222" s="40" t="s">
        <v>91</v>
      </c>
      <c r="WUG222" s="40" t="s">
        <v>91</v>
      </c>
      <c r="WUH222" s="40" t="s">
        <v>91</v>
      </c>
      <c r="WUI222" s="40" t="s">
        <v>91</v>
      </c>
      <c r="WUJ222" s="40" t="s">
        <v>91</v>
      </c>
      <c r="WUK222" s="40" t="s">
        <v>91</v>
      </c>
      <c r="WUL222" s="40" t="s">
        <v>91</v>
      </c>
      <c r="WUM222" s="40" t="s">
        <v>91</v>
      </c>
      <c r="WUN222" s="40" t="s">
        <v>91</v>
      </c>
      <c r="WUO222" s="40" t="s">
        <v>91</v>
      </c>
      <c r="WUP222" s="40" t="s">
        <v>91</v>
      </c>
      <c r="WUQ222" s="40" t="s">
        <v>91</v>
      </c>
      <c r="WUR222" s="40" t="s">
        <v>91</v>
      </c>
      <c r="WUS222" s="40" t="s">
        <v>91</v>
      </c>
      <c r="WUT222" s="40" t="s">
        <v>91</v>
      </c>
      <c r="WUU222" s="40" t="s">
        <v>91</v>
      </c>
      <c r="WUV222" s="40" t="s">
        <v>91</v>
      </c>
      <c r="WUW222" s="40" t="s">
        <v>91</v>
      </c>
      <c r="WUX222" s="40" t="s">
        <v>91</v>
      </c>
      <c r="WUY222" s="40" t="s">
        <v>91</v>
      </c>
      <c r="WUZ222" s="40" t="s">
        <v>91</v>
      </c>
      <c r="WVA222" s="40" t="s">
        <v>91</v>
      </c>
      <c r="WVB222" s="40" t="s">
        <v>91</v>
      </c>
      <c r="WVC222" s="40" t="s">
        <v>91</v>
      </c>
      <c r="WVD222" s="40" t="s">
        <v>91</v>
      </c>
      <c r="WVE222" s="40" t="s">
        <v>91</v>
      </c>
      <c r="WVF222" s="40" t="s">
        <v>91</v>
      </c>
      <c r="WVG222" s="40" t="s">
        <v>91</v>
      </c>
      <c r="WVH222" s="40" t="s">
        <v>91</v>
      </c>
      <c r="WVI222" s="40" t="s">
        <v>91</v>
      </c>
      <c r="WVJ222" s="40" t="s">
        <v>91</v>
      </c>
      <c r="WVK222" s="40" t="s">
        <v>91</v>
      </c>
      <c r="WVL222" s="40" t="s">
        <v>91</v>
      </c>
      <c r="WVM222" s="40" t="s">
        <v>91</v>
      </c>
      <c r="WVN222" s="40" t="s">
        <v>91</v>
      </c>
      <c r="WVO222" s="40" t="s">
        <v>91</v>
      </c>
      <c r="WVP222" s="40" t="s">
        <v>91</v>
      </c>
      <c r="WVQ222" s="40" t="s">
        <v>91</v>
      </c>
      <c r="WVR222" s="40" t="s">
        <v>91</v>
      </c>
      <c r="WVS222" s="40" t="s">
        <v>91</v>
      </c>
      <c r="WVT222" s="40" t="s">
        <v>91</v>
      </c>
      <c r="WVU222" s="40" t="s">
        <v>91</v>
      </c>
      <c r="WVV222" s="40" t="s">
        <v>91</v>
      </c>
      <c r="WVW222" s="40" t="s">
        <v>91</v>
      </c>
      <c r="WVX222" s="40" t="s">
        <v>91</v>
      </c>
      <c r="WVY222" s="40" t="s">
        <v>91</v>
      </c>
      <c r="WVZ222" s="40" t="s">
        <v>91</v>
      </c>
      <c r="WWA222" s="40" t="s">
        <v>91</v>
      </c>
      <c r="WWB222" s="40" t="s">
        <v>91</v>
      </c>
      <c r="WWC222" s="40" t="s">
        <v>91</v>
      </c>
      <c r="WWD222" s="40" t="s">
        <v>91</v>
      </c>
      <c r="WWE222" s="40" t="s">
        <v>91</v>
      </c>
      <c r="WWF222" s="40" t="s">
        <v>91</v>
      </c>
      <c r="WWG222" s="40" t="s">
        <v>91</v>
      </c>
      <c r="WWH222" s="40" t="s">
        <v>91</v>
      </c>
      <c r="WWI222" s="40" t="s">
        <v>91</v>
      </c>
      <c r="WWJ222" s="40" t="s">
        <v>91</v>
      </c>
      <c r="WWK222" s="40" t="s">
        <v>91</v>
      </c>
      <c r="WWL222" s="40" t="s">
        <v>91</v>
      </c>
      <c r="WWM222" s="40" t="s">
        <v>91</v>
      </c>
      <c r="WWN222" s="40" t="s">
        <v>91</v>
      </c>
      <c r="WWO222" s="40" t="s">
        <v>91</v>
      </c>
      <c r="WWP222" s="40" t="s">
        <v>91</v>
      </c>
      <c r="WWQ222" s="40" t="s">
        <v>91</v>
      </c>
      <c r="WWR222" s="40" t="s">
        <v>91</v>
      </c>
      <c r="WWS222" s="40" t="s">
        <v>91</v>
      </c>
      <c r="WWT222" s="40" t="s">
        <v>91</v>
      </c>
      <c r="WWU222" s="40" t="s">
        <v>91</v>
      </c>
      <c r="WWV222" s="40" t="s">
        <v>91</v>
      </c>
      <c r="WWW222" s="40" t="s">
        <v>91</v>
      </c>
      <c r="WWX222" s="40" t="s">
        <v>91</v>
      </c>
      <c r="WWY222" s="40" t="s">
        <v>91</v>
      </c>
      <c r="WWZ222" s="40" t="s">
        <v>91</v>
      </c>
      <c r="WXA222" s="40" t="s">
        <v>91</v>
      </c>
      <c r="WXB222" s="40" t="s">
        <v>91</v>
      </c>
      <c r="WXC222" s="40" t="s">
        <v>91</v>
      </c>
      <c r="WXD222" s="40" t="s">
        <v>91</v>
      </c>
      <c r="WXE222" s="40" t="s">
        <v>91</v>
      </c>
      <c r="WXF222" s="40" t="s">
        <v>91</v>
      </c>
      <c r="WXG222" s="40" t="s">
        <v>91</v>
      </c>
      <c r="WXH222" s="40" t="s">
        <v>91</v>
      </c>
      <c r="WXI222" s="40" t="s">
        <v>91</v>
      </c>
      <c r="WXJ222" s="40" t="s">
        <v>91</v>
      </c>
      <c r="WXK222" s="40" t="s">
        <v>91</v>
      </c>
      <c r="WXL222" s="40" t="s">
        <v>91</v>
      </c>
      <c r="WXM222" s="40" t="s">
        <v>91</v>
      </c>
      <c r="WXN222" s="40" t="s">
        <v>91</v>
      </c>
      <c r="WXO222" s="40" t="s">
        <v>91</v>
      </c>
      <c r="WXP222" s="40" t="s">
        <v>91</v>
      </c>
      <c r="WXQ222" s="40" t="s">
        <v>91</v>
      </c>
      <c r="WXR222" s="40" t="s">
        <v>91</v>
      </c>
      <c r="WXS222" s="40" t="s">
        <v>91</v>
      </c>
      <c r="WXT222" s="40" t="s">
        <v>91</v>
      </c>
      <c r="WXU222" s="40" t="s">
        <v>91</v>
      </c>
      <c r="WXV222" s="40" t="s">
        <v>91</v>
      </c>
      <c r="WXW222" s="40" t="s">
        <v>91</v>
      </c>
      <c r="WXX222" s="40" t="s">
        <v>91</v>
      </c>
      <c r="WXY222" s="40" t="s">
        <v>91</v>
      </c>
      <c r="WXZ222" s="40" t="s">
        <v>91</v>
      </c>
      <c r="WYA222" s="40" t="s">
        <v>91</v>
      </c>
      <c r="WYB222" s="40" t="s">
        <v>91</v>
      </c>
      <c r="WYC222" s="40" t="s">
        <v>91</v>
      </c>
      <c r="WYD222" s="40" t="s">
        <v>91</v>
      </c>
      <c r="WYE222" s="40" t="s">
        <v>91</v>
      </c>
      <c r="WYF222" s="40" t="s">
        <v>91</v>
      </c>
      <c r="WYG222" s="40" t="s">
        <v>91</v>
      </c>
      <c r="WYH222" s="40" t="s">
        <v>91</v>
      </c>
      <c r="WYI222" s="40" t="s">
        <v>91</v>
      </c>
      <c r="WYJ222" s="40" t="s">
        <v>91</v>
      </c>
      <c r="WYK222" s="40" t="s">
        <v>91</v>
      </c>
      <c r="WYL222" s="40" t="s">
        <v>91</v>
      </c>
      <c r="WYM222" s="40" t="s">
        <v>91</v>
      </c>
      <c r="WYN222" s="40" t="s">
        <v>91</v>
      </c>
      <c r="WYO222" s="40" t="s">
        <v>91</v>
      </c>
      <c r="WYP222" s="40" t="s">
        <v>91</v>
      </c>
      <c r="WYQ222" s="40" t="s">
        <v>91</v>
      </c>
      <c r="WYR222" s="40" t="s">
        <v>91</v>
      </c>
      <c r="WYS222" s="40" t="s">
        <v>91</v>
      </c>
      <c r="WYT222" s="40" t="s">
        <v>91</v>
      </c>
      <c r="WYU222" s="40" t="s">
        <v>91</v>
      </c>
      <c r="WYV222" s="40" t="s">
        <v>91</v>
      </c>
      <c r="WYW222" s="40" t="s">
        <v>91</v>
      </c>
      <c r="WYX222" s="40" t="s">
        <v>91</v>
      </c>
      <c r="WYY222" s="40" t="s">
        <v>91</v>
      </c>
      <c r="WYZ222" s="40" t="s">
        <v>91</v>
      </c>
      <c r="WZA222" s="40" t="s">
        <v>91</v>
      </c>
      <c r="WZB222" s="40" t="s">
        <v>91</v>
      </c>
      <c r="WZC222" s="40" t="s">
        <v>91</v>
      </c>
      <c r="WZD222" s="40" t="s">
        <v>91</v>
      </c>
      <c r="WZE222" s="40" t="s">
        <v>91</v>
      </c>
      <c r="WZF222" s="40" t="s">
        <v>91</v>
      </c>
      <c r="WZG222" s="40" t="s">
        <v>91</v>
      </c>
      <c r="WZH222" s="40" t="s">
        <v>91</v>
      </c>
      <c r="WZI222" s="40" t="s">
        <v>91</v>
      </c>
      <c r="WZJ222" s="40" t="s">
        <v>91</v>
      </c>
      <c r="WZK222" s="40" t="s">
        <v>91</v>
      </c>
      <c r="WZL222" s="40" t="s">
        <v>91</v>
      </c>
      <c r="WZM222" s="40" t="s">
        <v>91</v>
      </c>
      <c r="WZN222" s="40" t="s">
        <v>91</v>
      </c>
      <c r="WZO222" s="40" t="s">
        <v>91</v>
      </c>
      <c r="WZP222" s="40" t="s">
        <v>91</v>
      </c>
      <c r="WZQ222" s="40" t="s">
        <v>91</v>
      </c>
      <c r="WZR222" s="40" t="s">
        <v>91</v>
      </c>
      <c r="WZS222" s="40" t="s">
        <v>91</v>
      </c>
      <c r="WZT222" s="40" t="s">
        <v>91</v>
      </c>
      <c r="WZU222" s="40" t="s">
        <v>91</v>
      </c>
      <c r="WZV222" s="40" t="s">
        <v>91</v>
      </c>
      <c r="WZW222" s="40" t="s">
        <v>91</v>
      </c>
      <c r="WZX222" s="40" t="s">
        <v>91</v>
      </c>
      <c r="WZY222" s="40" t="s">
        <v>91</v>
      </c>
      <c r="WZZ222" s="40" t="s">
        <v>91</v>
      </c>
      <c r="XAA222" s="40" t="s">
        <v>91</v>
      </c>
      <c r="XAB222" s="40" t="s">
        <v>91</v>
      </c>
      <c r="XAC222" s="40" t="s">
        <v>91</v>
      </c>
      <c r="XAD222" s="40" t="s">
        <v>91</v>
      </c>
      <c r="XAE222" s="40" t="s">
        <v>91</v>
      </c>
      <c r="XAF222" s="40" t="s">
        <v>91</v>
      </c>
      <c r="XAG222" s="40" t="s">
        <v>91</v>
      </c>
      <c r="XAH222" s="40" t="s">
        <v>91</v>
      </c>
      <c r="XAI222" s="40" t="s">
        <v>91</v>
      </c>
      <c r="XAJ222" s="40" t="s">
        <v>91</v>
      </c>
      <c r="XAK222" s="40" t="s">
        <v>91</v>
      </c>
      <c r="XAL222" s="40" t="s">
        <v>91</v>
      </c>
      <c r="XAM222" s="40" t="s">
        <v>91</v>
      </c>
      <c r="XAN222" s="40" t="s">
        <v>91</v>
      </c>
      <c r="XAO222" s="40" t="s">
        <v>91</v>
      </c>
      <c r="XAP222" s="40" t="s">
        <v>91</v>
      </c>
      <c r="XAQ222" s="40" t="s">
        <v>91</v>
      </c>
      <c r="XAR222" s="40" t="s">
        <v>91</v>
      </c>
      <c r="XAS222" s="40" t="s">
        <v>91</v>
      </c>
      <c r="XAT222" s="40" t="s">
        <v>91</v>
      </c>
      <c r="XAU222" s="40" t="s">
        <v>91</v>
      </c>
      <c r="XAV222" s="40" t="s">
        <v>91</v>
      </c>
      <c r="XAW222" s="40" t="s">
        <v>91</v>
      </c>
      <c r="XAX222" s="40" t="s">
        <v>91</v>
      </c>
      <c r="XAY222" s="40" t="s">
        <v>91</v>
      </c>
      <c r="XAZ222" s="40" t="s">
        <v>91</v>
      </c>
      <c r="XBA222" s="40" t="s">
        <v>91</v>
      </c>
      <c r="XBB222" s="40" t="s">
        <v>91</v>
      </c>
      <c r="XBC222" s="40" t="s">
        <v>91</v>
      </c>
      <c r="XBD222" s="40" t="s">
        <v>91</v>
      </c>
      <c r="XBE222" s="40" t="s">
        <v>91</v>
      </c>
      <c r="XBF222" s="40" t="s">
        <v>91</v>
      </c>
      <c r="XBG222" s="40" t="s">
        <v>91</v>
      </c>
      <c r="XBH222" s="40" t="s">
        <v>91</v>
      </c>
      <c r="XBI222" s="40" t="s">
        <v>91</v>
      </c>
      <c r="XBJ222" s="40" t="s">
        <v>91</v>
      </c>
      <c r="XBK222" s="40" t="s">
        <v>91</v>
      </c>
      <c r="XBL222" s="40" t="s">
        <v>91</v>
      </c>
      <c r="XBM222" s="40" t="s">
        <v>91</v>
      </c>
      <c r="XBN222" s="40" t="s">
        <v>91</v>
      </c>
      <c r="XBO222" s="40" t="s">
        <v>91</v>
      </c>
      <c r="XBP222" s="40" t="s">
        <v>91</v>
      </c>
      <c r="XBQ222" s="40" t="s">
        <v>91</v>
      </c>
      <c r="XBR222" s="40" t="s">
        <v>91</v>
      </c>
      <c r="XBS222" s="40" t="s">
        <v>91</v>
      </c>
      <c r="XBT222" s="40" t="s">
        <v>91</v>
      </c>
      <c r="XBU222" s="40" t="s">
        <v>91</v>
      </c>
      <c r="XBV222" s="40" t="s">
        <v>91</v>
      </c>
      <c r="XBW222" s="40" t="s">
        <v>91</v>
      </c>
      <c r="XBX222" s="40" t="s">
        <v>91</v>
      </c>
      <c r="XBY222" s="40" t="s">
        <v>91</v>
      </c>
      <c r="XBZ222" s="40" t="s">
        <v>91</v>
      </c>
      <c r="XCA222" s="40" t="s">
        <v>91</v>
      </c>
      <c r="XCB222" s="40" t="s">
        <v>91</v>
      </c>
      <c r="XCC222" s="40" t="s">
        <v>91</v>
      </c>
      <c r="XCD222" s="40" t="s">
        <v>91</v>
      </c>
      <c r="XCE222" s="40" t="s">
        <v>91</v>
      </c>
      <c r="XCF222" s="40" t="s">
        <v>91</v>
      </c>
      <c r="XCG222" s="40" t="s">
        <v>91</v>
      </c>
      <c r="XCH222" s="40" t="s">
        <v>91</v>
      </c>
      <c r="XCI222" s="40" t="s">
        <v>91</v>
      </c>
      <c r="XCJ222" s="40" t="s">
        <v>91</v>
      </c>
      <c r="XCK222" s="40" t="s">
        <v>91</v>
      </c>
      <c r="XCL222" s="40" t="s">
        <v>91</v>
      </c>
      <c r="XCM222" s="40" t="s">
        <v>91</v>
      </c>
      <c r="XCN222" s="40" t="s">
        <v>91</v>
      </c>
      <c r="XCO222" s="40" t="s">
        <v>91</v>
      </c>
      <c r="XCP222" s="40" t="s">
        <v>91</v>
      </c>
      <c r="XCQ222" s="40" t="s">
        <v>91</v>
      </c>
      <c r="XCR222" s="40" t="s">
        <v>91</v>
      </c>
      <c r="XCS222" s="40" t="s">
        <v>91</v>
      </c>
      <c r="XCT222" s="40" t="s">
        <v>91</v>
      </c>
      <c r="XCU222" s="40" t="s">
        <v>91</v>
      </c>
      <c r="XCV222" s="40" t="s">
        <v>91</v>
      </c>
      <c r="XCW222" s="40" t="s">
        <v>91</v>
      </c>
      <c r="XCX222" s="40" t="s">
        <v>91</v>
      </c>
      <c r="XCY222" s="40" t="s">
        <v>91</v>
      </c>
      <c r="XCZ222" s="40" t="s">
        <v>91</v>
      </c>
      <c r="XDA222" s="40" t="s">
        <v>91</v>
      </c>
      <c r="XDB222" s="40" t="s">
        <v>91</v>
      </c>
      <c r="XDC222" s="40" t="s">
        <v>91</v>
      </c>
      <c r="XDD222" s="40" t="s">
        <v>91</v>
      </c>
      <c r="XDE222" s="40" t="s">
        <v>91</v>
      </c>
      <c r="XDF222" s="40" t="s">
        <v>91</v>
      </c>
      <c r="XDG222" s="40" t="s">
        <v>91</v>
      </c>
      <c r="XDH222" s="40" t="s">
        <v>91</v>
      </c>
      <c r="XDI222" s="40" t="s">
        <v>91</v>
      </c>
      <c r="XDJ222" s="40" t="s">
        <v>91</v>
      </c>
      <c r="XDK222" s="40" t="s">
        <v>91</v>
      </c>
      <c r="XDL222" s="40" t="s">
        <v>91</v>
      </c>
      <c r="XDM222" s="40" t="s">
        <v>91</v>
      </c>
      <c r="XDN222" s="40" t="s">
        <v>91</v>
      </c>
      <c r="XDO222" s="40" t="s">
        <v>91</v>
      </c>
      <c r="XDP222" s="40" t="s">
        <v>91</v>
      </c>
      <c r="XDQ222" s="40" t="s">
        <v>91</v>
      </c>
      <c r="XDR222" s="40" t="s">
        <v>91</v>
      </c>
      <c r="XDS222" s="40" t="s">
        <v>91</v>
      </c>
      <c r="XDT222" s="40" t="s">
        <v>91</v>
      </c>
      <c r="XDU222" s="40" t="s">
        <v>91</v>
      </c>
      <c r="XDV222" s="40" t="s">
        <v>91</v>
      </c>
      <c r="XDW222" s="40" t="s">
        <v>91</v>
      </c>
      <c r="XDX222" s="40" t="s">
        <v>91</v>
      </c>
      <c r="XDY222" s="40" t="s">
        <v>91</v>
      </c>
      <c r="XDZ222" s="40" t="s">
        <v>91</v>
      </c>
      <c r="XEA222" s="40" t="s">
        <v>91</v>
      </c>
      <c r="XEB222" s="40" t="s">
        <v>91</v>
      </c>
      <c r="XEC222" s="40" t="s">
        <v>91</v>
      </c>
      <c r="XED222" s="40" t="s">
        <v>91</v>
      </c>
      <c r="XEE222" s="40" t="s">
        <v>91</v>
      </c>
      <c r="XEF222" s="40" t="s">
        <v>91</v>
      </c>
      <c r="XEG222" s="40" t="s">
        <v>91</v>
      </c>
      <c r="XEH222" s="40" t="s">
        <v>91</v>
      </c>
      <c r="XEI222" s="40" t="s">
        <v>91</v>
      </c>
      <c r="XEJ222" s="40" t="s">
        <v>91</v>
      </c>
      <c r="XEK222" s="40" t="s">
        <v>91</v>
      </c>
      <c r="XEL222" s="40" t="s">
        <v>91</v>
      </c>
      <c r="XEM222" s="40" t="s">
        <v>91</v>
      </c>
      <c r="XEN222" s="40" t="s">
        <v>91</v>
      </c>
      <c r="XEO222" s="40" t="s">
        <v>91</v>
      </c>
      <c r="XEP222" s="40" t="s">
        <v>91</v>
      </c>
      <c r="XEQ222" s="40" t="s">
        <v>91</v>
      </c>
      <c r="XER222" s="40" t="s">
        <v>91</v>
      </c>
      <c r="XES222" s="40" t="s">
        <v>91</v>
      </c>
      <c r="XET222" s="40" t="s">
        <v>91</v>
      </c>
      <c r="XEU222" s="40" t="s">
        <v>91</v>
      </c>
      <c r="XEV222" s="40" t="s">
        <v>91</v>
      </c>
      <c r="XEW222" s="40" t="s">
        <v>91</v>
      </c>
      <c r="XEX222" s="40" t="s">
        <v>91</v>
      </c>
      <c r="XEY222" s="40" t="s">
        <v>91</v>
      </c>
      <c r="XEZ222" s="40" t="s">
        <v>91</v>
      </c>
      <c r="XFA222" s="40" t="s">
        <v>91</v>
      </c>
      <c r="XFB222" s="40" t="s">
        <v>91</v>
      </c>
      <c r="XFC222" s="40" t="s">
        <v>91</v>
      </c>
    </row>
    <row r="223" spans="1:16383" s="16" customFormat="1" ht="27" customHeight="1">
      <c r="A223" s="41"/>
      <c r="B223" s="127"/>
      <c r="C223" s="127"/>
      <c r="D223" s="127"/>
      <c r="E223" s="127"/>
      <c r="F223" s="127"/>
      <c r="G223" s="127"/>
      <c r="H223" s="127"/>
      <c r="I223" s="127"/>
      <c r="J223" s="127"/>
      <c r="K223" s="127"/>
      <c r="L223" s="127"/>
      <c r="M223" s="127"/>
      <c r="N223" s="127"/>
      <c r="O223" s="127"/>
      <c r="P223" s="127"/>
      <c r="Q223" s="127"/>
      <c r="R223" s="127"/>
      <c r="S223" s="127"/>
      <c r="T223" s="86">
        <f>SUM(T222)</f>
        <v>1123</v>
      </c>
    </row>
    <row r="224" spans="1:16383" s="16" customFormat="1" ht="27" customHeight="1">
      <c r="A224" s="41"/>
      <c r="B224" s="42"/>
      <c r="C224" s="42"/>
      <c r="D224" s="42"/>
      <c r="E224" s="42"/>
      <c r="F224" s="42"/>
      <c r="G224" s="42"/>
      <c r="H224" s="42"/>
      <c r="I224" s="42"/>
      <c r="J224" s="42"/>
      <c r="K224" s="42"/>
      <c r="L224" s="42"/>
      <c r="M224" s="42"/>
      <c r="N224" s="42"/>
      <c r="O224" s="42"/>
      <c r="P224" s="42"/>
      <c r="Q224" s="42"/>
      <c r="R224" s="42"/>
      <c r="S224" s="42"/>
      <c r="T224" s="42"/>
    </row>
    <row r="225" spans="1:20" s="16" customFormat="1" ht="2.25" customHeight="1">
      <c r="A225" s="41"/>
      <c r="B225" s="42"/>
      <c r="C225" s="42"/>
      <c r="D225" s="42"/>
      <c r="E225" s="42"/>
      <c r="F225" s="42"/>
      <c r="G225" s="42"/>
      <c r="H225" s="42"/>
      <c r="I225" s="42"/>
      <c r="J225" s="42"/>
      <c r="K225" s="42"/>
      <c r="L225" s="42"/>
      <c r="M225" s="42"/>
      <c r="N225" s="42"/>
      <c r="O225" s="42"/>
      <c r="P225" s="42"/>
      <c r="Q225" s="42"/>
      <c r="R225" s="42"/>
      <c r="S225" s="42"/>
      <c r="T225" s="42"/>
    </row>
    <row r="226" spans="1:20" s="1" customFormat="1" ht="38.25" customHeight="1">
      <c r="A226" s="319" t="s">
        <v>103</v>
      </c>
      <c r="B226" s="320"/>
      <c r="C226" s="320"/>
      <c r="D226" s="320"/>
      <c r="E226" s="320"/>
      <c r="F226" s="320"/>
      <c r="G226" s="320"/>
      <c r="H226" s="320"/>
      <c r="I226" s="320"/>
      <c r="J226" s="320"/>
      <c r="K226" s="320"/>
      <c r="L226" s="320"/>
      <c r="M226" s="320"/>
      <c r="N226" s="320"/>
      <c r="O226" s="320"/>
      <c r="P226" s="320"/>
      <c r="Q226" s="320"/>
      <c r="R226" s="321"/>
      <c r="S226" s="9"/>
    </row>
    <row r="227" spans="1:20" s="1" customFormat="1" ht="24" customHeight="1">
      <c r="A227" s="322" t="s">
        <v>33</v>
      </c>
      <c r="B227" s="323"/>
      <c r="C227" s="323"/>
      <c r="D227" s="323"/>
      <c r="E227" s="323"/>
      <c r="F227" s="323"/>
      <c r="G227" s="323"/>
      <c r="H227" s="323"/>
      <c r="I227" s="323"/>
      <c r="J227" s="323"/>
      <c r="K227" s="323"/>
      <c r="L227" s="323"/>
      <c r="M227" s="323"/>
      <c r="N227" s="323"/>
      <c r="O227" s="323"/>
      <c r="P227" s="323"/>
      <c r="Q227" s="323"/>
      <c r="R227" s="324"/>
      <c r="S227" s="9"/>
    </row>
    <row r="228" spans="1:20" s="1" customFormat="1" ht="23.25" customHeight="1">
      <c r="A228" s="322" t="s">
        <v>54</v>
      </c>
      <c r="B228" s="323"/>
      <c r="C228" s="323"/>
      <c r="D228" s="323"/>
      <c r="E228" s="323"/>
      <c r="F228" s="323"/>
      <c r="G228" s="323"/>
      <c r="H228" s="323"/>
      <c r="I228" s="323"/>
      <c r="J228" s="323"/>
      <c r="K228" s="323"/>
      <c r="L228" s="323"/>
      <c r="M228" s="323"/>
      <c r="N228" s="323"/>
      <c r="O228" s="323"/>
      <c r="P228" s="323"/>
      <c r="Q228" s="324"/>
      <c r="R228" s="112" t="s">
        <v>35</v>
      </c>
      <c r="S228" s="9"/>
    </row>
    <row r="229" spans="1:20" s="1" customFormat="1" ht="27.75" customHeight="1">
      <c r="A229" s="333"/>
      <c r="B229" s="334"/>
      <c r="C229" s="334"/>
      <c r="D229" s="334"/>
      <c r="E229" s="334"/>
      <c r="F229" s="334"/>
      <c r="G229" s="334"/>
      <c r="H229" s="335"/>
      <c r="I229" s="87" t="s">
        <v>6</v>
      </c>
      <c r="J229" s="87" t="s">
        <v>7</v>
      </c>
      <c r="K229" s="87" t="s">
        <v>8</v>
      </c>
      <c r="L229" s="87" t="s">
        <v>9</v>
      </c>
      <c r="M229" s="87" t="s">
        <v>10</v>
      </c>
      <c r="N229" s="87" t="s">
        <v>36</v>
      </c>
      <c r="O229" s="87" t="s">
        <v>37</v>
      </c>
      <c r="P229" s="87" t="s">
        <v>38</v>
      </c>
      <c r="Q229" s="87" t="s">
        <v>39</v>
      </c>
      <c r="R229" s="25"/>
      <c r="S229" s="9"/>
    </row>
    <row r="230" spans="1:20" s="1" customFormat="1" ht="27.75" customHeight="1">
      <c r="A230" s="329" t="s">
        <v>27</v>
      </c>
      <c r="B230" s="330"/>
      <c r="C230" s="330"/>
      <c r="D230" s="330"/>
      <c r="E230" s="330"/>
      <c r="F230" s="330"/>
      <c r="G230" s="330"/>
      <c r="H230" s="331"/>
      <c r="I230" s="115">
        <f>10-3-1+78-40-5-1-1-1</f>
        <v>36</v>
      </c>
      <c r="J230" s="115">
        <f>0+1-1+2-1+199-60-1-2-1-1-3-1-15-1-1</f>
        <v>114</v>
      </c>
      <c r="K230" s="115">
        <f>-4+4+2-2+220-60-7-1-1-1-3-1-1-3-1-4-4-4-1-1-15-1-4</f>
        <v>107</v>
      </c>
      <c r="L230" s="115">
        <f>1-1+2-3+4-3+4-4+217-60-6-3-5-1-2-1-3-1-20-4-1-4-4-1-1-1-20-1-2</f>
        <v>76</v>
      </c>
      <c r="M230" s="115">
        <f>-1+3-1-1+2-2+118-6-30-5-2-5-1-3-1-3-1-1-10-3</f>
        <v>47</v>
      </c>
      <c r="N230" s="115">
        <f>1+2+2-3+63-7-20-1-1-1-1-1-1-1-1-10-1</f>
        <v>19</v>
      </c>
      <c r="O230" s="115">
        <f>20-2-2-3-1-1-4-2-4-1+1-1+35-5-10-2-1-1-1-1-1-2</f>
        <v>11</v>
      </c>
      <c r="P230" s="115"/>
      <c r="Q230" s="115"/>
      <c r="R230" s="126">
        <f>SUM(I230:Q230)</f>
        <v>410</v>
      </c>
      <c r="S230" s="9"/>
    </row>
    <row r="231" spans="1:20" s="1" customFormat="1" ht="27.75" customHeight="1">
      <c r="A231" s="329" t="s">
        <v>30</v>
      </c>
      <c r="B231" s="330"/>
      <c r="C231" s="330"/>
      <c r="D231" s="330"/>
      <c r="E231" s="330"/>
      <c r="F231" s="330"/>
      <c r="G231" s="330"/>
      <c r="H231" s="331"/>
      <c r="I231" s="115">
        <f>41-1-1-1-1-1+1-37+37-1-1-10+29-25-1-1-1-1</f>
        <v>25</v>
      </c>
      <c r="J231" s="115">
        <f>60-1-1-5-3+4-1-1-1-1-1-1-5-1-2-1-39+42-1-10+52-25-2-2-1-6-1-2-1-1-1-6-3-1-2+5-5-1+33-1+1</f>
        <v>61</v>
      </c>
      <c r="K231" s="115">
        <f>131-12-10-11-12+3-1-1-1-1-1-1-1-1-1-1-1-3-5-10-1-1-3-1-3-2-2-4-1-4-38+46-1-1-8-1-1-1-1-4-18+1+18-5+81-12+1-5-1-4-8-1-2-5-2-1-1-1-19+1-1-1-1-4-1-12-1-3-3-2-5-1-1-4-1-1-3+5-4-1+2-2+4+29+10</f>
        <v>43</v>
      </c>
      <c r="L231" s="115">
        <f>130-9-10-13-1-1-1-3-8-1-5-1-1-4-4-5-10-4-1-5-5-2-4-14-14-4+10-1-3-1-1-1-3+3-1-1-1+94-1-1-9-22-5-1-2-30-2-5-2-1-1-10-2+6-6+7-7+52-5</f>
        <v>47</v>
      </c>
      <c r="M231" s="115">
        <f>64-3-5-3-1-1-1-1-1-1-1-1-2-2-1-1-1-3-6-1-2-2-1-3-2-1-2-1-14+10-1-1-1-1-3-2+2-3+58-10-5-1-10-1-1-1-10-1-1-1-1-3-8-1-1-1-1+9-9+11-2-6-3+10-3-7</f>
        <v>0</v>
      </c>
      <c r="N231" s="115">
        <f>32-1+4-3-1-1-1-1-1-1-1-2-6-1-1-2-1-12+9-1-2-1-3-1-1+30-1+1-5-1-1-1-3-10-9+1-1</f>
        <v>0</v>
      </c>
      <c r="O231" s="115">
        <f>20-1-2-1-3-2-1-1-9+3-1-1+19-10-1+9-1-1-1-1-1-1-9-2</f>
        <v>1</v>
      </c>
      <c r="P231" s="115">
        <f>3-3</f>
        <v>0</v>
      </c>
      <c r="Q231" s="115"/>
      <c r="R231" s="126">
        <f>SUM(I231:Q231)</f>
        <v>177</v>
      </c>
      <c r="S231" s="9"/>
    </row>
    <row r="232" spans="1:20" s="1" customFormat="1" ht="30.75" customHeight="1">
      <c r="A232" s="329" t="s">
        <v>104</v>
      </c>
      <c r="B232" s="330"/>
      <c r="C232" s="330"/>
      <c r="D232" s="330"/>
      <c r="E232" s="330"/>
      <c r="F232" s="330"/>
      <c r="G232" s="330"/>
      <c r="H232" s="331"/>
      <c r="I232" s="115">
        <f>49-20-2-1-1</f>
        <v>25</v>
      </c>
      <c r="J232" s="115">
        <f>81-30-2-1-1-10-11-1-5-2</f>
        <v>18</v>
      </c>
      <c r="K232" s="115">
        <f>68-2-2-1-10-2-1-1-2-1-1-15-3-1-1-1-1+45-2-66+106-1-1+8-13-1-1-30-25-2-5+25-1-1-1-1-1-1-1-1-1-3-1-1-2-44</f>
        <v>0</v>
      </c>
      <c r="L232" s="115">
        <f>134-2-2-1-10-2-1-1-1-1-2-1-1-2-1-1-2-3-2+1+40-2-4-2-4-127+83+4+2+3-1-1-7-1-30-2-5-1-2-1-1-2-1-3-2-1-1-1-3-26+1-1</f>
        <v>0</v>
      </c>
      <c r="M232" s="115">
        <f>66-2-2-1-1-10-10-2-1-3-1-1-1-31+36+1-1-1-35+20-20</f>
        <v>0</v>
      </c>
      <c r="N232" s="115">
        <f>34-2-2-1-2-1-1-1-1-1-1-2-2-1-16+18-2-1+19-15-1-1-2-2-1-1</f>
        <v>11</v>
      </c>
      <c r="O232" s="115">
        <f>20-2-2-1-2-2-1-1-2-1-6+5-1+18-10-2-1</f>
        <v>9</v>
      </c>
      <c r="P232" s="115"/>
      <c r="Q232" s="115"/>
      <c r="R232" s="126">
        <f>SUM(I232:Q232)</f>
        <v>63</v>
      </c>
      <c r="S232" s="43"/>
    </row>
    <row r="233" spans="1:20" s="1" customFormat="1" ht="19.5" customHeight="1">
      <c r="A233" s="9"/>
      <c r="B233" s="9"/>
      <c r="C233" s="9"/>
      <c r="D233" s="9"/>
      <c r="E233" s="9"/>
      <c r="F233" s="9"/>
      <c r="G233" s="9"/>
      <c r="H233" s="9"/>
      <c r="I233" s="14"/>
      <c r="J233" s="14"/>
      <c r="K233" s="14"/>
      <c r="L233" s="14"/>
      <c r="M233" s="14"/>
      <c r="N233" s="14"/>
      <c r="O233" s="14"/>
      <c r="P233" s="14"/>
      <c r="Q233" s="14"/>
      <c r="R233" s="111">
        <f>SUM(R230:R232)</f>
        <v>650</v>
      </c>
      <c r="S233" s="43"/>
    </row>
    <row r="234" spans="1:20" s="1" customFormat="1" ht="19.5" customHeight="1">
      <c r="A234" s="42"/>
      <c r="B234" s="42"/>
      <c r="C234" s="42"/>
      <c r="D234" s="42"/>
      <c r="E234" s="42"/>
      <c r="F234" s="42"/>
      <c r="G234" s="42"/>
      <c r="H234" s="42"/>
      <c r="I234" s="14"/>
      <c r="J234" s="14"/>
      <c r="K234" s="14"/>
      <c r="L234" s="14"/>
      <c r="M234" s="14"/>
      <c r="N234" s="14"/>
      <c r="O234" s="14"/>
      <c r="P234" s="14"/>
      <c r="Q234" s="14"/>
      <c r="R234" s="44"/>
      <c r="S234" s="43"/>
    </row>
    <row r="235" spans="1:20" s="1" customFormat="1" ht="31.5" customHeight="1">
      <c r="A235" s="344" t="s">
        <v>105</v>
      </c>
      <c r="B235" s="344"/>
      <c r="C235" s="344"/>
      <c r="D235" s="344"/>
      <c r="E235" s="344"/>
      <c r="F235" s="344"/>
      <c r="G235" s="344"/>
      <c r="H235" s="344"/>
      <c r="I235" s="344"/>
      <c r="J235" s="344"/>
      <c r="K235" s="344"/>
      <c r="L235" s="344"/>
      <c r="M235" s="344"/>
      <c r="N235" s="344"/>
      <c r="O235" s="344"/>
      <c r="P235" s="344"/>
      <c r="Q235" s="344"/>
      <c r="R235" s="344"/>
      <c r="S235" s="344"/>
      <c r="T235" s="345"/>
    </row>
    <row r="236" spans="1:20" s="1" customFormat="1" ht="24" customHeight="1">
      <c r="A236" s="93" t="s">
        <v>47</v>
      </c>
      <c r="B236" s="322" t="s">
        <v>3</v>
      </c>
      <c r="C236" s="323"/>
      <c r="D236" s="323"/>
      <c r="E236" s="323"/>
      <c r="F236" s="323"/>
      <c r="G236" s="323"/>
      <c r="H236" s="323"/>
      <c r="I236" s="323"/>
      <c r="J236" s="324"/>
      <c r="K236" s="322" t="s">
        <v>4</v>
      </c>
      <c r="L236" s="323"/>
      <c r="M236" s="323"/>
      <c r="N236" s="323"/>
      <c r="O236" s="323"/>
      <c r="P236" s="323"/>
      <c r="Q236" s="323"/>
      <c r="R236" s="323"/>
      <c r="S236" s="323"/>
      <c r="T236" s="324"/>
    </row>
    <row r="237" spans="1:20" s="1" customFormat="1" ht="23.25" customHeight="1">
      <c r="A237" s="108" t="s">
        <v>5</v>
      </c>
      <c r="B237" s="107" t="s">
        <v>6</v>
      </c>
      <c r="C237" s="107" t="s">
        <v>7</v>
      </c>
      <c r="D237" s="107" t="s">
        <v>8</v>
      </c>
      <c r="E237" s="107" t="s">
        <v>9</v>
      </c>
      <c r="F237" s="107" t="s">
        <v>10</v>
      </c>
      <c r="G237" s="107" t="s">
        <v>36</v>
      </c>
      <c r="H237" s="107" t="s">
        <v>12</v>
      </c>
      <c r="I237" s="107" t="s">
        <v>13</v>
      </c>
      <c r="J237" s="107" t="s">
        <v>14</v>
      </c>
      <c r="K237" s="107" t="s">
        <v>6</v>
      </c>
      <c r="L237" s="107" t="s">
        <v>7</v>
      </c>
      <c r="M237" s="107" t="s">
        <v>8</v>
      </c>
      <c r="N237" s="107" t="s">
        <v>9</v>
      </c>
      <c r="O237" s="107" t="s">
        <v>10</v>
      </c>
      <c r="P237" s="107" t="s">
        <v>11</v>
      </c>
      <c r="Q237" s="107" t="s">
        <v>12</v>
      </c>
      <c r="R237" s="107" t="s">
        <v>13</v>
      </c>
      <c r="S237" s="107" t="s">
        <v>14</v>
      </c>
      <c r="T237" s="92" t="s">
        <v>48</v>
      </c>
    </row>
    <row r="238" spans="1:20" s="1" customFormat="1" ht="27" customHeight="1">
      <c r="A238" s="135" t="s">
        <v>58</v>
      </c>
      <c r="B238" s="114">
        <f>2-1</f>
        <v>1</v>
      </c>
      <c r="C238" s="114">
        <f>3-1</f>
        <v>2</v>
      </c>
      <c r="D238" s="114">
        <f>5-2</f>
        <v>3</v>
      </c>
      <c r="E238" s="114">
        <f>5-1-1-1</f>
        <v>2</v>
      </c>
      <c r="F238" s="114">
        <f>2+1-2</f>
        <v>1</v>
      </c>
      <c r="G238" s="114">
        <f>1</f>
        <v>1</v>
      </c>
      <c r="H238" s="114">
        <f>1</f>
        <v>1</v>
      </c>
      <c r="I238" s="114">
        <f>1</f>
        <v>1</v>
      </c>
      <c r="J238" s="114">
        <f>1</f>
        <v>1</v>
      </c>
      <c r="K238" s="114">
        <f>4-1</f>
        <v>3</v>
      </c>
      <c r="L238" s="114">
        <f>6-1</f>
        <v>5</v>
      </c>
      <c r="M238" s="115">
        <f>7-1-1-5+1-1</f>
        <v>0</v>
      </c>
      <c r="N238" s="115"/>
      <c r="O238" s="115"/>
      <c r="P238" s="114">
        <f>3-1-2</f>
        <v>0</v>
      </c>
      <c r="Q238" s="114">
        <f>2</f>
        <v>2</v>
      </c>
      <c r="R238" s="114">
        <f>1</f>
        <v>1</v>
      </c>
      <c r="S238" s="114">
        <f>1</f>
        <v>1</v>
      </c>
      <c r="T238" s="110">
        <f>SUM(B238:S238)</f>
        <v>25</v>
      </c>
    </row>
    <row r="239" spans="1:20">
      <c r="T239"/>
    </row>
    <row r="240" spans="1:20">
      <c r="T240"/>
    </row>
    <row r="241" spans="1:12" s="1" customFormat="1" ht="26.25">
      <c r="A241" s="343" t="s">
        <v>106</v>
      </c>
      <c r="B241" s="344"/>
      <c r="C241" s="344"/>
      <c r="D241" s="344"/>
      <c r="E241" s="344"/>
      <c r="F241" s="344"/>
      <c r="G241" s="344"/>
      <c r="H241" s="344"/>
      <c r="I241" s="344"/>
      <c r="J241" s="344"/>
      <c r="K241" s="344"/>
      <c r="L241" s="345"/>
    </row>
    <row r="242" spans="1:12" s="1" customFormat="1" ht="24">
      <c r="A242" s="346" t="s">
        <v>107</v>
      </c>
      <c r="B242" s="347"/>
      <c r="C242" s="346" t="s">
        <v>108</v>
      </c>
      <c r="D242" s="348"/>
      <c r="E242" s="348"/>
      <c r="F242" s="348"/>
      <c r="G242" s="348"/>
      <c r="H242" s="348"/>
      <c r="I242" s="348"/>
      <c r="J242" s="348"/>
      <c r="K242" s="347"/>
      <c r="L242" s="4" t="s">
        <v>35</v>
      </c>
    </row>
    <row r="243" spans="1:12" s="1" customFormat="1" ht="26.25">
      <c r="A243" s="327" t="s">
        <v>109</v>
      </c>
      <c r="B243" s="328"/>
      <c r="C243" s="336">
        <f>50-1-1-1-1-4-4-1-1-1-1-1-5+1-3-4-1-12-2-1-2-1+100-3-15-1-1-2-1-1-75+70-12-1-61+56-1-1-1-20-9-1-3-4-1-1-14</f>
        <v>0</v>
      </c>
      <c r="D243" s="337"/>
      <c r="E243" s="337"/>
      <c r="F243" s="337"/>
      <c r="G243" s="337"/>
      <c r="H243" s="337"/>
      <c r="I243" s="337"/>
      <c r="J243" s="337"/>
      <c r="K243" s="338"/>
      <c r="L243" s="5">
        <f>SUM(C243:J243)</f>
        <v>0</v>
      </c>
    </row>
    <row r="244" spans="1:12" s="1" customFormat="1" ht="26.25">
      <c r="A244" s="327" t="s">
        <v>110</v>
      </c>
      <c r="B244" s="328"/>
      <c r="C244" s="336">
        <f>50-1-1-1-4-1-1-4-1-1-1-1-2+1-1-3-1-1-11-1-2-1-1-1-1-1-1-1-1-1-3+100-15-1-1-40-40-1+100-1-1-1-1-1-1-96+45-25-20</f>
        <v>0</v>
      </c>
      <c r="D244" s="337"/>
      <c r="E244" s="337"/>
      <c r="F244" s="337"/>
      <c r="G244" s="337"/>
      <c r="H244" s="337"/>
      <c r="I244" s="337"/>
      <c r="J244" s="337"/>
      <c r="K244" s="338"/>
      <c r="L244" s="5">
        <f>SUM(C244:J244)</f>
        <v>0</v>
      </c>
    </row>
    <row r="245" spans="1:12" s="1" customFormat="1" ht="26.25">
      <c r="A245" s="377"/>
      <c r="B245" s="377"/>
      <c r="C245" s="9"/>
      <c r="E245" s="9"/>
      <c r="F245" s="9"/>
      <c r="G245" s="9"/>
      <c r="H245" s="9"/>
      <c r="I245" s="9"/>
      <c r="J245" s="9"/>
      <c r="L245" s="105">
        <f>SUM(L243:L244)</f>
        <v>0</v>
      </c>
    </row>
    <row r="246" spans="1:12" s="1" customFormat="1" ht="21">
      <c r="A246" s="55"/>
    </row>
    <row r="247" spans="1:12" s="1" customFormat="1" ht="21">
      <c r="A247" s="55"/>
    </row>
    <row r="248" spans="1:12" s="1" customFormat="1" ht="33" customHeight="1">
      <c r="A248" s="378" t="s">
        <v>111</v>
      </c>
      <c r="B248" s="379"/>
      <c r="C248" s="379"/>
      <c r="D248" s="379"/>
      <c r="E248" s="379"/>
      <c r="F248" s="379"/>
      <c r="G248" s="379"/>
      <c r="H248" s="379"/>
      <c r="I248" s="379"/>
      <c r="J248" s="379"/>
      <c r="K248" s="379"/>
      <c r="L248" s="380"/>
    </row>
    <row r="249" spans="1:12" s="1" customFormat="1" ht="26.25">
      <c r="A249" s="370" t="s">
        <v>107</v>
      </c>
      <c r="B249" s="372"/>
      <c r="C249" s="370" t="s">
        <v>108</v>
      </c>
      <c r="D249" s="371"/>
      <c r="E249" s="371"/>
      <c r="F249" s="371"/>
      <c r="G249" s="371"/>
      <c r="H249" s="371"/>
      <c r="I249" s="371"/>
      <c r="J249" s="371"/>
      <c r="K249" s="372"/>
      <c r="L249" s="87" t="s">
        <v>35</v>
      </c>
    </row>
    <row r="250" spans="1:12" s="1" customFormat="1" ht="26.25">
      <c r="A250" s="327" t="s">
        <v>112</v>
      </c>
      <c r="B250" s="328"/>
      <c r="C250" s="336">
        <f>46-6-1-12</f>
        <v>27</v>
      </c>
      <c r="D250" s="337"/>
      <c r="E250" s="337"/>
      <c r="F250" s="337"/>
      <c r="G250" s="337"/>
      <c r="H250" s="337"/>
      <c r="I250" s="337"/>
      <c r="J250" s="337"/>
      <c r="K250" s="338"/>
      <c r="L250" s="115">
        <f>C250</f>
        <v>27</v>
      </c>
    </row>
    <row r="251" spans="1:12" s="1" customFormat="1" ht="26.25">
      <c r="A251" s="327" t="s">
        <v>113</v>
      </c>
      <c r="B251" s="328"/>
      <c r="C251" s="336">
        <f>10-1-2-1-2-1-1+20-1-1-1+30-30-1+50-9+9+21-5-21+1-1-3-2-1-1-1-1</f>
        <v>54</v>
      </c>
      <c r="D251" s="337"/>
      <c r="E251" s="337"/>
      <c r="F251" s="337"/>
      <c r="G251" s="337"/>
      <c r="H251" s="337"/>
      <c r="I251" s="337"/>
      <c r="J251" s="337"/>
      <c r="K251" s="338"/>
      <c r="L251" s="115">
        <f t="shared" ref="L251:L259" si="3">SUM(C251)</f>
        <v>54</v>
      </c>
    </row>
    <row r="252" spans="1:12" s="1" customFormat="1" ht="21" customHeight="1">
      <c r="A252" s="327" t="s">
        <v>114</v>
      </c>
      <c r="B252" s="328"/>
      <c r="C252" s="336"/>
      <c r="D252" s="337"/>
      <c r="E252" s="337"/>
      <c r="F252" s="337"/>
      <c r="G252" s="337"/>
      <c r="H252" s="337"/>
      <c r="I252" s="337"/>
      <c r="J252" s="337"/>
      <c r="K252" s="338"/>
      <c r="L252" s="115">
        <f>C252</f>
        <v>0</v>
      </c>
    </row>
    <row r="253" spans="1:12" s="1" customFormat="1" ht="21" customHeight="1">
      <c r="A253" s="327" t="s">
        <v>115</v>
      </c>
      <c r="B253" s="328"/>
      <c r="C253" s="336">
        <v>19</v>
      </c>
      <c r="D253" s="337"/>
      <c r="E253" s="337"/>
      <c r="F253" s="337"/>
      <c r="G253" s="337"/>
      <c r="H253" s="337"/>
      <c r="I253" s="337"/>
      <c r="J253" s="337"/>
      <c r="K253" s="338"/>
      <c r="L253" s="115">
        <f t="shared" si="3"/>
        <v>19</v>
      </c>
    </row>
    <row r="254" spans="1:12" s="1" customFormat="1" ht="26.25">
      <c r="A254" s="327" t="s">
        <v>66</v>
      </c>
      <c r="B254" s="328"/>
      <c r="C254" s="336">
        <v>47</v>
      </c>
      <c r="D254" s="337"/>
      <c r="E254" s="337"/>
      <c r="F254" s="337"/>
      <c r="G254" s="337"/>
      <c r="H254" s="337"/>
      <c r="I254" s="337"/>
      <c r="J254" s="337"/>
      <c r="K254" s="338"/>
      <c r="L254" s="115">
        <f t="shared" si="3"/>
        <v>47</v>
      </c>
    </row>
    <row r="255" spans="1:12" s="1" customFormat="1" ht="26.25">
      <c r="A255" s="327" t="s">
        <v>27</v>
      </c>
      <c r="B255" s="328"/>
      <c r="C255" s="336">
        <f>25-8-2</f>
        <v>15</v>
      </c>
      <c r="D255" s="337"/>
      <c r="E255" s="337"/>
      <c r="F255" s="337"/>
      <c r="G255" s="337"/>
      <c r="H255" s="337"/>
      <c r="I255" s="337"/>
      <c r="J255" s="337"/>
      <c r="K255" s="338"/>
      <c r="L255" s="115">
        <f t="shared" si="3"/>
        <v>15</v>
      </c>
    </row>
    <row r="256" spans="1:12" s="1" customFormat="1" ht="26.25">
      <c r="A256" s="327" t="s">
        <v>58</v>
      </c>
      <c r="B256" s="328"/>
      <c r="C256" s="336">
        <f>52-1</f>
        <v>51</v>
      </c>
      <c r="D256" s="337"/>
      <c r="E256" s="337"/>
      <c r="F256" s="337"/>
      <c r="G256" s="337"/>
      <c r="H256" s="337"/>
      <c r="I256" s="337"/>
      <c r="J256" s="337"/>
      <c r="K256" s="338"/>
      <c r="L256" s="115">
        <f t="shared" si="3"/>
        <v>51</v>
      </c>
    </row>
    <row r="257" spans="1:21" s="1" customFormat="1" ht="26.25">
      <c r="A257" s="327" t="s">
        <v>67</v>
      </c>
      <c r="B257" s="328"/>
      <c r="C257" s="336">
        <f>50-2</f>
        <v>48</v>
      </c>
      <c r="D257" s="337"/>
      <c r="E257" s="337"/>
      <c r="F257" s="337"/>
      <c r="G257" s="337"/>
      <c r="H257" s="337"/>
      <c r="I257" s="337"/>
      <c r="J257" s="337"/>
      <c r="K257" s="338"/>
      <c r="L257" s="115">
        <f t="shared" si="3"/>
        <v>48</v>
      </c>
    </row>
    <row r="258" spans="1:21" s="1" customFormat="1" ht="26.25">
      <c r="A258" s="327" t="s">
        <v>19</v>
      </c>
      <c r="B258" s="328"/>
      <c r="C258" s="336">
        <f>28-1</f>
        <v>27</v>
      </c>
      <c r="D258" s="337"/>
      <c r="E258" s="337"/>
      <c r="F258" s="337"/>
      <c r="G258" s="337"/>
      <c r="H258" s="337"/>
      <c r="I258" s="337"/>
      <c r="J258" s="337"/>
      <c r="K258" s="338"/>
      <c r="L258" s="115">
        <f t="shared" si="3"/>
        <v>27</v>
      </c>
    </row>
    <row r="259" spans="1:21" s="1" customFormat="1" ht="26.25">
      <c r="A259" s="327" t="s">
        <v>30</v>
      </c>
      <c r="B259" s="328"/>
      <c r="C259" s="336">
        <f>54-1-3</f>
        <v>50</v>
      </c>
      <c r="D259" s="337"/>
      <c r="E259" s="337"/>
      <c r="F259" s="337"/>
      <c r="G259" s="337"/>
      <c r="H259" s="337"/>
      <c r="I259" s="337"/>
      <c r="J259" s="337"/>
      <c r="K259" s="338"/>
      <c r="L259" s="115">
        <f t="shared" si="3"/>
        <v>50</v>
      </c>
    </row>
    <row r="260" spans="1:21" s="1" customFormat="1" ht="26.25">
      <c r="A260" s="327" t="s">
        <v>25</v>
      </c>
      <c r="B260" s="328"/>
      <c r="C260" s="336">
        <f>47-1</f>
        <v>46</v>
      </c>
      <c r="D260" s="337"/>
      <c r="E260" s="337"/>
      <c r="F260" s="337"/>
      <c r="G260" s="337"/>
      <c r="H260" s="337"/>
      <c r="I260" s="337"/>
      <c r="J260" s="337"/>
      <c r="K260" s="338"/>
      <c r="L260" s="115">
        <f t="shared" ref="L260" si="4">SUM(C260)</f>
        <v>46</v>
      </c>
    </row>
    <row r="261" spans="1:21" s="1" customFormat="1" ht="26.25">
      <c r="A261" s="327" t="s">
        <v>16</v>
      </c>
      <c r="B261" s="328"/>
      <c r="C261" s="336">
        <f>44-6</f>
        <v>38</v>
      </c>
      <c r="D261" s="337"/>
      <c r="E261" s="337"/>
      <c r="F261" s="337"/>
      <c r="G261" s="337"/>
      <c r="H261" s="337"/>
      <c r="I261" s="337"/>
      <c r="J261" s="337"/>
      <c r="K261" s="338"/>
      <c r="L261" s="115">
        <f>C261</f>
        <v>38</v>
      </c>
    </row>
    <row r="262" spans="1:21" ht="26.25">
      <c r="A262" s="55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04">
        <f>SUM(L250:L261)</f>
        <v>422</v>
      </c>
    </row>
    <row r="263" spans="1:21" s="9" customFormat="1" ht="19.5" customHeight="1"/>
    <row r="264" spans="1:21" s="9" customFormat="1" ht="19.5" customHeight="1">
      <c r="A264" s="264" t="s">
        <v>116</v>
      </c>
      <c r="B264" s="265"/>
      <c r="C264" s="265"/>
      <c r="D264" s="265"/>
      <c r="E264" s="265"/>
      <c r="F264" s="265"/>
      <c r="G264" s="265"/>
      <c r="H264" s="265"/>
      <c r="I264" s="265"/>
      <c r="J264" s="265"/>
      <c r="K264" s="265"/>
      <c r="L264" s="265"/>
      <c r="M264" s="265"/>
      <c r="N264" s="265"/>
      <c r="O264" s="265"/>
      <c r="P264" s="265"/>
      <c r="Q264" s="265"/>
      <c r="R264" s="265"/>
      <c r="S264" s="265"/>
      <c r="T264" s="265"/>
      <c r="U264" s="46"/>
    </row>
    <row r="265" spans="1:21" s="9" customFormat="1" ht="19.5" customHeight="1">
      <c r="A265" s="266"/>
      <c r="B265" s="267"/>
      <c r="C265" s="267"/>
      <c r="D265" s="267"/>
      <c r="E265" s="267"/>
      <c r="F265" s="267"/>
      <c r="G265" s="267"/>
      <c r="H265" s="267"/>
      <c r="I265" s="267"/>
      <c r="J265" s="267"/>
      <c r="K265" s="267"/>
      <c r="L265" s="267"/>
      <c r="M265" s="267"/>
      <c r="N265" s="267"/>
      <c r="O265" s="267"/>
      <c r="P265" s="267"/>
      <c r="Q265" s="267"/>
      <c r="R265" s="267"/>
      <c r="S265" s="267"/>
      <c r="T265" s="267"/>
      <c r="U265" s="46"/>
    </row>
    <row r="266" spans="1:21" s="9" customFormat="1" ht="19.5" customHeight="1">
      <c r="A266" s="103"/>
      <c r="B266" s="102" t="s">
        <v>3</v>
      </c>
      <c r="C266" s="254"/>
      <c r="D266" s="254"/>
      <c r="E266" s="254"/>
      <c r="F266" s="254"/>
      <c r="G266" s="254"/>
      <c r="H266" s="254"/>
      <c r="I266" s="101"/>
      <c r="J266" s="102" t="s">
        <v>117</v>
      </c>
      <c r="K266" s="254"/>
      <c r="L266" s="254"/>
      <c r="M266" s="254"/>
      <c r="N266" s="254"/>
      <c r="O266" s="254"/>
      <c r="P266" s="254"/>
      <c r="Q266" s="254"/>
      <c r="R266" s="254"/>
      <c r="S266" s="101"/>
      <c r="T266" s="268" t="s">
        <v>15</v>
      </c>
      <c r="U266" s="269"/>
    </row>
    <row r="267" spans="1:21" s="9" customFormat="1" ht="19.5" customHeight="1">
      <c r="A267" s="103" t="s">
        <v>118</v>
      </c>
      <c r="B267" s="87">
        <v>5</v>
      </c>
      <c r="C267" s="87">
        <v>7</v>
      </c>
      <c r="D267" s="87">
        <v>9</v>
      </c>
      <c r="E267" s="87">
        <v>11</v>
      </c>
      <c r="F267" s="87">
        <v>13</v>
      </c>
      <c r="G267" s="87">
        <v>15</v>
      </c>
      <c r="H267" s="87">
        <v>17</v>
      </c>
      <c r="I267" s="87">
        <v>19</v>
      </c>
      <c r="J267" s="87">
        <v>28</v>
      </c>
      <c r="K267" s="87">
        <v>30</v>
      </c>
      <c r="L267" s="87">
        <v>32</v>
      </c>
      <c r="M267" s="87">
        <v>34</v>
      </c>
      <c r="N267" s="87">
        <v>36</v>
      </c>
      <c r="O267" s="87">
        <v>38</v>
      </c>
      <c r="P267" s="87">
        <v>40</v>
      </c>
      <c r="Q267" s="87">
        <v>42</v>
      </c>
      <c r="R267" s="87">
        <v>44</v>
      </c>
      <c r="S267" s="87">
        <v>46</v>
      </c>
      <c r="T267" s="262"/>
      <c r="U267" s="263"/>
    </row>
    <row r="268" spans="1:21" s="9" customFormat="1" ht="58.5" customHeight="1">
      <c r="A268" s="271" t="s">
        <v>119</v>
      </c>
      <c r="B268" s="122"/>
      <c r="C268" s="122"/>
      <c r="D268" s="122"/>
      <c r="E268" s="122"/>
      <c r="F268" s="122"/>
      <c r="G268" s="122"/>
      <c r="H268" s="122"/>
      <c r="I268" s="122"/>
      <c r="J268" s="122"/>
      <c r="K268" s="122"/>
      <c r="L268" s="122">
        <f>3-1-1+6</f>
        <v>7</v>
      </c>
      <c r="M268" s="122">
        <f>5-1-1-1-1+1-1+4</f>
        <v>5</v>
      </c>
      <c r="N268" s="122"/>
      <c r="O268" s="122"/>
      <c r="P268" s="122"/>
      <c r="Q268" s="122"/>
      <c r="R268" s="122"/>
      <c r="S268" s="122"/>
      <c r="T268" s="273">
        <f>SUM(B268:R269)</f>
        <v>12</v>
      </c>
      <c r="U268" s="274"/>
    </row>
    <row r="269" spans="1:21" s="9" customFormat="1" ht="8.25" customHeight="1">
      <c r="A269" s="272"/>
      <c r="B269" s="270"/>
      <c r="C269" s="270"/>
      <c r="D269" s="270"/>
      <c r="E269" s="270"/>
      <c r="F269" s="270"/>
      <c r="G269" s="270"/>
      <c r="H269" s="270"/>
      <c r="I269" s="270"/>
      <c r="J269" s="270"/>
      <c r="K269" s="270"/>
      <c r="L269" s="270"/>
      <c r="M269" s="270"/>
      <c r="N269" s="270"/>
      <c r="O269" s="270"/>
      <c r="P269" s="270"/>
      <c r="Q269" s="270"/>
      <c r="R269" s="270"/>
      <c r="S269" s="270"/>
      <c r="T269" s="97"/>
      <c r="U269" s="98"/>
    </row>
    <row r="270" spans="1:21" s="1" customFormat="1" ht="34.5" customHeight="1">
      <c r="A270" s="397" t="s">
        <v>120</v>
      </c>
      <c r="B270" s="397"/>
      <c r="C270" s="397"/>
      <c r="D270" s="397"/>
      <c r="E270" s="397"/>
      <c r="F270" s="397"/>
      <c r="G270" s="397"/>
      <c r="H270" s="397"/>
      <c r="I270" s="397"/>
      <c r="J270" s="397"/>
      <c r="K270" s="397"/>
      <c r="L270" s="397"/>
      <c r="M270" s="397"/>
      <c r="N270" s="397"/>
      <c r="O270" s="397"/>
      <c r="P270" s="397"/>
      <c r="Q270" s="397"/>
      <c r="R270" s="397"/>
      <c r="S270" s="397"/>
      <c r="T270" s="397"/>
      <c r="U270" s="398"/>
    </row>
    <row r="271" spans="1:21" s="1" customFormat="1" ht="30" customHeight="1">
      <c r="A271" s="399"/>
      <c r="B271" s="399"/>
      <c r="C271" s="399"/>
      <c r="D271" s="399"/>
      <c r="E271" s="399"/>
      <c r="F271" s="399"/>
      <c r="G271" s="399"/>
      <c r="H271" s="399"/>
      <c r="I271" s="399"/>
      <c r="J271" s="399"/>
      <c r="K271" s="399"/>
      <c r="L271" s="399"/>
      <c r="M271" s="399"/>
      <c r="N271" s="399"/>
      <c r="O271" s="399"/>
      <c r="P271" s="399"/>
      <c r="Q271" s="399"/>
      <c r="R271" s="399"/>
      <c r="S271" s="399"/>
      <c r="T271" s="399"/>
      <c r="U271" s="400"/>
    </row>
    <row r="272" spans="1:21" s="1" customFormat="1" ht="20.100000000000001" customHeight="1">
      <c r="A272" s="13"/>
      <c r="B272" s="9"/>
      <c r="C272" s="9"/>
      <c r="D272" s="9"/>
      <c r="E272" s="9"/>
      <c r="F272" s="9"/>
      <c r="G272" s="9"/>
      <c r="H272" s="9"/>
      <c r="I272" s="9"/>
      <c r="J272" s="9"/>
      <c r="K272" s="9"/>
      <c r="L272" s="9"/>
      <c r="M272" s="9"/>
      <c r="N272" s="9"/>
      <c r="O272" s="9"/>
      <c r="P272" s="9"/>
      <c r="Q272" s="9"/>
      <c r="R272" s="9"/>
      <c r="S272" s="9"/>
      <c r="T272" s="9"/>
      <c r="U272" s="9"/>
    </row>
    <row r="273" spans="1:24" s="1" customFormat="1" ht="3" customHeight="1">
      <c r="A273" s="13"/>
      <c r="B273" s="9"/>
      <c r="C273" s="9"/>
      <c r="D273" s="9"/>
      <c r="E273" s="9"/>
      <c r="F273" s="9"/>
      <c r="G273" s="9"/>
      <c r="H273" s="9"/>
      <c r="I273" s="9"/>
      <c r="J273" s="9"/>
      <c r="K273" s="9"/>
      <c r="L273" s="9"/>
      <c r="M273" s="9"/>
      <c r="N273" s="9"/>
      <c r="O273" s="9"/>
      <c r="P273" s="9"/>
      <c r="Q273" s="9"/>
      <c r="R273" s="9"/>
      <c r="S273" s="9"/>
    </row>
    <row r="274" spans="1:24" s="1" customFormat="1" ht="33.75" customHeight="1">
      <c r="A274" s="48"/>
      <c r="B274" s="49"/>
      <c r="C274" s="49"/>
      <c r="D274" s="49"/>
      <c r="E274" s="401" t="s">
        <v>121</v>
      </c>
      <c r="F274" s="402"/>
      <c r="G274" s="402"/>
      <c r="H274" s="402"/>
      <c r="I274" s="402"/>
      <c r="J274" s="402"/>
      <c r="K274" s="402"/>
      <c r="L274" s="402"/>
      <c r="M274" s="402"/>
      <c r="N274" s="402"/>
      <c r="O274" s="402"/>
      <c r="P274" s="402"/>
      <c r="Q274" s="402"/>
      <c r="R274" s="403"/>
      <c r="S274" s="9"/>
    </row>
    <row r="275" spans="1:24" s="1" customFormat="1" ht="20.100000000000001" customHeight="1">
      <c r="A275" s="404"/>
      <c r="B275" s="9"/>
      <c r="C275" s="9"/>
      <c r="D275" s="9"/>
      <c r="E275" s="405" t="s">
        <v>122</v>
      </c>
      <c r="F275" s="406"/>
      <c r="G275" s="407"/>
      <c r="H275" s="87"/>
      <c r="I275" s="87"/>
      <c r="J275" s="87"/>
      <c r="K275" s="87"/>
      <c r="L275" s="87"/>
      <c r="M275" s="87"/>
      <c r="N275" s="87"/>
      <c r="O275" s="87"/>
      <c r="P275" s="87"/>
      <c r="Q275" s="405" t="s">
        <v>35</v>
      </c>
      <c r="R275" s="407"/>
      <c r="U275" s="9"/>
    </row>
    <row r="276" spans="1:24" s="1" customFormat="1" ht="20.100000000000001" customHeight="1">
      <c r="A276" s="404"/>
      <c r="B276" s="9"/>
      <c r="C276" s="9"/>
      <c r="D276" s="9"/>
      <c r="E276" s="359"/>
      <c r="F276" s="360"/>
      <c r="G276" s="361"/>
      <c r="H276" s="87" t="s">
        <v>6</v>
      </c>
      <c r="I276" s="87" t="s">
        <v>7</v>
      </c>
      <c r="J276" s="87" t="s">
        <v>8</v>
      </c>
      <c r="K276" s="87" t="s">
        <v>9</v>
      </c>
      <c r="L276" s="87" t="s">
        <v>10</v>
      </c>
      <c r="M276" s="87" t="s">
        <v>11</v>
      </c>
      <c r="N276" s="87" t="s">
        <v>12</v>
      </c>
      <c r="O276" s="87" t="s">
        <v>13</v>
      </c>
      <c r="P276" s="87" t="s">
        <v>14</v>
      </c>
      <c r="Q276" s="359"/>
      <c r="R276" s="361"/>
      <c r="W276" s="9"/>
    </row>
    <row r="277" spans="1:24" s="1" customFormat="1" ht="30.75" customHeight="1">
      <c r="A277" s="50"/>
      <c r="B277" s="14"/>
      <c r="C277" s="14"/>
      <c r="D277" s="14"/>
      <c r="E277" s="343" t="s">
        <v>16</v>
      </c>
      <c r="F277" s="344"/>
      <c r="G277" s="345"/>
      <c r="H277" s="125">
        <f>63+3-2-1-63+65-4-1-1-2-10-2-1-1-2+1-15-2-1-1</f>
        <v>23</v>
      </c>
      <c r="I277" s="125">
        <f>7-1-1+5-5-2-3+29+3+3-1+30-10-9-4-1-1-1-1+1-1-2-6-1-2-1-1-4-20+14-1-4+37-3-1-5-1-1-2-2-22-2-7</f>
        <v>0</v>
      </c>
      <c r="J277" s="125">
        <f>0+1+1+37-29-8-2+14-1-8-1+122-9-1-1-1-1-1-8-1-5-1-1-1-2-1-1-2-1-2-2-2-2-65-6-8-1</f>
        <v>0</v>
      </c>
      <c r="K277" s="125">
        <f>4+1-5+1+2+27-19-5-1-2-3+1-1+15-12-2+20-1-4+123-1-5-1-1-1-2-4-1-3-1-3-1-1-2-2-2-1-4-2-1-29-1-1-2-2-4-6-1</f>
        <v>54</v>
      </c>
      <c r="L277" s="125">
        <f>0+10+6-1+8-4-2-1-6-2-1-2+1-1-2-3+15-10+65-1-1-1-2-3-2-2-1-1-2-2-2-1-1-2</f>
        <v>46</v>
      </c>
      <c r="M277" s="125">
        <f>6-5-1+1-1+1-1+22-18+17-4-2-2-1-2</f>
        <v>10</v>
      </c>
      <c r="N277" s="125">
        <f>13-6-1-6+17-1-1+1-1-1+5-2-1</f>
        <v>16</v>
      </c>
      <c r="O277" s="125">
        <f>10-1-9+9+1+5</f>
        <v>15</v>
      </c>
      <c r="P277" s="125">
        <f>10-1+1-10+10-1+5-1</f>
        <v>13</v>
      </c>
      <c r="Q277" s="393">
        <f>SUM(H277:P277)</f>
        <v>177</v>
      </c>
      <c r="R277" s="394"/>
      <c r="S277" s="19"/>
      <c r="T277" s="19"/>
      <c r="U277" s="19"/>
      <c r="V277" s="19"/>
      <c r="W277" s="51"/>
      <c r="X277" s="9"/>
    </row>
    <row r="278" spans="1:24" s="1" customFormat="1" ht="29.25" customHeight="1">
      <c r="A278" s="50"/>
      <c r="B278" s="14"/>
      <c r="C278" s="14"/>
      <c r="D278" s="14"/>
      <c r="E278" s="343" t="s">
        <v>123</v>
      </c>
      <c r="F278" s="344"/>
      <c r="G278" s="345"/>
      <c r="H278" s="125">
        <f>3+2-5+5-1-1+11-4-2-2-2-1</f>
        <v>3</v>
      </c>
      <c r="I278" s="125">
        <f>3-3+3-1-1+8+6+3+26-1-6-1-2-1-1-2+1-1-10-8-4-8</f>
        <v>0</v>
      </c>
      <c r="J278" s="125">
        <f>3-3+3-1-1-1+20+4-5+9+11+19-1-10-1-2-1-2-1-8-2-3-1-6-14-6</f>
        <v>0</v>
      </c>
      <c r="K278" s="125">
        <f>26-26+26-6-1+1+1-1-1-1-2+18-1+38+39-2-10-1-2-4-2-1-4-1-6-4-16-10-8-1-2-2-1-3</f>
        <v>30</v>
      </c>
      <c r="L278" s="125">
        <f>28-28+28+1-1-1+6+4+11+6+7-7-10-2-2-2-4-4-2-2-1</f>
        <v>25</v>
      </c>
      <c r="M278" s="125">
        <f>7+7-14+15+4-1-2-4-2-6</f>
        <v>4</v>
      </c>
      <c r="N278" s="125">
        <f>9-9+9+3-2-1-4-3</f>
        <v>2</v>
      </c>
      <c r="O278" s="125">
        <f>0+2+2</f>
        <v>4</v>
      </c>
      <c r="P278" s="125">
        <f>0+1+3</f>
        <v>4</v>
      </c>
      <c r="Q278" s="393">
        <f>SUM(H278:P278)</f>
        <v>72</v>
      </c>
      <c r="R278" s="394"/>
      <c r="S278" s="19" t="s">
        <v>124</v>
      </c>
      <c r="T278" s="19">
        <v>51</v>
      </c>
      <c r="U278" s="54"/>
      <c r="V278" s="19"/>
      <c r="W278" s="51"/>
      <c r="X278" s="9"/>
    </row>
    <row r="279" spans="1:24" s="1" customFormat="1" ht="35.25" customHeight="1">
      <c r="A279" s="50"/>
      <c r="B279" s="14"/>
      <c r="C279" s="14"/>
      <c r="D279" s="14"/>
      <c r="E279" s="343" t="s">
        <v>19</v>
      </c>
      <c r="F279" s="344"/>
      <c r="G279" s="345"/>
      <c r="H279" s="125">
        <f>0</f>
        <v>0</v>
      </c>
      <c r="I279" s="125">
        <f>1-1</f>
        <v>0</v>
      </c>
      <c r="J279" s="125">
        <f>2-2</f>
        <v>0</v>
      </c>
      <c r="K279" s="125">
        <f>1-1+1-1</f>
        <v>0</v>
      </c>
      <c r="L279" s="125">
        <f>14-1-1-1-1-2+1</f>
        <v>9</v>
      </c>
      <c r="M279" s="125">
        <f>2-2</f>
        <v>0</v>
      </c>
      <c r="N279" s="125">
        <f>17-2-1</f>
        <v>14</v>
      </c>
      <c r="O279" s="125">
        <f>0</f>
        <v>0</v>
      </c>
      <c r="P279" s="125">
        <f>0</f>
        <v>0</v>
      </c>
      <c r="Q279" s="395">
        <f>SUM(H279:P279)</f>
        <v>23</v>
      </c>
      <c r="R279" s="396"/>
      <c r="S279" s="19" t="s">
        <v>124</v>
      </c>
      <c r="T279" s="19">
        <v>2</v>
      </c>
      <c r="U279" s="19"/>
      <c r="V279" s="19"/>
      <c r="W279" s="51"/>
      <c r="X279" s="9"/>
    </row>
    <row r="280" spans="1:24" s="1" customFormat="1" ht="32.25" customHeight="1">
      <c r="A280" s="13"/>
      <c r="B280" s="9"/>
      <c r="C280" s="9"/>
      <c r="D280" s="9"/>
      <c r="E280" s="9"/>
      <c r="F280" s="9"/>
      <c r="G280" s="9"/>
      <c r="H280" s="9"/>
      <c r="I280" s="9"/>
      <c r="K280" s="19"/>
      <c r="L280" s="19"/>
      <c r="M280" s="19"/>
      <c r="N280" s="19"/>
      <c r="O280" s="19"/>
      <c r="P280" s="19"/>
      <c r="Q280" s="408">
        <f>SUM(Q277:Q279)</f>
        <v>272</v>
      </c>
      <c r="R280" s="409"/>
      <c r="U280" s="9"/>
    </row>
    <row r="281" spans="1:24" s="1" customFormat="1" ht="15.75" customHeight="1">
      <c r="A281" s="13"/>
      <c r="B281" s="9"/>
      <c r="C281" s="9"/>
      <c r="D281" s="9"/>
      <c r="E281" s="9"/>
      <c r="F281" s="9"/>
      <c r="G281" s="9"/>
      <c r="H281" s="9"/>
      <c r="I281" s="9"/>
      <c r="J281" s="9"/>
      <c r="K281" s="9"/>
      <c r="L281" s="9"/>
      <c r="M281" s="9"/>
      <c r="N281" s="9"/>
      <c r="O281" s="9"/>
      <c r="P281" s="9"/>
      <c r="Q281" s="9"/>
      <c r="R281" s="9"/>
      <c r="S281" s="9"/>
      <c r="T281" s="9"/>
      <c r="U281" s="9" t="s">
        <v>125</v>
      </c>
    </row>
    <row r="282" spans="1:24" s="1" customFormat="1" ht="15.75" customHeight="1">
      <c r="A282" s="13"/>
      <c r="B282" s="9"/>
      <c r="C282" s="9"/>
      <c r="D282" s="9"/>
      <c r="E282" s="9"/>
      <c r="F282" s="9"/>
      <c r="G282" s="9"/>
      <c r="H282" s="9"/>
      <c r="I282" s="9"/>
      <c r="J282" s="9"/>
      <c r="K282" s="9"/>
      <c r="L282" s="9"/>
      <c r="M282" s="9"/>
      <c r="N282" s="9"/>
      <c r="O282" s="9"/>
      <c r="P282" s="9"/>
      <c r="Q282" s="9"/>
      <c r="R282" s="9"/>
      <c r="S282" s="9"/>
      <c r="T282" s="9"/>
      <c r="U282" s="9"/>
    </row>
    <row r="283" spans="1:24" s="1" customFormat="1" ht="33" customHeight="1">
      <c r="A283" s="387" t="s">
        <v>126</v>
      </c>
      <c r="B283" s="388"/>
      <c r="C283" s="388"/>
      <c r="D283" s="388"/>
      <c r="E283" s="388"/>
      <c r="F283" s="388"/>
      <c r="G283" s="388"/>
      <c r="H283" s="388"/>
      <c r="I283" s="388"/>
      <c r="J283" s="388"/>
      <c r="K283" s="388"/>
      <c r="L283" s="388"/>
      <c r="M283" s="388"/>
      <c r="N283" s="388"/>
      <c r="O283" s="388"/>
      <c r="P283" s="388"/>
      <c r="Q283" s="388"/>
      <c r="R283" s="389"/>
      <c r="S283" s="52"/>
      <c r="T283" s="53"/>
      <c r="U283" s="9"/>
    </row>
    <row r="284" spans="1:24" s="1" customFormat="1" ht="30" customHeight="1">
      <c r="A284" s="100" t="s">
        <v>127</v>
      </c>
      <c r="B284" s="390" t="s">
        <v>54</v>
      </c>
      <c r="C284" s="391"/>
      <c r="D284" s="391"/>
      <c r="E284" s="391"/>
      <c r="F284" s="391"/>
      <c r="G284" s="391"/>
      <c r="H284" s="391"/>
      <c r="I284" s="391"/>
      <c r="J284" s="391"/>
      <c r="K284" s="391"/>
      <c r="L284" s="391"/>
      <c r="M284" s="391"/>
      <c r="N284" s="391"/>
      <c r="O284" s="391"/>
      <c r="P284" s="391"/>
      <c r="Q284" s="391"/>
      <c r="R284" s="392"/>
      <c r="S284" s="9"/>
    </row>
    <row r="285" spans="1:24" s="1" customFormat="1" ht="27.75" customHeight="1">
      <c r="A285" s="134" t="s">
        <v>30</v>
      </c>
      <c r="B285" s="336">
        <f>207-207+200-1-10-1-1-1-6-1-1-4-3-1-10-2-1-25-1-2-2-4-1-6-10-1-1-1-2-52-1-2+209-3+2+252-1+27-2+12-15-1+2-1-1-1-140-2-250-50-2+250-3-1-1</f>
        <v>326</v>
      </c>
      <c r="C285" s="337"/>
      <c r="D285" s="337"/>
      <c r="E285" s="337"/>
      <c r="F285" s="337"/>
      <c r="G285" s="337"/>
      <c r="H285" s="337"/>
      <c r="I285" s="337"/>
      <c r="J285" s="337"/>
      <c r="K285" s="337"/>
      <c r="L285" s="337"/>
      <c r="M285" s="337"/>
      <c r="N285" s="337"/>
      <c r="O285" s="337"/>
      <c r="P285" s="337"/>
      <c r="Q285" s="338"/>
      <c r="R285" s="123">
        <f>SUM(B285)</f>
        <v>326</v>
      </c>
      <c r="S285" s="9"/>
    </row>
    <row r="286" spans="1:24" s="1" customFormat="1" ht="24" customHeight="1">
      <c r="A286" s="134" t="s">
        <v>16</v>
      </c>
      <c r="B286" s="336">
        <f>23-23+80-5-26-5-6-2-2-13-11-1-1-8+35-31-1-10+141-1-3-1+19+122-3+121-8+3+42-1-2+5-3-1-8-1-5-1-1-1-15-2-1-3-1-12-1</f>
        <v>371</v>
      </c>
      <c r="C286" s="337"/>
      <c r="D286" s="337"/>
      <c r="E286" s="337"/>
      <c r="F286" s="337"/>
      <c r="G286" s="337"/>
      <c r="H286" s="337"/>
      <c r="I286" s="337"/>
      <c r="J286" s="337"/>
      <c r="K286" s="337"/>
      <c r="L286" s="337"/>
      <c r="M286" s="337"/>
      <c r="N286" s="337"/>
      <c r="O286" s="337"/>
      <c r="P286" s="337"/>
      <c r="Q286" s="338"/>
      <c r="R286" s="123">
        <f>SUM(B286)</f>
        <v>371</v>
      </c>
      <c r="S286" s="9"/>
    </row>
    <row r="287" spans="1:24" s="1" customFormat="1" ht="26.25" customHeight="1">
      <c r="A287" s="134" t="s">
        <v>113</v>
      </c>
      <c r="B287" s="410">
        <f>80-80+79-1-4-1-1-30-1-6-1-10-1-2-2-3-1-3-4-1-1-1-2-1-2+1</f>
        <v>1</v>
      </c>
      <c r="C287" s="411"/>
      <c r="D287" s="411"/>
      <c r="E287" s="411"/>
      <c r="F287" s="411"/>
      <c r="G287" s="411"/>
      <c r="H287" s="411"/>
      <c r="I287" s="411"/>
      <c r="J287" s="411"/>
      <c r="K287" s="411"/>
      <c r="L287" s="411"/>
      <c r="M287" s="411"/>
      <c r="N287" s="411"/>
      <c r="O287" s="411"/>
      <c r="P287" s="411"/>
      <c r="Q287" s="412"/>
      <c r="R287" s="124">
        <f>SUM(B287)</f>
        <v>1</v>
      </c>
      <c r="S287" s="9"/>
    </row>
    <row r="288" spans="1:24" s="1" customFormat="1" ht="30" customHeight="1">
      <c r="A288" s="13"/>
      <c r="B288" s="9"/>
      <c r="C288" s="9"/>
      <c r="D288" s="9"/>
      <c r="E288" s="9"/>
      <c r="F288" s="9"/>
      <c r="G288" s="9"/>
      <c r="H288" s="9"/>
      <c r="I288" s="9"/>
      <c r="J288" s="9"/>
      <c r="K288" s="9"/>
      <c r="L288" s="9"/>
      <c r="M288" s="9"/>
      <c r="N288" s="9"/>
      <c r="O288" s="9"/>
      <c r="P288" s="9"/>
      <c r="Q288" s="413">
        <f>SUM(R285:R287)</f>
        <v>698</v>
      </c>
      <c r="R288" s="414"/>
      <c r="S288" s="9"/>
    </row>
    <row r="289" spans="1:23" s="1" customFormat="1" ht="20.100000000000001" customHeight="1">
      <c r="A289" s="13"/>
      <c r="B289" s="9"/>
      <c r="C289" s="9"/>
      <c r="D289" s="9"/>
      <c r="E289" s="9"/>
      <c r="F289" s="9"/>
      <c r="G289" s="9"/>
      <c r="H289" s="9"/>
      <c r="I289" s="9"/>
      <c r="J289" s="9"/>
      <c r="K289" s="9"/>
      <c r="L289" s="9"/>
      <c r="M289" s="9"/>
      <c r="N289" s="9"/>
      <c r="O289" s="9"/>
      <c r="P289" s="9"/>
      <c r="Q289" s="9"/>
      <c r="R289" s="9"/>
      <c r="S289" s="9"/>
    </row>
    <row r="290" spans="1:23" s="1" customFormat="1" ht="20.100000000000001" customHeight="1">
      <c r="A290" s="13"/>
      <c r="B290" s="9"/>
      <c r="C290" s="9"/>
      <c r="D290" s="9"/>
      <c r="E290" s="9"/>
      <c r="F290" s="9"/>
      <c r="G290" s="9"/>
      <c r="H290" s="9"/>
      <c r="I290" s="9"/>
      <c r="J290" s="9"/>
      <c r="K290" s="9"/>
      <c r="L290" s="9"/>
      <c r="M290" s="9"/>
      <c r="N290" s="9"/>
      <c r="O290" s="9"/>
      <c r="P290" s="9"/>
      <c r="Q290" s="9"/>
      <c r="R290" s="9"/>
      <c r="S290" s="9"/>
      <c r="T290" s="9"/>
      <c r="U290" s="9"/>
    </row>
    <row r="291" spans="1:23" s="1" customFormat="1" ht="37.5" customHeight="1">
      <c r="A291" s="430" t="s">
        <v>128</v>
      </c>
      <c r="B291" s="431"/>
      <c r="C291" s="431"/>
      <c r="D291" s="431"/>
      <c r="E291" s="431"/>
      <c r="F291" s="431"/>
      <c r="G291" s="431"/>
      <c r="H291" s="431"/>
      <c r="I291" s="431"/>
      <c r="J291" s="431"/>
      <c r="K291" s="431"/>
      <c r="L291" s="431"/>
      <c r="M291" s="431"/>
      <c r="N291" s="431"/>
      <c r="O291" s="431"/>
      <c r="P291" s="431"/>
      <c r="Q291" s="431"/>
      <c r="R291" s="431"/>
      <c r="S291" s="431"/>
      <c r="T291" s="431"/>
      <c r="U291" s="9"/>
    </row>
    <row r="292" spans="1:23" s="1" customFormat="1" ht="36" customHeight="1">
      <c r="A292" s="99" t="s">
        <v>129</v>
      </c>
      <c r="B292" s="415" t="s">
        <v>130</v>
      </c>
      <c r="C292" s="416"/>
      <c r="D292" s="416"/>
      <c r="E292" s="416"/>
      <c r="F292" s="416"/>
      <c r="G292" s="416"/>
      <c r="H292" s="416"/>
      <c r="I292" s="416"/>
      <c r="J292" s="417"/>
      <c r="K292" s="415" t="s">
        <v>131</v>
      </c>
      <c r="L292" s="416"/>
      <c r="M292" s="416"/>
      <c r="N292" s="416"/>
      <c r="O292" s="416"/>
      <c r="P292" s="416"/>
      <c r="Q292" s="416"/>
      <c r="R292" s="417"/>
      <c r="S292" s="370" t="s">
        <v>15</v>
      </c>
      <c r="T292" s="372"/>
      <c r="U292" s="9"/>
    </row>
    <row r="293" spans="1:23" s="1" customFormat="1" ht="27" customHeight="1">
      <c r="A293" s="133" t="s">
        <v>22</v>
      </c>
      <c r="B293" s="432">
        <f>53+82+108+31+132+5-10-2-399+114-30-1-40-1-1-1+2-1-1-5-5-2-2-6-19-1+43-4-4-1-4-4-3-1-2-1-12-7+60-1+50-1+50-1-33-15-10-1-1-1-4-20-1-17-10-2+1-2-1-1-3-10-13</f>
        <v>13</v>
      </c>
      <c r="C293" s="433"/>
      <c r="D293" s="433"/>
      <c r="E293" s="433"/>
      <c r="F293" s="433"/>
      <c r="G293" s="433"/>
      <c r="H293" s="433"/>
      <c r="I293" s="433"/>
      <c r="J293" s="434"/>
      <c r="K293" s="432">
        <f>15-10-2-2-1+391+180-82-7-80-10-3-1-12-101-1-4-10-6-3-1-5-7-1-45-17-2+1-1-6-12-1-12-2</f>
        <v>140</v>
      </c>
      <c r="L293" s="433"/>
      <c r="M293" s="433"/>
      <c r="N293" s="433"/>
      <c r="O293" s="433"/>
      <c r="P293" s="433"/>
      <c r="Q293" s="433"/>
      <c r="R293" s="434"/>
      <c r="S293" s="435">
        <f>SUM(B293:R293)</f>
        <v>153</v>
      </c>
      <c r="T293" s="436"/>
      <c r="U293" s="9"/>
    </row>
    <row r="294" spans="1:23" s="1" customFormat="1" ht="30.75" customHeight="1">
      <c r="A294" s="133" t="s">
        <v>123</v>
      </c>
      <c r="B294" s="432">
        <f>31+5+214-250+30-1-1</f>
        <v>28</v>
      </c>
      <c r="C294" s="433"/>
      <c r="D294" s="433"/>
      <c r="E294" s="433"/>
      <c r="F294" s="433"/>
      <c r="G294" s="433"/>
      <c r="H294" s="433"/>
      <c r="I294" s="433"/>
      <c r="J294" s="434"/>
      <c r="K294" s="432">
        <f>489+5-2-1-1-1-55-3-1-1-1-1-1-3-1-422+389-1-1-1-1</f>
        <v>385</v>
      </c>
      <c r="L294" s="433"/>
      <c r="M294" s="433"/>
      <c r="N294" s="433"/>
      <c r="O294" s="433"/>
      <c r="P294" s="433"/>
      <c r="Q294" s="433"/>
      <c r="R294" s="434"/>
      <c r="S294" s="435">
        <f>SUM(B294:R294)</f>
        <v>413</v>
      </c>
      <c r="T294" s="436"/>
      <c r="U294" s="9"/>
    </row>
    <row r="295" spans="1:23" s="1" customFormat="1" ht="39" customHeight="1">
      <c r="A295" s="13"/>
      <c r="B295" s="9"/>
      <c r="C295" s="9"/>
      <c r="D295" s="9"/>
      <c r="E295" s="9"/>
      <c r="F295" s="9"/>
      <c r="G295" s="9"/>
      <c r="H295" s="9"/>
      <c r="I295" s="9"/>
      <c r="J295" s="9"/>
      <c r="K295" s="9"/>
      <c r="L295" s="9"/>
      <c r="M295" s="9"/>
      <c r="N295" s="9"/>
      <c r="O295" s="9"/>
      <c r="P295" s="9"/>
      <c r="Q295" s="9"/>
      <c r="R295" s="9"/>
      <c r="S295" s="428">
        <f>SUM(S293:S294)</f>
        <v>566</v>
      </c>
      <c r="T295" s="429"/>
      <c r="U295" s="9"/>
    </row>
    <row r="298" spans="1:23" s="1" customFormat="1" ht="20.100000000000001" customHeight="1">
      <c r="A298" s="421" t="s">
        <v>132</v>
      </c>
      <c r="B298" s="422"/>
      <c r="C298" s="422"/>
      <c r="D298" s="422"/>
      <c r="E298" s="422"/>
      <c r="F298" s="422"/>
      <c r="G298" s="422"/>
      <c r="H298" s="422"/>
      <c r="I298" s="422"/>
      <c r="J298" s="422"/>
      <c r="K298" s="422"/>
      <c r="L298" s="422"/>
      <c r="M298" s="422"/>
      <c r="N298" s="422"/>
      <c r="O298" s="422"/>
      <c r="P298" s="422"/>
      <c r="Q298" s="422"/>
      <c r="R298" s="422"/>
      <c r="S298" s="422"/>
      <c r="T298" s="422"/>
      <c r="U298" s="422"/>
    </row>
    <row r="299" spans="1:23" s="1" customFormat="1" ht="20.100000000000001" customHeight="1">
      <c r="A299" s="423"/>
      <c r="B299" s="424"/>
      <c r="C299" s="424"/>
      <c r="D299" s="424"/>
      <c r="E299" s="424"/>
      <c r="F299" s="424"/>
      <c r="G299" s="424"/>
      <c r="H299" s="424"/>
      <c r="I299" s="424"/>
      <c r="J299" s="424"/>
      <c r="K299" s="424"/>
      <c r="L299" s="424"/>
      <c r="M299" s="424"/>
      <c r="N299" s="424"/>
      <c r="O299" s="424"/>
      <c r="P299" s="424"/>
      <c r="Q299" s="424"/>
      <c r="R299" s="424"/>
      <c r="S299" s="424"/>
      <c r="T299" s="424"/>
      <c r="U299" s="424"/>
    </row>
    <row r="300" spans="1:23" s="1" customFormat="1" ht="33.75" customHeight="1">
      <c r="A300" s="92"/>
      <c r="B300" s="425" t="s">
        <v>3</v>
      </c>
      <c r="C300" s="426"/>
      <c r="D300" s="426"/>
      <c r="E300" s="426"/>
      <c r="F300" s="426"/>
      <c r="G300" s="426"/>
      <c r="H300" s="426"/>
      <c r="I300" s="427"/>
      <c r="J300" s="425" t="s">
        <v>117</v>
      </c>
      <c r="K300" s="426"/>
      <c r="L300" s="426"/>
      <c r="M300" s="426"/>
      <c r="N300" s="426"/>
      <c r="O300" s="426"/>
      <c r="P300" s="426"/>
      <c r="Q300" s="426"/>
      <c r="R300" s="426"/>
      <c r="S300" s="427"/>
      <c r="V300" s="81"/>
      <c r="W300" s="82"/>
    </row>
    <row r="301" spans="1:23" s="1" customFormat="1" ht="29.25" customHeight="1">
      <c r="A301" s="94" t="s">
        <v>118</v>
      </c>
      <c r="B301" s="94">
        <v>5</v>
      </c>
      <c r="C301" s="94">
        <v>7</v>
      </c>
      <c r="D301" s="94">
        <v>9</v>
      </c>
      <c r="E301" s="94">
        <v>11</v>
      </c>
      <c r="F301" s="94">
        <v>13</v>
      </c>
      <c r="G301" s="94">
        <v>15</v>
      </c>
      <c r="H301" s="94">
        <v>17</v>
      </c>
      <c r="I301" s="94">
        <v>19</v>
      </c>
      <c r="J301" s="94">
        <v>28</v>
      </c>
      <c r="K301" s="94">
        <v>30</v>
      </c>
      <c r="L301" s="94">
        <v>32</v>
      </c>
      <c r="M301" s="94">
        <v>34</v>
      </c>
      <c r="N301" s="94">
        <v>36</v>
      </c>
      <c r="O301" s="94">
        <v>38</v>
      </c>
      <c r="P301" s="94">
        <v>40</v>
      </c>
      <c r="Q301" s="94">
        <v>42</v>
      </c>
      <c r="R301" s="94">
        <v>44</v>
      </c>
      <c r="S301" s="94">
        <v>46</v>
      </c>
      <c r="T301" s="95" t="s">
        <v>15</v>
      </c>
      <c r="U301" s="96"/>
      <c r="V301"/>
      <c r="W301"/>
    </row>
    <row r="302" spans="1:23" s="1" customFormat="1" ht="39.75" customHeight="1">
      <c r="A302" s="132" t="s">
        <v>119</v>
      </c>
      <c r="B302" s="122">
        <f>118-2-3-2-1+40-2-1-5</f>
        <v>142</v>
      </c>
      <c r="C302" s="122">
        <f>166-1-1+1-1-1+1-1-2+20-1-1-3-4-1-1-4+1-1</f>
        <v>166</v>
      </c>
      <c r="D302" s="122">
        <f>83-6-1-1+1-1-2-3+109-1-1-1+1-3+3-1-2-2-1-5</f>
        <v>166</v>
      </c>
      <c r="E302" s="122">
        <f>147-1-14-1+1-1-1-2-14</f>
        <v>114</v>
      </c>
      <c r="F302" s="122">
        <f>96-3-2-1-1-1+1-1-2</f>
        <v>86</v>
      </c>
      <c r="G302" s="122">
        <f>83-1+2-1-1-2</f>
        <v>80</v>
      </c>
      <c r="H302" s="122">
        <f>62-1-4-1</f>
        <v>56</v>
      </c>
      <c r="I302" s="122">
        <f>92-4-41-3-1-3+3</f>
        <v>43</v>
      </c>
      <c r="J302" s="122">
        <f>234-5-1-100-1+1+1-1-3-1+1-4-1-1-8-2-1-4-11-2</f>
        <v>91</v>
      </c>
      <c r="K302" s="122">
        <f>180-1-28+50-28-2-1-1-1-1-1-6+1+1-6-1-1-1-3-5+45-1-4-1-3-3+1-1-17-2-6-1-4-6-2-1-1-20-1-1-1-12-1-1-1-1-3</f>
        <v>96</v>
      </c>
      <c r="L302" s="122">
        <f>0+5-5+45-23-1-1-5-2-1-1-7+1-2+1-1-3+280-3-17-4-2-3-3-2-1-2-14-5-1-3-1-3-1-46-9-6-1-1-1-40-1-4-1-1-10-1-2+1-1-1-6-2-1-2-4-1-4</f>
        <v>70</v>
      </c>
      <c r="M302" s="122">
        <f>235-3-14-4-4-1-1-1-4-6-5-12-1-4-3-2-1-5-1-2-5-4-6-5-12-1-1-1-9-30-1-1-2-2-2-1-1-1-4-3-5-61-3</f>
        <v>0</v>
      </c>
      <c r="N302" s="122">
        <f>50-1-2-12-1-1-1-1-1+1-6-1-2-1-1-6-1-1-3+3-1-3-2-1-3-1+210-6-23-6-3-1-3-1-2-2-1-2-1-3-3-1-1-2-4-2-1-46-1-1-1-3-1-5-6-1-2-2-10-2-10-3</f>
        <v>49</v>
      </c>
      <c r="O302" s="122">
        <f>0+2+3-1-1+1-1-1-1-1+1-1+135-6-14-2-3-6-4+3-1-6-2-1-1+1-32-6-6-1-4-1-5-38</f>
        <v>0</v>
      </c>
      <c r="P302" s="122">
        <f>21-2-1+1-1-1-3+3-4-3+65-11-1-1-8-3-3-2-1-6-3-4-1-8-1-2</f>
        <v>20</v>
      </c>
      <c r="Q302" s="122">
        <f>22-1-12-1-1+1-2-1+1+44-2-1-1-6-1-1-12-1-1-4-2</f>
        <v>18</v>
      </c>
      <c r="R302" s="122">
        <f>30-6-1+1-1-1-1-1-1</f>
        <v>19</v>
      </c>
      <c r="S302" s="122">
        <f>14-1+1-1-1-1-1-5-2-1-1-1</f>
        <v>0</v>
      </c>
      <c r="T302" s="97">
        <f>SUM(B302:S302)</f>
        <v>1216</v>
      </c>
      <c r="U302" s="98"/>
      <c r="V302"/>
      <c r="W302"/>
    </row>
    <row r="303" spans="1:23" ht="15.75" customHeight="1">
      <c r="A303" s="78"/>
      <c r="V303" s="1"/>
      <c r="W303" s="1"/>
    </row>
    <row r="304" spans="1:23" s="1" customFormat="1" ht="24.75" hidden="1" customHeight="1">
      <c r="A304" s="2" t="s">
        <v>66</v>
      </c>
      <c r="B304" s="418"/>
      <c r="C304" s="419"/>
      <c r="D304" s="419"/>
      <c r="E304" s="419"/>
      <c r="F304" s="419"/>
      <c r="G304" s="419"/>
      <c r="H304" s="419"/>
      <c r="I304" s="419"/>
      <c r="J304" s="419"/>
      <c r="K304" s="419"/>
      <c r="L304" s="419"/>
      <c r="M304" s="419"/>
      <c r="N304" s="419"/>
      <c r="O304" s="419"/>
      <c r="P304" s="419"/>
      <c r="Q304" s="419"/>
      <c r="R304" s="420"/>
      <c r="S304" s="11" t="e">
        <f>SUM(#REF!)</f>
        <v>#REF!</v>
      </c>
      <c r="T304" s="47"/>
      <c r="U304" s="9"/>
    </row>
    <row r="305" spans="1:21" s="1" customFormat="1" ht="24.75" hidden="1" customHeight="1">
      <c r="A305" s="2" t="s">
        <v>133</v>
      </c>
      <c r="B305" s="418"/>
      <c r="C305" s="419"/>
      <c r="D305" s="419"/>
      <c r="E305" s="419"/>
      <c r="F305" s="419"/>
      <c r="G305" s="419"/>
      <c r="H305" s="419"/>
      <c r="I305" s="419"/>
      <c r="J305" s="419"/>
      <c r="K305" s="419"/>
      <c r="L305" s="419"/>
      <c r="M305" s="419"/>
      <c r="N305" s="419"/>
      <c r="O305" s="419"/>
      <c r="P305" s="419"/>
      <c r="Q305" s="419"/>
      <c r="R305" s="420"/>
      <c r="S305" s="11" t="e">
        <f>SUM(#REF!)</f>
        <v>#REF!</v>
      </c>
      <c r="T305" s="47"/>
      <c r="U305" s="9"/>
    </row>
    <row r="306" spans="1:21" s="1" customFormat="1" ht="24.75" hidden="1" customHeight="1">
      <c r="A306" s="2" t="s">
        <v>22</v>
      </c>
      <c r="B306" s="418"/>
      <c r="C306" s="419"/>
      <c r="D306" s="419"/>
      <c r="E306" s="419"/>
      <c r="F306" s="419"/>
      <c r="G306" s="419"/>
      <c r="H306" s="419"/>
      <c r="I306" s="419"/>
      <c r="J306" s="419"/>
      <c r="K306" s="419"/>
      <c r="L306" s="419"/>
      <c r="M306" s="419"/>
      <c r="N306" s="419"/>
      <c r="O306" s="419"/>
      <c r="P306" s="419"/>
      <c r="Q306" s="419"/>
      <c r="R306" s="420"/>
      <c r="S306" s="11" t="e">
        <f>SUM(#REF!)</f>
        <v>#REF!</v>
      </c>
      <c r="T306" s="47"/>
      <c r="U306" s="9"/>
    </row>
    <row r="307" spans="1:21" s="1" customFormat="1" ht="24.75" hidden="1" customHeight="1">
      <c r="A307" s="2" t="s">
        <v>134</v>
      </c>
      <c r="B307" s="418"/>
      <c r="C307" s="419"/>
      <c r="D307" s="419"/>
      <c r="E307" s="419"/>
      <c r="F307" s="419"/>
      <c r="G307" s="419"/>
      <c r="H307" s="419"/>
      <c r="I307" s="419"/>
      <c r="J307" s="419"/>
      <c r="K307" s="419"/>
      <c r="L307" s="419"/>
      <c r="M307" s="419"/>
      <c r="N307" s="419"/>
      <c r="O307" s="419"/>
      <c r="P307" s="419"/>
      <c r="Q307" s="419"/>
      <c r="R307" s="420"/>
      <c r="S307" s="56" t="e">
        <f>SUM(#REF!)</f>
        <v>#REF!</v>
      </c>
      <c r="T307" s="47"/>
      <c r="U307" s="9"/>
    </row>
    <row r="308" spans="1:21" s="1" customFormat="1" ht="24.75" hidden="1" customHeight="1">
      <c r="A308" s="2" t="s">
        <v>135</v>
      </c>
      <c r="B308" s="418"/>
      <c r="C308" s="419"/>
      <c r="D308" s="419"/>
      <c r="E308" s="419"/>
      <c r="F308" s="419"/>
      <c r="G308" s="419"/>
      <c r="H308" s="419"/>
      <c r="I308" s="419"/>
      <c r="J308" s="419"/>
      <c r="K308" s="419"/>
      <c r="L308" s="419"/>
      <c r="M308" s="419"/>
      <c r="N308" s="419"/>
      <c r="O308" s="419"/>
      <c r="P308" s="419"/>
      <c r="Q308" s="419"/>
      <c r="R308" s="420"/>
      <c r="S308" s="56" t="e">
        <f>SUM(#REF!)</f>
        <v>#REF!</v>
      </c>
      <c r="T308" s="47"/>
      <c r="U308" s="9"/>
    </row>
    <row r="309" spans="1:21" s="1" customFormat="1" ht="27" hidden="1" customHeight="1">
      <c r="A309" s="13"/>
      <c r="B309" s="9"/>
      <c r="C309" s="9"/>
      <c r="D309" s="9"/>
      <c r="E309" s="9"/>
      <c r="F309" s="9"/>
      <c r="G309" s="9"/>
      <c r="H309" s="9"/>
      <c r="I309" s="9"/>
      <c r="J309" s="9"/>
      <c r="K309" s="9"/>
      <c r="L309" s="57" t="e">
        <f>SUM(#REF!)</f>
        <v>#REF!</v>
      </c>
      <c r="M309" s="9"/>
      <c r="N309" s="9"/>
      <c r="O309" s="9"/>
      <c r="P309" s="9"/>
      <c r="Q309" s="9"/>
      <c r="R309" s="9"/>
      <c r="S309" s="58" t="e">
        <f>SUM(S304:S308)</f>
        <v>#REF!</v>
      </c>
      <c r="T309" s="59"/>
      <c r="U309" s="9"/>
    </row>
    <row r="310" spans="1:21" s="1" customFormat="1" ht="21" hidden="1" customHeight="1">
      <c r="A310" s="13"/>
      <c r="B310" s="9"/>
      <c r="C310" s="9"/>
      <c r="D310" s="9"/>
      <c r="E310" s="9"/>
      <c r="F310" s="9"/>
      <c r="G310" s="9"/>
      <c r="H310" s="9"/>
      <c r="I310" s="9"/>
      <c r="J310" s="9"/>
      <c r="K310" s="9"/>
      <c r="L310" s="9"/>
      <c r="M310" s="9"/>
      <c r="N310" s="9"/>
      <c r="O310" s="9"/>
      <c r="P310" s="9"/>
      <c r="Q310" s="9"/>
      <c r="R310" s="9"/>
      <c r="S310" s="9" t="s">
        <v>136</v>
      </c>
      <c r="T310" s="9"/>
      <c r="U310" s="9"/>
    </row>
    <row r="311" spans="1:21" s="1" customFormat="1" ht="20.100000000000001" hidden="1" customHeight="1">
      <c r="A311" s="448" t="s">
        <v>137</v>
      </c>
      <c r="B311" s="449"/>
      <c r="C311" s="449"/>
      <c r="D311" s="449"/>
      <c r="E311" s="449"/>
      <c r="F311" s="449"/>
      <c r="G311" s="449"/>
      <c r="H311" s="449"/>
      <c r="I311" s="449"/>
      <c r="J311" s="449"/>
      <c r="K311" s="449"/>
      <c r="L311" s="449"/>
      <c r="M311" s="9"/>
      <c r="N311" s="9"/>
      <c r="O311" s="9"/>
      <c r="P311" s="9"/>
      <c r="Q311" s="9"/>
      <c r="R311" s="9"/>
      <c r="S311" s="9"/>
      <c r="T311" s="9"/>
      <c r="U311" s="9"/>
    </row>
    <row r="312" spans="1:21" s="1" customFormat="1" ht="20.100000000000001" hidden="1" customHeight="1">
      <c r="A312" s="437"/>
      <c r="B312" s="438"/>
      <c r="C312" s="438"/>
      <c r="D312" s="438"/>
      <c r="E312" s="438"/>
      <c r="F312" s="438"/>
      <c r="G312" s="438"/>
      <c r="H312" s="438"/>
      <c r="I312" s="438"/>
      <c r="J312" s="438"/>
      <c r="K312" s="438"/>
      <c r="L312" s="438"/>
      <c r="M312" s="9"/>
      <c r="N312" s="9"/>
      <c r="O312" s="9"/>
      <c r="P312" s="9"/>
      <c r="Q312" s="9"/>
      <c r="R312" s="9"/>
      <c r="S312" s="9"/>
      <c r="T312" s="9"/>
      <c r="U312" s="9"/>
    </row>
    <row r="313" spans="1:21" s="1" customFormat="1" ht="20.100000000000001" hidden="1" customHeight="1">
      <c r="A313" s="333" t="s">
        <v>138</v>
      </c>
      <c r="B313" s="335"/>
      <c r="C313" s="333" t="s">
        <v>139</v>
      </c>
      <c r="D313" s="334"/>
      <c r="E313" s="334"/>
      <c r="F313" s="334"/>
      <c r="G313" s="334"/>
      <c r="H313" s="334"/>
      <c r="I313" s="334"/>
      <c r="J313" s="334"/>
      <c r="K313" s="334"/>
      <c r="L313" s="335"/>
      <c r="M313" s="9"/>
      <c r="N313" s="9"/>
      <c r="O313" s="9"/>
      <c r="P313" s="9"/>
      <c r="Q313" s="9"/>
      <c r="R313" s="9"/>
      <c r="S313" s="9"/>
      <c r="T313" s="9"/>
      <c r="U313" s="9"/>
    </row>
    <row r="314" spans="1:21" s="1" customFormat="1" ht="19.5" hidden="1" customHeight="1">
      <c r="A314" s="333"/>
      <c r="B314" s="335"/>
      <c r="C314" s="3" t="s">
        <v>6</v>
      </c>
      <c r="D314" s="3" t="s">
        <v>21</v>
      </c>
      <c r="E314" s="3" t="s">
        <v>8</v>
      </c>
      <c r="F314" s="3" t="s">
        <v>140</v>
      </c>
      <c r="G314" s="3" t="s">
        <v>10</v>
      </c>
      <c r="H314" s="3" t="s">
        <v>141</v>
      </c>
      <c r="I314" s="3" t="s">
        <v>37</v>
      </c>
      <c r="J314" s="3" t="s">
        <v>38</v>
      </c>
      <c r="K314" s="3" t="s">
        <v>39</v>
      </c>
      <c r="L314" s="3" t="s">
        <v>142</v>
      </c>
      <c r="M314" s="9"/>
      <c r="N314" s="9"/>
      <c r="O314" s="9"/>
      <c r="P314" s="9"/>
      <c r="Q314" s="9"/>
      <c r="R314" s="9"/>
      <c r="S314" s="9"/>
      <c r="T314" s="9"/>
      <c r="U314" s="9"/>
    </row>
    <row r="315" spans="1:21" s="1" customFormat="1" ht="24.75" hidden="1" customHeight="1">
      <c r="A315" s="2" t="s">
        <v>104</v>
      </c>
      <c r="B315" s="418"/>
      <c r="C315" s="419"/>
      <c r="D315" s="419"/>
      <c r="E315" s="419"/>
      <c r="F315" s="419"/>
      <c r="G315" s="419"/>
      <c r="H315" s="419"/>
      <c r="I315" s="419"/>
      <c r="J315" s="419"/>
      <c r="K315" s="419"/>
      <c r="L315" s="419"/>
      <c r="M315" s="419"/>
      <c r="N315" s="419"/>
      <c r="O315" s="419"/>
      <c r="P315" s="419"/>
      <c r="Q315" s="419"/>
      <c r="R315" s="420"/>
      <c r="S315" s="11" t="e">
        <f>SUM(#REF!)</f>
        <v>#REF!</v>
      </c>
      <c r="T315" s="47"/>
      <c r="U315" s="9"/>
    </row>
    <row r="316" spans="1:21" s="1" customFormat="1" ht="24.75" hidden="1" customHeight="1">
      <c r="A316" s="2" t="s">
        <v>66</v>
      </c>
      <c r="B316" s="418"/>
      <c r="C316" s="419"/>
      <c r="D316" s="419"/>
      <c r="E316" s="419"/>
      <c r="F316" s="419"/>
      <c r="G316" s="419"/>
      <c r="H316" s="419"/>
      <c r="I316" s="419"/>
      <c r="J316" s="419"/>
      <c r="K316" s="419"/>
      <c r="L316" s="419"/>
      <c r="M316" s="419"/>
      <c r="N316" s="419"/>
      <c r="O316" s="419"/>
      <c r="P316" s="419"/>
      <c r="Q316" s="419"/>
      <c r="R316" s="420"/>
      <c r="S316" s="11" t="e">
        <f>SUM(#REF!)</f>
        <v>#REF!</v>
      </c>
      <c r="T316" s="47"/>
      <c r="U316" s="9"/>
    </row>
    <row r="317" spans="1:21" s="1" customFormat="1" ht="24.75" hidden="1" customHeight="1">
      <c r="A317" s="2" t="s">
        <v>133</v>
      </c>
      <c r="B317" s="418"/>
      <c r="C317" s="419"/>
      <c r="D317" s="419"/>
      <c r="E317" s="419"/>
      <c r="F317" s="419"/>
      <c r="G317" s="419"/>
      <c r="H317" s="419"/>
      <c r="I317" s="419"/>
      <c r="J317" s="419"/>
      <c r="K317" s="419"/>
      <c r="L317" s="419"/>
      <c r="M317" s="419"/>
      <c r="N317" s="419"/>
      <c r="O317" s="419"/>
      <c r="P317" s="419"/>
      <c r="Q317" s="419"/>
      <c r="R317" s="420"/>
      <c r="S317" s="11" t="e">
        <f>SUM(#REF!)</f>
        <v>#REF!</v>
      </c>
      <c r="T317" s="47"/>
      <c r="U317" s="9"/>
    </row>
    <row r="318" spans="1:21" s="1" customFormat="1" ht="24.75" hidden="1" customHeight="1">
      <c r="A318" s="2" t="s">
        <v>22</v>
      </c>
      <c r="B318" s="418"/>
      <c r="C318" s="419"/>
      <c r="D318" s="419"/>
      <c r="E318" s="419"/>
      <c r="F318" s="419"/>
      <c r="G318" s="419"/>
      <c r="H318" s="419"/>
      <c r="I318" s="419"/>
      <c r="J318" s="419"/>
      <c r="K318" s="419"/>
      <c r="L318" s="419"/>
      <c r="M318" s="419"/>
      <c r="N318" s="419"/>
      <c r="O318" s="419"/>
      <c r="P318" s="419"/>
      <c r="Q318" s="419"/>
      <c r="R318" s="420"/>
      <c r="S318" s="11" t="e">
        <f>SUM(#REF!)</f>
        <v>#REF!</v>
      </c>
      <c r="T318" s="47"/>
      <c r="U318" s="9"/>
    </row>
    <row r="319" spans="1:21" s="1" customFormat="1" ht="24.75" hidden="1" customHeight="1">
      <c r="A319" s="2" t="s">
        <v>134</v>
      </c>
      <c r="B319" s="418"/>
      <c r="C319" s="419"/>
      <c r="D319" s="419"/>
      <c r="E319" s="419"/>
      <c r="F319" s="419"/>
      <c r="G319" s="419"/>
      <c r="H319" s="419"/>
      <c r="I319" s="419"/>
      <c r="J319" s="419"/>
      <c r="K319" s="419"/>
      <c r="L319" s="419"/>
      <c r="M319" s="419"/>
      <c r="N319" s="419"/>
      <c r="O319" s="419"/>
      <c r="P319" s="419"/>
      <c r="Q319" s="419"/>
      <c r="R319" s="420"/>
      <c r="S319" s="56" t="e">
        <f>SUM(#REF!)</f>
        <v>#REF!</v>
      </c>
      <c r="T319" s="47"/>
      <c r="U319" s="9"/>
    </row>
    <row r="320" spans="1:21" s="1" customFormat="1" ht="24.75" hidden="1" customHeight="1">
      <c r="A320" s="2" t="s">
        <v>135</v>
      </c>
      <c r="B320" s="418"/>
      <c r="C320" s="419"/>
      <c r="D320" s="419"/>
      <c r="E320" s="419"/>
      <c r="F320" s="419"/>
      <c r="G320" s="419"/>
      <c r="H320" s="419"/>
      <c r="I320" s="419"/>
      <c r="J320" s="419"/>
      <c r="K320" s="419"/>
      <c r="L320" s="419"/>
      <c r="M320" s="419"/>
      <c r="N320" s="419"/>
      <c r="O320" s="419"/>
      <c r="P320" s="419"/>
      <c r="Q320" s="419"/>
      <c r="R320" s="420"/>
      <c r="S320" s="56" t="e">
        <f>SUM(#REF!)</f>
        <v>#REF!</v>
      </c>
      <c r="T320" s="47"/>
      <c r="U320" s="9"/>
    </row>
    <row r="321" spans="1:23" s="1" customFormat="1" ht="27" hidden="1" customHeight="1">
      <c r="A321" s="13"/>
      <c r="B321" s="9"/>
      <c r="C321" s="9"/>
      <c r="D321" s="9"/>
      <c r="E321" s="9"/>
      <c r="F321" s="9"/>
      <c r="G321" s="9"/>
      <c r="H321" s="9"/>
      <c r="I321" s="9"/>
      <c r="J321" s="9"/>
      <c r="K321" s="9"/>
      <c r="L321" s="9"/>
      <c r="M321" s="9"/>
      <c r="N321" s="9"/>
      <c r="O321" s="9"/>
      <c r="P321" s="9"/>
      <c r="Q321" s="9"/>
      <c r="R321" s="9"/>
      <c r="S321" s="58" t="e">
        <f>SUM(S310:S320)</f>
        <v>#REF!</v>
      </c>
      <c r="T321" s="59"/>
      <c r="U321" s="9"/>
    </row>
    <row r="322" spans="1:23" s="1" customFormat="1" ht="21" hidden="1" customHeight="1">
      <c r="A322" s="13"/>
      <c r="B322" s="9"/>
      <c r="C322" s="9"/>
      <c r="D322" s="9"/>
      <c r="E322" s="9"/>
      <c r="F322" s="9"/>
      <c r="G322" s="9"/>
      <c r="H322" s="9"/>
      <c r="I322" s="9"/>
      <c r="J322" s="9"/>
      <c r="K322" s="9"/>
      <c r="L322" s="9"/>
      <c r="M322" s="9"/>
      <c r="N322" s="9"/>
      <c r="O322" s="9"/>
      <c r="P322" s="9"/>
      <c r="Q322" s="9"/>
      <c r="R322" s="9"/>
      <c r="S322" s="9" t="s">
        <v>136</v>
      </c>
      <c r="T322" s="9"/>
      <c r="U322" s="9"/>
      <c r="V322"/>
      <c r="W322"/>
    </row>
    <row r="323" spans="1:23" s="1" customFormat="1" ht="20.100000000000001" hidden="1" customHeight="1">
      <c r="A323" s="437" t="s">
        <v>137</v>
      </c>
      <c r="B323" s="438"/>
      <c r="C323" s="438"/>
      <c r="D323" s="438"/>
      <c r="E323" s="438"/>
      <c r="F323" s="438"/>
      <c r="G323" s="438"/>
      <c r="H323" s="438"/>
      <c r="I323" s="438"/>
      <c r="J323" s="438"/>
      <c r="K323" s="438"/>
      <c r="L323" s="438"/>
      <c r="M323" s="9"/>
      <c r="N323" s="9"/>
      <c r="O323" s="9"/>
      <c r="P323" s="9"/>
      <c r="Q323" s="9"/>
      <c r="R323" s="9"/>
      <c r="S323" s="9"/>
      <c r="T323" s="9"/>
      <c r="U323" s="9"/>
      <c r="V323"/>
      <c r="W323"/>
    </row>
    <row r="324" spans="1:23" s="1" customFormat="1" ht="21" hidden="1" customHeight="1">
      <c r="A324" s="333" t="s">
        <v>143</v>
      </c>
      <c r="B324" s="335"/>
      <c r="C324" s="3"/>
      <c r="D324" s="3">
        <f>8-3</f>
        <v>5</v>
      </c>
      <c r="E324" s="3">
        <f>8-1-2</f>
        <v>5</v>
      </c>
      <c r="F324" s="3">
        <f>6-2</f>
        <v>4</v>
      </c>
      <c r="G324" s="3">
        <v>6</v>
      </c>
      <c r="H324" s="3">
        <v>10</v>
      </c>
      <c r="I324" s="3">
        <f>10-1</f>
        <v>9</v>
      </c>
      <c r="J324" s="3"/>
      <c r="K324" s="3"/>
      <c r="L324" s="3" t="s">
        <v>142</v>
      </c>
      <c r="M324" s="9"/>
      <c r="N324" s="9"/>
      <c r="O324" s="9"/>
      <c r="P324" s="9"/>
      <c r="Q324" s="9"/>
      <c r="R324" s="9"/>
      <c r="S324" s="9"/>
      <c r="T324" s="9"/>
      <c r="U324" s="9"/>
      <c r="V324"/>
      <c r="W324"/>
    </row>
    <row r="325" spans="1:23" s="1" customFormat="1" ht="21">
      <c r="A325" s="55"/>
      <c r="V325"/>
      <c r="W325"/>
    </row>
    <row r="326" spans="1:23" ht="21">
      <c r="A326" s="42"/>
      <c r="B326" s="42"/>
      <c r="C326" s="42"/>
      <c r="D326" s="42"/>
      <c r="E326" s="42"/>
      <c r="F326" s="42"/>
      <c r="G326" s="42"/>
      <c r="H326" s="42"/>
      <c r="I326" s="14"/>
      <c r="J326" s="14"/>
      <c r="K326" s="14"/>
      <c r="L326" s="14"/>
      <c r="M326" s="14"/>
      <c r="N326" s="14"/>
      <c r="O326" s="14"/>
      <c r="P326" s="14"/>
      <c r="Q326" s="14"/>
      <c r="R326" s="44"/>
      <c r="S326" s="43"/>
      <c r="T326" s="1"/>
    </row>
    <row r="327" spans="1:23" ht="42.75">
      <c r="A327" s="446" t="s">
        <v>144</v>
      </c>
      <c r="B327" s="446"/>
      <c r="C327" s="446"/>
      <c r="D327" s="446"/>
      <c r="E327" s="446"/>
      <c r="F327" s="446"/>
      <c r="G327" s="446"/>
      <c r="H327" s="446"/>
      <c r="I327" s="446"/>
      <c r="J327" s="446"/>
      <c r="K327" s="446"/>
      <c r="L327" s="446"/>
      <c r="M327" s="446"/>
      <c r="N327" s="446"/>
      <c r="O327" s="446"/>
      <c r="P327" s="446"/>
      <c r="Q327" s="446"/>
      <c r="R327" s="446"/>
      <c r="S327" s="446"/>
      <c r="T327" s="447"/>
    </row>
    <row r="328" spans="1:23" ht="26.25">
      <c r="A328" s="85" t="s">
        <v>47</v>
      </c>
      <c r="B328" s="322" t="s">
        <v>3</v>
      </c>
      <c r="C328" s="323"/>
      <c r="D328" s="323"/>
      <c r="E328" s="323"/>
      <c r="F328" s="323"/>
      <c r="G328" s="323"/>
      <c r="H328" s="323"/>
      <c r="I328" s="323"/>
      <c r="J328" s="324"/>
      <c r="K328" s="322" t="s">
        <v>4</v>
      </c>
      <c r="L328" s="323"/>
      <c r="M328" s="323"/>
      <c r="N328" s="323"/>
      <c r="O328" s="323"/>
      <c r="P328" s="323"/>
      <c r="Q328" s="323"/>
      <c r="R328" s="323"/>
      <c r="S328" s="323"/>
      <c r="T328" s="324"/>
    </row>
    <row r="329" spans="1:23" ht="26.25">
      <c r="A329" s="88" t="s">
        <v>5</v>
      </c>
      <c r="B329" s="87" t="s">
        <v>6</v>
      </c>
      <c r="C329" s="87" t="s">
        <v>7</v>
      </c>
      <c r="D329" s="87" t="s">
        <v>8</v>
      </c>
      <c r="E329" s="87" t="s">
        <v>9</v>
      </c>
      <c r="F329" s="87" t="s">
        <v>10</v>
      </c>
      <c r="G329" s="87" t="s">
        <v>36</v>
      </c>
      <c r="H329" s="87" t="s">
        <v>12</v>
      </c>
      <c r="I329" s="87" t="s">
        <v>13</v>
      </c>
      <c r="J329" s="87" t="s">
        <v>14</v>
      </c>
      <c r="K329" s="87" t="s">
        <v>6</v>
      </c>
      <c r="L329" s="87" t="s">
        <v>7</v>
      </c>
      <c r="M329" s="87" t="s">
        <v>8</v>
      </c>
      <c r="N329" s="87" t="s">
        <v>9</v>
      </c>
      <c r="O329" s="87" t="s">
        <v>10</v>
      </c>
      <c r="P329" s="87" t="s">
        <v>11</v>
      </c>
      <c r="Q329" s="87" t="s">
        <v>12</v>
      </c>
      <c r="R329" s="87" t="s">
        <v>13</v>
      </c>
      <c r="S329" s="87" t="s">
        <v>14</v>
      </c>
      <c r="T329" s="87" t="s">
        <v>48</v>
      </c>
    </row>
    <row r="330" spans="1:23" ht="30.75" customHeight="1">
      <c r="A330" s="89" t="s">
        <v>145</v>
      </c>
      <c r="B330" s="113">
        <f>1-1</f>
        <v>0</v>
      </c>
      <c r="C330" s="113">
        <f>13+12-11-11+20-20+9-11+12-13</f>
        <v>0</v>
      </c>
      <c r="D330" s="113">
        <f>1+12-11+20-20+15-2+12-27</f>
        <v>0</v>
      </c>
      <c r="E330" s="113">
        <f>3+17-2-18+15-11+12-11-5</f>
        <v>0</v>
      </c>
      <c r="F330" s="113">
        <f>12-11+20-20+9-10+12-11-1+9-2</f>
        <v>7</v>
      </c>
      <c r="G330" s="113">
        <f>20-20+20-20</f>
        <v>0</v>
      </c>
      <c r="H330" s="113">
        <f>1+20-20+20-21+20</f>
        <v>20</v>
      </c>
      <c r="I330" s="113"/>
      <c r="J330" s="113">
        <f>20-20+20-20+20</f>
        <v>20</v>
      </c>
      <c r="K330" s="114">
        <f>2-2</f>
        <v>0</v>
      </c>
      <c r="L330" s="114">
        <f>17-8+25-20+25+23-11-51</f>
        <v>0</v>
      </c>
      <c r="M330" s="115">
        <f>22-13+30-30+25-11+25+25-21-52</f>
        <v>0</v>
      </c>
      <c r="N330" s="115">
        <f>10-10+25-22+28-30+25-22-4+8</f>
        <v>8</v>
      </c>
      <c r="O330" s="115">
        <f>15-15+50-50+1+25-21+25-23-7</f>
        <v>0</v>
      </c>
      <c r="P330" s="115">
        <f>14+25-25+25-39+25-21</f>
        <v>4</v>
      </c>
      <c r="Q330" s="114">
        <f>2+25-20+25-25+25-32+25</f>
        <v>25</v>
      </c>
      <c r="R330" s="114"/>
      <c r="S330" s="114">
        <f>10-10+25-25+25-25+25</f>
        <v>25</v>
      </c>
      <c r="T330" s="109">
        <f>SUM(B330:S330)</f>
        <v>109</v>
      </c>
    </row>
    <row r="331" spans="1:23" ht="30.75" customHeight="1">
      <c r="A331" s="90" t="s">
        <v>146</v>
      </c>
      <c r="B331" s="116"/>
      <c r="C331" s="116"/>
      <c r="D331" s="116"/>
      <c r="E331" s="116"/>
      <c r="F331" s="116"/>
      <c r="G331" s="116"/>
      <c r="H331" s="116"/>
      <c r="I331" s="116"/>
      <c r="J331" s="116"/>
      <c r="K331" s="117">
        <f>30-11+11</f>
        <v>30</v>
      </c>
      <c r="L331" s="118">
        <f>50-32-2+2+30</f>
        <v>48</v>
      </c>
      <c r="M331" s="118">
        <f>50-35-2+2-15</f>
        <v>0</v>
      </c>
      <c r="N331" s="118">
        <f>50-1-31+1</f>
        <v>19</v>
      </c>
      <c r="O331" s="118">
        <f>50-21-20-1</f>
        <v>8</v>
      </c>
      <c r="P331" s="118">
        <f>40-11+11</f>
        <v>40</v>
      </c>
      <c r="Q331" s="118">
        <f>15-1-10</f>
        <v>4</v>
      </c>
      <c r="R331" s="118"/>
      <c r="S331" s="118">
        <f>15-10</f>
        <v>5</v>
      </c>
      <c r="T331" s="119">
        <f>SUM(K331:S331)</f>
        <v>154</v>
      </c>
    </row>
    <row r="332" spans="1:23" ht="31.5" customHeight="1">
      <c r="A332" s="91" t="s">
        <v>147</v>
      </c>
      <c r="B332" s="120">
        <f>20-11-9+20</f>
        <v>20</v>
      </c>
      <c r="C332" s="120">
        <f>20-6+6</f>
        <v>20</v>
      </c>
      <c r="D332" s="120">
        <f>30-25-1+1-5+30</f>
        <v>30</v>
      </c>
      <c r="E332" s="120">
        <f>30-21-1-8+30</f>
        <v>30</v>
      </c>
      <c r="F332" s="120">
        <f>20-11+11</f>
        <v>20</v>
      </c>
      <c r="G332" s="120">
        <v>15</v>
      </c>
      <c r="H332" s="120">
        <v>15</v>
      </c>
      <c r="I332" s="120"/>
      <c r="J332" s="120">
        <v>15</v>
      </c>
      <c r="K332" s="118">
        <v>40</v>
      </c>
      <c r="L332" s="118">
        <f>30-21-9+9+21</f>
        <v>30</v>
      </c>
      <c r="M332" s="121">
        <f>60-21-21-1-1-16+1+16-17+60</f>
        <v>60</v>
      </c>
      <c r="N332" s="121">
        <f>60-3-22-21+3-5+21+27</f>
        <v>60</v>
      </c>
      <c r="O332" s="121">
        <f>50-21-21+20-21+43</f>
        <v>50</v>
      </c>
      <c r="P332" s="121">
        <f>50-21+21</f>
        <v>50</v>
      </c>
      <c r="Q332" s="118">
        <f>15-11+11</f>
        <v>15</v>
      </c>
      <c r="R332" s="118"/>
      <c r="S332" s="118">
        <f>15-10+10</f>
        <v>15</v>
      </c>
      <c r="T332" s="119">
        <f>SUM(B332:S332)</f>
        <v>485</v>
      </c>
    </row>
    <row r="333" spans="1:23" ht="45.75" customHeight="1">
      <c r="A333">
        <v>1</v>
      </c>
      <c r="T333" s="119">
        <f>+T332+T331+T330</f>
        <v>748</v>
      </c>
    </row>
    <row r="334" spans="1:23" ht="15" customHeight="1">
      <c r="A334" s="442" t="s">
        <v>148</v>
      </c>
      <c r="B334" s="443"/>
      <c r="C334" s="443"/>
      <c r="D334" s="443"/>
      <c r="E334" s="443"/>
      <c r="F334" s="443"/>
      <c r="G334" s="443"/>
      <c r="H334" s="443"/>
      <c r="I334" s="443"/>
      <c r="J334" s="443"/>
      <c r="K334" s="443"/>
      <c r="L334" s="443"/>
      <c r="M334" s="443"/>
    </row>
    <row r="335" spans="1:23" ht="15" customHeight="1">
      <c r="A335" s="444"/>
      <c r="B335" s="445"/>
      <c r="C335" s="445"/>
      <c r="D335" s="445"/>
      <c r="E335" s="445"/>
      <c r="F335" s="445"/>
      <c r="G335" s="445"/>
      <c r="H335" s="445"/>
      <c r="I335" s="445"/>
      <c r="J335" s="445"/>
      <c r="K335" s="445"/>
      <c r="L335" s="445"/>
      <c r="M335" s="445"/>
    </row>
    <row r="336" spans="1:23" ht="26.25">
      <c r="A336" s="333"/>
      <c r="B336" s="334"/>
      <c r="C336" s="335"/>
      <c r="D336" s="322" t="s">
        <v>139</v>
      </c>
      <c r="E336" s="323"/>
      <c r="F336" s="323"/>
      <c r="G336" s="323"/>
      <c r="H336" s="323"/>
      <c r="I336" s="323"/>
      <c r="J336" s="323"/>
      <c r="K336" s="323"/>
      <c r="L336" s="323"/>
      <c r="M336" s="324"/>
    </row>
    <row r="337" spans="1:25" ht="24">
      <c r="A337" s="346"/>
      <c r="B337" s="348"/>
      <c r="C337" s="347"/>
      <c r="D337" s="60" t="s">
        <v>6</v>
      </c>
      <c r="E337" s="60" t="s">
        <v>21</v>
      </c>
      <c r="F337" s="60" t="s">
        <v>8</v>
      </c>
      <c r="G337" s="60" t="s">
        <v>140</v>
      </c>
      <c r="H337" s="60" t="s">
        <v>10</v>
      </c>
      <c r="I337" s="60" t="s">
        <v>141</v>
      </c>
      <c r="J337" s="60" t="s">
        <v>37</v>
      </c>
      <c r="K337" s="60" t="s">
        <v>38</v>
      </c>
      <c r="L337" s="60" t="s">
        <v>39</v>
      </c>
      <c r="M337" s="60" t="s">
        <v>15</v>
      </c>
    </row>
    <row r="338" spans="1:25" ht="41.25" customHeight="1">
      <c r="A338" s="439" t="s">
        <v>149</v>
      </c>
      <c r="B338" s="440"/>
      <c r="C338" s="441"/>
      <c r="D338" s="60">
        <f>0</f>
        <v>0</v>
      </c>
      <c r="E338" s="60">
        <f>0+51-51</f>
        <v>0</v>
      </c>
      <c r="F338" s="60">
        <f>0+48-48</f>
        <v>0</v>
      </c>
      <c r="G338" s="60">
        <f>574+50-50-10-50-1-1-1-1-1-1-1-1-2-10-1-1-20-20-2-5-20-30-1-1-1-1-1-1+2994-9-100-3-1-2-1-11-1+1834-1+152-50-1-152-7-2-15-100-1-2-1-15-1-350-3-2-1-1-1+349-1-2-70-2-25-5-6-5-1-24-1-20-20-1-10-1-2-1+670-25-100-1-12-120-170-1-20-2-1-25-2-53-1+789-2-1-4-1-10+498+149+821+339-1-1-1-2+594-42-200-50-20-1-2-1-1-1-3-1-2-30-10-3-1-40-21-35-4-100-100-3-1-1-5-1-140-1-1-800-14-1-1-1-2-12-23-1-1-2-1-1+1356+350-2+5-35-5-5-50-2-1-1-5-140-2+200-5-5-110-1-10-10-5-16-1-2-50-11-1-4-10-80-100-2-103-100-14-1-1-1-2-100-1-30-150-2-6-1-1-35-80-2-1-6-2-1-34-1-2-2-11-1-70-1-1-1-2-33-5-3-3-2-1-1-30-3-1-4-1-1-1-1-1+371-2-1-2-1-2-100-22-1-2-1-1-1-10-4-1-3-1-4-50-2-50-50-10-60-25-40-20-50-2-3-20-20-1-1-1-1-400-2-15-2-12-10-30-3-160-10+123+600-1-1-1-1-20-2-2-20-1-1-5-1-1-1-1-20-8-15-6-1-1-1-1-2-1-1-1-1-50-3-4-1-6-2-1-1-3-50-16-2-1-150-1-3-2-4-1-13-2-1-1-2-1-6-104-2+800-1-250-200-250-100-400-33-2-1-3-1-6-3-1-40-43-10-1-2-3-34-1-5-1-5-1-11-30-250+247+206-4-1-2-10-2-2-2-1-1-182-28-4-1-1-1-50-10-3-200-1-1-5-15-4-1-1-10-5-1-1-1-1-1-60-3-4-2-1-2-2-1-1-1-7-1-1-40-4-2-1-1-25-15-2-1-3-3-1-10-40-300-4-1-2-2-1-2-1-1-1-1-1-200-400-1-2-2-1-1-1-1-1-1-1-1-200-6-1-2-1-8-2-3-2-1-2-1-10-300-2-15-1-1-1-2-2-1-1-4-100-1-1-1-1-1-1-30-15-90-50-4-1-30-20-1-1-1-1-1-1-1-1-2-5-3-1-4-1-2-2-1-1-30-20-16-5-1-2-10-8-3-2-1-50-4-1-3-1-2-1-1-1-1-3-1-1-1-1-50-10-1-1-20-4-9-1-1-1-1-4-1-2-1-2-1-1-4-1-37-3-2-2-1-3-2-2-3-1-7-4-1-1-1-4-1-3-2-1-1-2-3-1-1-1-1-6-1-1-1-35-1-28-2-2-8-1-1-1-1-1-1-2-2-5-2-1-3-2-1-6-2-5-3-2-5-2-1-2-1-1-1-2-2-1-1-12-1-1-1-1-1-2-1-2-1-2-4-1-1-3-1-1-1-6-1-1-1-1-1-2-1-1-4-2-1-2-4-1-1-2-3-2-2-2-1-1-2-2-1-1-3-2-1-1-1+40-1-1-2-2-2-3-1-2-2-1-1-3-1-2-1-50-1-3-350-1-8-1-4-1-2-6-1-2-1-3-1-2-1-2-2-3-1-1-1-1-2-1-1-1-1-2-4-1-1-2-2-1-1-3-3-3-6-2-1-16-2-1-2-1-1-2-1-1-1-2-4-1-1-5-1-1-1-2-1-4-2-1-1-1</f>
        <v>1785</v>
      </c>
      <c r="H338" s="60">
        <f>0+50-50</f>
        <v>0</v>
      </c>
      <c r="I338" s="60">
        <f>0</f>
        <v>0</v>
      </c>
      <c r="J338" s="60">
        <f>0</f>
        <v>0</v>
      </c>
      <c r="K338" s="60">
        <f>0</f>
        <v>0</v>
      </c>
      <c r="L338" s="60">
        <f>0</f>
        <v>0</v>
      </c>
      <c r="M338" s="86">
        <f>SUM(D338:L338)</f>
        <v>1785</v>
      </c>
    </row>
    <row r="340" spans="1:25" ht="15" customHeight="1"/>
    <row r="341" spans="1:25" ht="15" customHeight="1">
      <c r="A341" s="442" t="s">
        <v>148</v>
      </c>
      <c r="B341" s="443"/>
      <c r="C341" s="443"/>
      <c r="D341" s="443"/>
      <c r="E341" s="443"/>
      <c r="F341" s="443"/>
      <c r="G341" s="443"/>
      <c r="H341" s="443"/>
      <c r="I341" s="443"/>
      <c r="J341" s="443"/>
      <c r="K341" s="443"/>
      <c r="L341" s="443"/>
      <c r="M341" s="443"/>
    </row>
    <row r="342" spans="1:25">
      <c r="A342" s="444"/>
      <c r="B342" s="445"/>
      <c r="C342" s="445"/>
      <c r="D342" s="445"/>
      <c r="E342" s="445"/>
      <c r="F342" s="445"/>
      <c r="G342" s="445"/>
      <c r="H342" s="445"/>
      <c r="I342" s="445"/>
      <c r="J342" s="445"/>
      <c r="K342" s="445"/>
      <c r="L342" s="445"/>
      <c r="M342" s="445"/>
    </row>
    <row r="343" spans="1:25" ht="26.25">
      <c r="A343" s="333"/>
      <c r="B343" s="334"/>
      <c r="C343" s="335"/>
      <c r="D343" s="322" t="s">
        <v>139</v>
      </c>
      <c r="E343" s="323"/>
      <c r="F343" s="323"/>
      <c r="G343" s="323"/>
      <c r="H343" s="323"/>
      <c r="I343" s="323"/>
      <c r="J343" s="323"/>
      <c r="K343" s="323"/>
      <c r="L343" s="323"/>
      <c r="M343" s="324"/>
    </row>
    <row r="344" spans="1:25" ht="33.75" customHeight="1">
      <c r="A344" s="346"/>
      <c r="B344" s="348"/>
      <c r="C344" s="347"/>
      <c r="D344" s="60" t="s">
        <v>150</v>
      </c>
      <c r="E344" s="60" t="s">
        <v>151</v>
      </c>
      <c r="F344" s="60" t="s">
        <v>152</v>
      </c>
      <c r="G344" s="60" t="s">
        <v>153</v>
      </c>
      <c r="H344" s="60" t="s">
        <v>154</v>
      </c>
      <c r="I344" s="60" t="s">
        <v>155</v>
      </c>
      <c r="J344" s="60" t="s">
        <v>156</v>
      </c>
      <c r="K344" s="60" t="s">
        <v>157</v>
      </c>
      <c r="L344" s="60" t="s">
        <v>158</v>
      </c>
      <c r="M344" s="60" t="s">
        <v>15</v>
      </c>
    </row>
    <row r="345" spans="1:25" ht="42.75">
      <c r="A345" s="439" t="s">
        <v>159</v>
      </c>
      <c r="B345" s="440"/>
      <c r="C345" s="441"/>
      <c r="D345" s="60">
        <f>0+158-10-10-5-5-2-1-1-5-5-1-1-1-1-1-1-5-2-1-2-10-1-2-1-5-15-1-1-1-1-1-1-1-2-1-1-1-1-1-1-15-3-1-1-10-2-10-1-1-1-2-1-1</f>
        <v>0</v>
      </c>
      <c r="E345" s="60">
        <f>0+51-51+140-10-10-5-5-1-1-1-5-5-1-1-1-1-5-1-1-1-1-1-1-3-1-1-1-5-15-1-2-1-1-1-1-1-1-2-2-1-1-1-1-1-2-1-10-4-10-1-3-1-1-1-1-1-1-1</f>
        <v>0</v>
      </c>
      <c r="F345" s="60">
        <f>166-10-10-5-5-61-5-1-5-1-2-2-1-2-5-1-1-1-1-1-2-1-1-5-15-1-2-1-1-1-1-2-1-1-2-1-1-1-1-1-1-1-1-1+31-1-11-3-1-7-1-1-1-4-1+20-6-1-1-2-1-1-1-1-1-2-2-1</f>
        <v>0</v>
      </c>
      <c r="G345" s="60">
        <f>163-10-10-5-5-2-2-1-1-5-1-1-5-1-1-2-5-1-1-2-8-5-15-1-1-1-1-1-1-2-1-1-1-1-2-1-2-1-1-1-1-1-1-1-1-2-1-15-10-3-1-10-1-1-1-1-2+3-1-2-1</f>
        <v>0</v>
      </c>
      <c r="H345" s="60">
        <f>157+9-10-10-5-5-1-1-1-5-1-5-1-1-1-1-2-5-1-1-1-1-1-1-1-2-1-1-2-5-1-15-1-1-1-1-1-1-2-1-1-2-1-1-1-1-1-1-1-10-20-1-1-1-10-2-2-2-1-5-1-1-1</f>
        <v>0</v>
      </c>
      <c r="I345" s="60">
        <f>0+156+11-10-10-5-5-1-1-1-1-1-1-5-2-1-1-5-1-1-1-5-1-3-1-1-1-5-2-1-12-2-5-15-1-1-3-1-1-1-1-2-1-2-1-1-1-1-1-1-1-1-1-5-15-1-1-1-3-1-5-1-1-1-1-1</f>
        <v>0</v>
      </c>
      <c r="J345" s="60">
        <f>0+167-10-10-5-5-1-7-1-1-1-1-5-1-5-1-5-3-1-1-1-1-1-1-1-1-1-1-1-5-1-15-1-1-3-1-1-2-1-1-1-1-1-2-2-1-1-2-1-1-2-1-3-1-1-1-1-1-1-2-20-1-2-1-1-1-5-4</f>
        <v>0</v>
      </c>
      <c r="K345" s="60">
        <f>0+16+147-1+2-10-10-5-5-1-100-3-1-5-10-1-10-3+12-1-1-1-1-4-1-3</f>
        <v>0</v>
      </c>
      <c r="L345" s="60">
        <f>0+99+59-1-1-7+2-10-10-5-5-62-1+1-7-5-5-1-1-2-1-1-5-4-1-2-1-2-1-1-2-15-1-1+2-1-1</f>
        <v>0</v>
      </c>
      <c r="M345" s="86">
        <f>SUM(D345:L345)</f>
        <v>0</v>
      </c>
      <c r="P345" s="256"/>
      <c r="Q345" s="257"/>
      <c r="R345" s="258"/>
      <c r="S345" s="258"/>
      <c r="T345" s="258"/>
      <c r="U345" s="258"/>
      <c r="V345" s="258"/>
      <c r="W345" s="258"/>
      <c r="X345" s="258"/>
      <c r="Y345" s="258"/>
    </row>
    <row r="348" spans="1:25" ht="42.75">
      <c r="A348" s="248"/>
      <c r="B348" s="249"/>
      <c r="C348" s="255"/>
      <c r="D348" s="248"/>
      <c r="E348" s="249"/>
      <c r="F348" s="249"/>
      <c r="G348" s="249" t="s">
        <v>160</v>
      </c>
      <c r="H348" s="249"/>
      <c r="I348" s="249"/>
      <c r="J348" s="249"/>
      <c r="K348" s="249"/>
      <c r="L348" s="249"/>
      <c r="M348" s="249"/>
    </row>
    <row r="349" spans="1:25" ht="6.75" customHeight="1">
      <c r="A349" s="250"/>
      <c r="B349" s="251"/>
      <c r="C349" s="251"/>
      <c r="D349" s="251"/>
      <c r="E349" s="251"/>
      <c r="F349" s="251"/>
      <c r="G349" s="251"/>
      <c r="H349" s="251"/>
      <c r="I349" s="251"/>
      <c r="J349" s="251"/>
      <c r="K349" s="251"/>
      <c r="L349" s="251"/>
      <c r="M349" s="251"/>
    </row>
    <row r="350" spans="1:25" ht="30.75" customHeight="1">
      <c r="A350" s="252"/>
      <c r="B350" s="253"/>
      <c r="C350" s="259"/>
      <c r="D350" s="260" t="s">
        <v>139</v>
      </c>
      <c r="E350" s="261"/>
      <c r="F350" s="261"/>
      <c r="G350" s="254"/>
      <c r="H350" s="254"/>
      <c r="I350" s="254"/>
      <c r="J350" s="254"/>
      <c r="K350" s="254"/>
      <c r="L350" s="254"/>
      <c r="M350" s="101"/>
    </row>
    <row r="351" spans="1:25" ht="30.75" customHeight="1">
      <c r="A351" s="346"/>
      <c r="B351" s="348"/>
      <c r="C351" s="347"/>
      <c r="D351" s="245" t="s">
        <v>6</v>
      </c>
      <c r="E351" s="245" t="s">
        <v>21</v>
      </c>
      <c r="F351" s="245" t="s">
        <v>8</v>
      </c>
      <c r="G351" s="245" t="s">
        <v>140</v>
      </c>
      <c r="H351" s="245" t="s">
        <v>10</v>
      </c>
      <c r="I351" s="245" t="s">
        <v>141</v>
      </c>
      <c r="J351" s="245" t="s">
        <v>37</v>
      </c>
      <c r="K351" s="245" t="s">
        <v>38</v>
      </c>
      <c r="L351" s="245" t="s">
        <v>39</v>
      </c>
      <c r="M351" s="87" t="s">
        <v>15</v>
      </c>
    </row>
    <row r="352" spans="1:25" ht="26.25">
      <c r="A352" s="439" t="s">
        <v>161</v>
      </c>
      <c r="B352" s="440"/>
      <c r="C352" s="441"/>
      <c r="D352" s="60">
        <f>0+10-1-1-1-1-1-1+50-1-5-1-3-1+66-1-1-3-1-2-2-1-1-1-10-5-1-1-5-13-2-2-5-3-2-3-5-1-1-1-1-1-1-3-4-3-1-1-1-1-1-15-3</f>
        <v>0</v>
      </c>
      <c r="E352" s="60">
        <f>0+145-1-5-2-1-2-1+200-1-1-3-1-10-1-1+140-1-1-3-1-1-1-1-1-2-2-5-1-1-2-1-1-1-5-1-2-2-1-1-2-1-10-1-15-7-6-3+1-2-5-4-4-4-4-5-2-2-2-2-4-1-2-2-2-2-2-1-6-1-5-10-1-2-2-1-2-3-2-4-3-1-3-20-1-20-1-1-3-1-1-1-1-3-2-10-10-1-1-1-1-3-1-10-5-1-1-4-8-1-1-1-1-1-1-1-1-1-3-1-2-5-1-1-2-1-1-2-1-1-5-3-1-1-1-20-1-2-2-3-1-1-40-2-3-1-1-1-1-1-1-1-1-1-3-1-1-1</f>
        <v>32</v>
      </c>
      <c r="F352" s="60">
        <f>0+10-1-1-1-1-1-1-3+175-1-1-1-1-5-3-2-1-1-1-1+200-1-1-1-5-1-1-1-1-1-1-3-1-2-1-2-10-1+207+100-1-1-1-1+34-1-1-1-2-3+268-1-1-1-1+120-1-1-2-2-5-1+14-2-25-2-1-1-1-1-2-1-2-1-1-1-10-5-1-2-1-2-1-1-2-1-25-10-30-31-7-1-1-1-1-1-1-1-5-1-2-8-8-8-6-8-1-2-2-4-2-2-4-5-2-2-2-2-2-5-6-3-7-3-10-3-5-4-2-2-2-1-3-3-1-2-1-4-3-1-3-40-1-1-1-1-1-1-1-1-1-1-3-1-1-1-3-10-20-10-1-1-2-10-5-1-1-2-1-4-1-2-1-1-1-2-1-2-1-1-3-1-3-1-2-1-2-1-1-1-8-2-1-1-20-1-2-1-3-4-1-2-3-1-1-1-2-1-2-1-1-1-1-5-1-1</f>
        <v>486</v>
      </c>
      <c r="G352" s="60">
        <f>20-1-12-2-1-2-1-1+10-1-1-1-1-5-1+177-1-5-1-2-3-2-2-1+289-3-1-1+174-2+155-1+87-1-25-1+82+199-1+2-1-1-1-3-3-1-1-1-2-5-1-1-2-1-25-1-2-2-1-1-5-1-1-4-1-1-1-5-2-2-2-1-1-1-1-25-13-25-1-39-6-1-2-5-1-8-8-8-6-5-2-2-4-2-2-4-4-2-2-2-2-2-5-9-2-7-3-10-2-5-2-1-2-1-3-3-1-3-1-2-4-2-1-1-3-35-2-1-1-1-1-3-3-10-10-1-1-1-3-6-5-1-1-3-1-1-1-1-6-1-1-1-1-1-2-3-1-1-1-1-2-1-1-1-1-1-2-1-1-7-3-1-20-2-1-2-1-3-7-4-3-1-1-1-1-1-1-2-2-1</f>
        <v>582</v>
      </c>
      <c r="H352" s="60">
        <f>0+10-1-1-1-4+147+83-1-1+1-5-2-1-1-1-3-1-10+2+75-2-3+14-1-2-5-1-5-1-1-1-1-5-2-1-1-5-12-1-19-1-1-1-1-5-1-3-3-3-2-2-2-2-2-2-2-4-2-2-2-2-2-2-5-1-1-3-1-3-10-2-2-2-1-2-3-1-3-2-3-3-1-1-1-3-5-20-1-1-1-1-1-1-1-1-10-1-1-1-5-5-1-1-1-50-3-3-5-1-1-1-1-1-1-1</f>
        <v>0</v>
      </c>
      <c r="I352" s="60">
        <f>0+5+46-1+75-5-1-1-1-1-3-1-1+78-1+1-1-3-2-1-5-1-1-5-1-5-2-3-2-1-2-2-2-2-1-2-2-4-2-2-2-2-5-2-3-1-1-10-1-2-2-1-1-3-1-2-3-3-1-3-1-1-1-10-20-1-1-1-1-2-5-1-1-1-2-1-1-1-5-2-1-5-1-1-1-5-1-2-1-1-1-1-1-1-1</f>
        <v>3</v>
      </c>
      <c r="J352" s="60">
        <f>0+24-5-1+33-3-1+35-3-1-1-1-5-1-32-2-1-1-1-2-5-1-1-1-3-3-3-1-1-1-1-2-1-1-1-1-1-1-2</f>
        <v>0</v>
      </c>
      <c r="K352" s="60">
        <f>0</f>
        <v>0</v>
      </c>
      <c r="L352" s="60">
        <f>0</f>
        <v>0</v>
      </c>
      <c r="M352" s="86">
        <f>SUM(D352:L352)</f>
        <v>1103</v>
      </c>
    </row>
    <row r="488" ht="18.75" customHeight="1"/>
  </sheetData>
  <mergeCells count="185">
    <mergeCell ref="A311:L312"/>
    <mergeCell ref="B315:R315"/>
    <mergeCell ref="S293:T293"/>
    <mergeCell ref="S292:T292"/>
    <mergeCell ref="A314:B314"/>
    <mergeCell ref="B306:R306"/>
    <mergeCell ref="B307:R307"/>
    <mergeCell ref="B308:R308"/>
    <mergeCell ref="B320:R320"/>
    <mergeCell ref="B317:R317"/>
    <mergeCell ref="B318:R318"/>
    <mergeCell ref="B319:R319"/>
    <mergeCell ref="A313:B313"/>
    <mergeCell ref="C313:L313"/>
    <mergeCell ref="B304:R304"/>
    <mergeCell ref="A351:C351"/>
    <mergeCell ref="A352:C352"/>
    <mergeCell ref="A334:M335"/>
    <mergeCell ref="A336:C336"/>
    <mergeCell ref="D336:M336"/>
    <mergeCell ref="A337:C337"/>
    <mergeCell ref="A338:C338"/>
    <mergeCell ref="A327:T327"/>
    <mergeCell ref="B328:J328"/>
    <mergeCell ref="K328:T328"/>
    <mergeCell ref="A341:M342"/>
    <mergeCell ref="A343:C343"/>
    <mergeCell ref="D343:M343"/>
    <mergeCell ref="A344:C344"/>
    <mergeCell ref="A345:C345"/>
    <mergeCell ref="A323:L323"/>
    <mergeCell ref="A324:B324"/>
    <mergeCell ref="D125:K125"/>
    <mergeCell ref="C252:K252"/>
    <mergeCell ref="A252:B252"/>
    <mergeCell ref="C249:K249"/>
    <mergeCell ref="A250:B250"/>
    <mergeCell ref="C250:K250"/>
    <mergeCell ref="A255:B255"/>
    <mergeCell ref="C255:K255"/>
    <mergeCell ref="C261:K261"/>
    <mergeCell ref="A259:B259"/>
    <mergeCell ref="A253:B253"/>
    <mergeCell ref="C253:K253"/>
    <mergeCell ref="A254:B254"/>
    <mergeCell ref="C254:K254"/>
    <mergeCell ref="A249:B249"/>
    <mergeCell ref="A258:B258"/>
    <mergeCell ref="A260:B260"/>
    <mergeCell ref="C260:K260"/>
    <mergeCell ref="A261:B261"/>
    <mergeCell ref="C259:K259"/>
    <mergeCell ref="C258:K258"/>
    <mergeCell ref="B316:R316"/>
    <mergeCell ref="B285:Q285"/>
    <mergeCell ref="B286:Q286"/>
    <mergeCell ref="B287:Q287"/>
    <mergeCell ref="Q288:R288"/>
    <mergeCell ref="B292:J292"/>
    <mergeCell ref="B305:R305"/>
    <mergeCell ref="A298:U299"/>
    <mergeCell ref="B300:I300"/>
    <mergeCell ref="J300:S300"/>
    <mergeCell ref="S295:T295"/>
    <mergeCell ref="A291:T291"/>
    <mergeCell ref="B294:J294"/>
    <mergeCell ref="K294:R294"/>
    <mergeCell ref="S294:T294"/>
    <mergeCell ref="B293:J293"/>
    <mergeCell ref="K293:R293"/>
    <mergeCell ref="K292:R292"/>
    <mergeCell ref="C256:K256"/>
    <mergeCell ref="A257:B257"/>
    <mergeCell ref="C257:K257"/>
    <mergeCell ref="A256:B256"/>
    <mergeCell ref="A283:R283"/>
    <mergeCell ref="B284:R284"/>
    <mergeCell ref="Q277:R277"/>
    <mergeCell ref="E278:G278"/>
    <mergeCell ref="Q278:R278"/>
    <mergeCell ref="E279:G279"/>
    <mergeCell ref="Q279:R279"/>
    <mergeCell ref="E277:G277"/>
    <mergeCell ref="A270:U271"/>
    <mergeCell ref="E274:R274"/>
    <mergeCell ref="A275:A276"/>
    <mergeCell ref="E275:G276"/>
    <mergeCell ref="Q275:R276"/>
    <mergeCell ref="Q280:R280"/>
    <mergeCell ref="A89:T89"/>
    <mergeCell ref="A56:T56"/>
    <mergeCell ref="K236:T236"/>
    <mergeCell ref="C244:K244"/>
    <mergeCell ref="A245:B245"/>
    <mergeCell ref="A248:L248"/>
    <mergeCell ref="A251:B251"/>
    <mergeCell ref="C251:K251"/>
    <mergeCell ref="A196:T196"/>
    <mergeCell ref="A203:T203"/>
    <mergeCell ref="A129:T129"/>
    <mergeCell ref="A82:T82"/>
    <mergeCell ref="A130:T130"/>
    <mergeCell ref="B131:J131"/>
    <mergeCell ref="K131:S131"/>
    <mergeCell ref="A170:T170"/>
    <mergeCell ref="B171:J171"/>
    <mergeCell ref="K171:T171"/>
    <mergeCell ref="A179:T179"/>
    <mergeCell ref="B180:J180"/>
    <mergeCell ref="K180:T180"/>
    <mergeCell ref="B161:J161"/>
    <mergeCell ref="A124:K124"/>
    <mergeCell ref="A244:B244"/>
    <mergeCell ref="R103:S103"/>
    <mergeCell ref="B83:K83"/>
    <mergeCell ref="A1:P2"/>
    <mergeCell ref="R1:T2"/>
    <mergeCell ref="A37:T37"/>
    <mergeCell ref="B38:J38"/>
    <mergeCell ref="M38:T38"/>
    <mergeCell ref="A3:U3"/>
    <mergeCell ref="A49:H49"/>
    <mergeCell ref="R49:S49"/>
    <mergeCell ref="A50:H50"/>
    <mergeCell ref="A29:T29"/>
    <mergeCell ref="B30:J30"/>
    <mergeCell ref="K30:S30"/>
    <mergeCell ref="A5:T5"/>
    <mergeCell ref="B6:J6"/>
    <mergeCell ref="M6:T6"/>
    <mergeCell ref="A45:S45"/>
    <mergeCell ref="A46:S46"/>
    <mergeCell ref="A48:H48"/>
    <mergeCell ref="R50:S50"/>
    <mergeCell ref="R47:S48"/>
    <mergeCell ref="A47:Q47"/>
    <mergeCell ref="L83:T83"/>
    <mergeCell ref="B191:J191"/>
    <mergeCell ref="K191:T191"/>
    <mergeCell ref="R51:S51"/>
    <mergeCell ref="A54:U54"/>
    <mergeCell ref="A107:K107"/>
    <mergeCell ref="A115:K115"/>
    <mergeCell ref="R104:S104"/>
    <mergeCell ref="R105:S105"/>
    <mergeCell ref="A75:S75"/>
    <mergeCell ref="B57:T57"/>
    <mergeCell ref="B58:J58"/>
    <mergeCell ref="B90:J90"/>
    <mergeCell ref="M90:T90"/>
    <mergeCell ref="M58:T58"/>
    <mergeCell ref="R106:S106"/>
    <mergeCell ref="A105:H105"/>
    <mergeCell ref="A68:T68"/>
    <mergeCell ref="A104:H104"/>
    <mergeCell ref="A99:S99"/>
    <mergeCell ref="A100:S100"/>
    <mergeCell ref="A101:S101"/>
    <mergeCell ref="A102:H102"/>
    <mergeCell ref="R102:S102"/>
    <mergeCell ref="A103:H103"/>
    <mergeCell ref="A226:R226"/>
    <mergeCell ref="A227:R227"/>
    <mergeCell ref="A151:T151"/>
    <mergeCell ref="A243:B243"/>
    <mergeCell ref="A232:H232"/>
    <mergeCell ref="A211:U212"/>
    <mergeCell ref="A229:H229"/>
    <mergeCell ref="A230:H230"/>
    <mergeCell ref="A231:H231"/>
    <mergeCell ref="C243:K243"/>
    <mergeCell ref="A228:Q228"/>
    <mergeCell ref="A214:K214"/>
    <mergeCell ref="B215:K215"/>
    <mergeCell ref="A219:T219"/>
    <mergeCell ref="B220:J220"/>
    <mergeCell ref="K220:T220"/>
    <mergeCell ref="A241:L241"/>
    <mergeCell ref="A242:B242"/>
    <mergeCell ref="C242:K242"/>
    <mergeCell ref="A235:T235"/>
    <mergeCell ref="B236:J236"/>
    <mergeCell ref="A160:T160"/>
    <mergeCell ref="K161:T161"/>
    <mergeCell ref="A190:T190"/>
  </mergeCells>
  <conditionalFormatting sqref="B8:S8 B199:S200 B60:S63 B65:S65 B10:S11 B9:J9 L9:S9">
    <cfRule type="cellIs" dxfId="74" priority="85" operator="lessThan">
      <formula>15</formula>
    </cfRule>
  </conditionalFormatting>
  <conditionalFormatting sqref="B17:S25">
    <cfRule type="cellIs" dxfId="73" priority="84" operator="lessThan">
      <formula>15</formula>
    </cfRule>
  </conditionalFormatting>
  <conditionalFormatting sqref="B32:S33">
    <cfRule type="cellIs" dxfId="72" priority="83" operator="lessThan">
      <formula>15</formula>
    </cfRule>
  </conditionalFormatting>
  <conditionalFormatting sqref="B40:S41">
    <cfRule type="cellIs" dxfId="71" priority="82" operator="lessThan">
      <formula>15</formula>
    </cfRule>
  </conditionalFormatting>
  <conditionalFormatting sqref="I49:Q50">
    <cfRule type="cellIs" dxfId="70" priority="77" operator="lessThan">
      <formula>15</formula>
    </cfRule>
  </conditionalFormatting>
  <conditionalFormatting sqref="B71:S72">
    <cfRule type="cellIs" dxfId="69" priority="75" operator="lessThan">
      <formula>15</formula>
    </cfRule>
  </conditionalFormatting>
  <conditionalFormatting sqref="B78:S79">
    <cfRule type="cellIs" dxfId="68" priority="74" operator="lessThan">
      <formula>15</formula>
    </cfRule>
  </conditionalFormatting>
  <conditionalFormatting sqref="B85:T86">
    <cfRule type="cellIs" dxfId="67" priority="73" operator="lessThan">
      <formula>15</formula>
    </cfRule>
  </conditionalFormatting>
  <conditionalFormatting sqref="B92:S97">
    <cfRule type="cellIs" dxfId="66" priority="72" operator="lessThan">
      <formula>15</formula>
    </cfRule>
  </conditionalFormatting>
  <conditionalFormatting sqref="B109:J112">
    <cfRule type="cellIs" dxfId="65" priority="70" operator="lessThan">
      <formula>15</formula>
    </cfRule>
  </conditionalFormatting>
  <conditionalFormatting sqref="B117:J121">
    <cfRule type="cellIs" dxfId="64" priority="69" operator="lessThan">
      <formula>15</formula>
    </cfRule>
  </conditionalFormatting>
  <conditionalFormatting sqref="B127:J127">
    <cfRule type="cellIs" dxfId="63" priority="68" operator="lessThan">
      <formula>15</formula>
    </cfRule>
  </conditionalFormatting>
  <conditionalFormatting sqref="B133:S147">
    <cfRule type="cellIs" dxfId="62" priority="67" operator="lessThan">
      <formula>15</formula>
    </cfRule>
  </conditionalFormatting>
  <conditionalFormatting sqref="B163:S167">
    <cfRule type="cellIs" dxfId="61" priority="66" operator="lessThan">
      <formula>15</formula>
    </cfRule>
  </conditionalFormatting>
  <conditionalFormatting sqref="B173:S176">
    <cfRule type="cellIs" dxfId="60" priority="65" operator="lessThan">
      <formula>15</formula>
    </cfRule>
  </conditionalFormatting>
  <conditionalFormatting sqref="B182:S187">
    <cfRule type="cellIs" dxfId="59" priority="64" operator="lessThan">
      <formula>15</formula>
    </cfRule>
  </conditionalFormatting>
  <conditionalFormatting sqref="B154:S156">
    <cfRule type="cellIs" dxfId="58" priority="63" operator="lessThan">
      <formula>15</formula>
    </cfRule>
  </conditionalFormatting>
  <conditionalFormatting sqref="B193:T193">
    <cfRule type="cellIs" dxfId="57" priority="62" operator="lessThan">
      <formula>15</formula>
    </cfRule>
  </conditionalFormatting>
  <conditionalFormatting sqref="B206:S208">
    <cfRule type="cellIs" dxfId="56" priority="60" operator="lessThan">
      <formula>15</formula>
    </cfRule>
  </conditionalFormatting>
  <conditionalFormatting sqref="B217:J217">
    <cfRule type="cellIs" dxfId="55" priority="59" operator="lessThan">
      <formula>15</formula>
    </cfRule>
  </conditionalFormatting>
  <conditionalFormatting sqref="B222:S222">
    <cfRule type="cellIs" dxfId="54" priority="58" operator="lessThan">
      <formula>15</formula>
    </cfRule>
  </conditionalFormatting>
  <conditionalFormatting sqref="I230:Q232">
    <cfRule type="cellIs" dxfId="53" priority="57" operator="lessThan">
      <formula>15</formula>
    </cfRule>
  </conditionalFormatting>
  <conditionalFormatting sqref="B238:S238">
    <cfRule type="cellIs" dxfId="52" priority="56" operator="lessThan">
      <formula>15</formula>
    </cfRule>
  </conditionalFormatting>
  <conditionalFormatting sqref="C243:K244">
    <cfRule type="cellIs" dxfId="51" priority="55" operator="lessThan">
      <formula>15</formula>
    </cfRule>
  </conditionalFormatting>
  <conditionalFormatting sqref="C250:K261">
    <cfRule type="cellIs" dxfId="50" priority="54" operator="lessThan">
      <formula>15</formula>
    </cfRule>
  </conditionalFormatting>
  <conditionalFormatting sqref="B268:S269">
    <cfRule type="cellIs" dxfId="49" priority="53" operator="lessThan">
      <formula>15</formula>
    </cfRule>
  </conditionalFormatting>
  <conditionalFormatting sqref="H277:P279">
    <cfRule type="cellIs" dxfId="48" priority="52" operator="lessThan">
      <formula>15</formula>
    </cfRule>
  </conditionalFormatting>
  <conditionalFormatting sqref="B285:Q287">
    <cfRule type="cellIs" dxfId="47" priority="51" operator="lessThan">
      <formula>15</formula>
    </cfRule>
  </conditionalFormatting>
  <conditionalFormatting sqref="B293:R294 B60:S63 B65:S65">
    <cfRule type="cellIs" dxfId="46" priority="50" operator="lessThan">
      <formula>15</formula>
    </cfRule>
  </conditionalFormatting>
  <conditionalFormatting sqref="B293:R294">
    <cfRule type="cellIs" dxfId="45" priority="49" operator="lessThan">
      <formula>15</formula>
    </cfRule>
  </conditionalFormatting>
  <conditionalFormatting sqref="B330:S332">
    <cfRule type="cellIs" dxfId="44" priority="47" operator="lessThan">
      <formula>15</formula>
    </cfRule>
  </conditionalFormatting>
  <conditionalFormatting sqref="D352:L352">
    <cfRule type="cellIs" dxfId="43" priority="46" operator="lessThan">
      <formula>15</formula>
    </cfRule>
  </conditionalFormatting>
  <conditionalFormatting sqref="D338:L338">
    <cfRule type="cellIs" dxfId="42" priority="45" operator="lessThan">
      <formula>15</formula>
    </cfRule>
  </conditionalFormatting>
  <conditionalFormatting sqref="N33">
    <cfRule type="cellIs" dxfId="41" priority="44" operator="lessThan">
      <formula>15</formula>
    </cfRule>
  </conditionalFormatting>
  <conditionalFormatting sqref="B8:S8 B10:S11 B9:J9 L9:S9">
    <cfRule type="cellIs" dxfId="40" priority="43" operator="lessThan">
      <formula>15</formula>
    </cfRule>
  </conditionalFormatting>
  <conditionalFormatting sqref="B17:S25">
    <cfRule type="cellIs" dxfId="39" priority="42" operator="lessThan">
      <formula>15</formula>
    </cfRule>
  </conditionalFormatting>
  <conditionalFormatting sqref="B32:S33">
    <cfRule type="cellIs" dxfId="38" priority="41" operator="lessThan">
      <formula>15</formula>
    </cfRule>
  </conditionalFormatting>
  <conditionalFormatting sqref="B40:S41">
    <cfRule type="cellIs" dxfId="37" priority="40" operator="lessThan">
      <formula>15</formula>
    </cfRule>
  </conditionalFormatting>
  <conditionalFormatting sqref="I49:Q50">
    <cfRule type="cellIs" dxfId="36" priority="39" operator="lessThan">
      <formula>15</formula>
    </cfRule>
  </conditionalFormatting>
  <conditionalFormatting sqref="B71:S72">
    <cfRule type="cellIs" dxfId="35" priority="37" operator="lessThan">
      <formula>15</formula>
    </cfRule>
  </conditionalFormatting>
  <conditionalFormatting sqref="B78:S79">
    <cfRule type="cellIs" dxfId="34" priority="36" operator="lessThan">
      <formula>15</formula>
    </cfRule>
  </conditionalFormatting>
  <conditionalFormatting sqref="B85:T86">
    <cfRule type="cellIs" dxfId="33" priority="35" operator="lessThan">
      <formula>15</formula>
    </cfRule>
  </conditionalFormatting>
  <conditionalFormatting sqref="B92:S97">
    <cfRule type="cellIs" dxfId="32" priority="34" operator="lessThan">
      <formula>15</formula>
    </cfRule>
  </conditionalFormatting>
  <conditionalFormatting sqref="I103:Q105">
    <cfRule type="cellIs" dxfId="31" priority="32" operator="lessThan">
      <formula>15</formula>
    </cfRule>
  </conditionalFormatting>
  <conditionalFormatting sqref="B109:J112">
    <cfRule type="cellIs" dxfId="30" priority="31" operator="lessThan">
      <formula>15</formula>
    </cfRule>
  </conditionalFormatting>
  <conditionalFormatting sqref="B117:J121">
    <cfRule type="cellIs" dxfId="29" priority="30" operator="lessThan">
      <formula>15</formula>
    </cfRule>
  </conditionalFormatting>
  <conditionalFormatting sqref="B127:J127">
    <cfRule type="cellIs" dxfId="28" priority="29" operator="lessThan">
      <formula>15</formula>
    </cfRule>
  </conditionalFormatting>
  <conditionalFormatting sqref="B133:S147">
    <cfRule type="cellIs" dxfId="27" priority="28" operator="lessThan">
      <formula>15</formula>
    </cfRule>
  </conditionalFormatting>
  <conditionalFormatting sqref="B154:S156">
    <cfRule type="cellIs" dxfId="26" priority="27" operator="lessThan">
      <formula>15</formula>
    </cfRule>
  </conditionalFormatting>
  <conditionalFormatting sqref="B163:S167">
    <cfRule type="cellIs" dxfId="25" priority="26" operator="lessThan">
      <formula>15</formula>
    </cfRule>
  </conditionalFormatting>
  <conditionalFormatting sqref="B173:S176">
    <cfRule type="cellIs" dxfId="24" priority="25" operator="lessThan">
      <formula>15</formula>
    </cfRule>
  </conditionalFormatting>
  <conditionalFormatting sqref="B182:S187">
    <cfRule type="cellIs" dxfId="23" priority="24" operator="lessThan">
      <formula>15</formula>
    </cfRule>
  </conditionalFormatting>
  <conditionalFormatting sqref="B193:T193">
    <cfRule type="cellIs" dxfId="22" priority="23" operator="lessThan">
      <formula>15</formula>
    </cfRule>
  </conditionalFormatting>
  <conditionalFormatting sqref="B199:S200">
    <cfRule type="cellIs" dxfId="21" priority="22" operator="lessThan">
      <formula>15</formula>
    </cfRule>
  </conditionalFormatting>
  <conditionalFormatting sqref="B206:S208">
    <cfRule type="cellIs" dxfId="20" priority="21" operator="lessThan">
      <formula>15</formula>
    </cfRule>
  </conditionalFormatting>
  <conditionalFormatting sqref="B217:J217">
    <cfRule type="cellIs" dxfId="19" priority="20" operator="lessThan">
      <formula>15</formula>
    </cfRule>
  </conditionalFormatting>
  <conditionalFormatting sqref="B222:S222">
    <cfRule type="cellIs" dxfId="18" priority="19" operator="lessThan">
      <formula>15</formula>
    </cfRule>
  </conditionalFormatting>
  <conditionalFormatting sqref="I230:Q232">
    <cfRule type="cellIs" dxfId="17" priority="18" operator="lessThan">
      <formula>15</formula>
    </cfRule>
  </conditionalFormatting>
  <conditionalFormatting sqref="B238:S238">
    <cfRule type="cellIs" dxfId="16" priority="17" operator="lessThan">
      <formula>15</formula>
    </cfRule>
  </conditionalFormatting>
  <conditionalFormatting sqref="C243:K244">
    <cfRule type="cellIs" dxfId="15" priority="16" operator="lessThan">
      <formula>15</formula>
    </cfRule>
  </conditionalFormatting>
  <conditionalFormatting sqref="C250:K261">
    <cfRule type="cellIs" dxfId="14" priority="15" operator="lessThan">
      <formula>15</formula>
    </cfRule>
  </conditionalFormatting>
  <conditionalFormatting sqref="B268:S269">
    <cfRule type="cellIs" dxfId="13" priority="14" operator="lessThan">
      <formula>15</formula>
    </cfRule>
  </conditionalFormatting>
  <conditionalFormatting sqref="H277:P279">
    <cfRule type="cellIs" dxfId="12" priority="13" operator="lessThan">
      <formula>$V$285</formula>
    </cfRule>
  </conditionalFormatting>
  <conditionalFormatting sqref="H277:P279">
    <cfRule type="cellIs" dxfId="11" priority="12" operator="lessThan">
      <formula>15</formula>
    </cfRule>
  </conditionalFormatting>
  <conditionalFormatting sqref="B285:Q287">
    <cfRule type="cellIs" dxfId="10" priority="11" operator="lessThan">
      <formula>15</formula>
    </cfRule>
  </conditionalFormatting>
  <conditionalFormatting sqref="B293:R294">
    <cfRule type="cellIs" dxfId="9" priority="10" operator="lessThan">
      <formula>15</formula>
    </cfRule>
  </conditionalFormatting>
  <conditionalFormatting sqref="B293:R294">
    <cfRule type="cellIs" dxfId="8" priority="9" operator="lessThan">
      <formula>15</formula>
    </cfRule>
  </conditionalFormatting>
  <conditionalFormatting sqref="B302:S302">
    <cfRule type="cellIs" dxfId="7" priority="8" operator="lessThan">
      <formula>15</formula>
    </cfRule>
  </conditionalFormatting>
  <conditionalFormatting sqref="B330:S332">
    <cfRule type="cellIs" dxfId="6" priority="7" operator="lessThan">
      <formula>15</formula>
    </cfRule>
  </conditionalFormatting>
  <conditionalFormatting sqref="D338:L338">
    <cfRule type="cellIs" dxfId="5" priority="6" operator="lessThan">
      <formula>15</formula>
    </cfRule>
  </conditionalFormatting>
  <conditionalFormatting sqref="D352:L352">
    <cfRule type="cellIs" dxfId="4" priority="5" operator="lessThan">
      <formula>15</formula>
    </cfRule>
  </conditionalFormatting>
  <conditionalFormatting sqref="D345:L345">
    <cfRule type="cellIs" dxfId="3" priority="4" operator="lessThan">
      <formula>15</formula>
    </cfRule>
  </conditionalFormatting>
  <conditionalFormatting sqref="D345:L345">
    <cfRule type="cellIs" dxfId="2" priority="3" operator="lessThan">
      <formula>15</formula>
    </cfRule>
  </conditionalFormatting>
  <conditionalFormatting sqref="B64:S64">
    <cfRule type="cellIs" dxfId="1" priority="2" operator="lessThan">
      <formula>15</formula>
    </cfRule>
  </conditionalFormatting>
  <conditionalFormatting sqref="B64:S64">
    <cfRule type="cellIs" dxfId="0" priority="1" operator="lessThan">
      <formula>15</formula>
    </cfRule>
  </conditionalFormatting>
  <pageMargins left="1" right="1" top="1" bottom="1" header="0.5" footer="0.5"/>
  <pageSetup scale="55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BEF1D0-CE8C-483C-959F-BC40C48ABE5B}">
  <dimension ref="A1:T20"/>
  <sheetViews>
    <sheetView workbookViewId="0">
      <selection activeCell="O7" sqref="O7"/>
    </sheetView>
  </sheetViews>
  <sheetFormatPr defaultRowHeight="15"/>
  <cols>
    <col min="1" max="1" width="21" customWidth="1"/>
    <col min="6" max="6" width="11" customWidth="1"/>
    <col min="7" max="7" width="11.28515625" bestFit="1" customWidth="1"/>
    <col min="10" max="10" width="10.42578125" customWidth="1"/>
    <col min="14" max="14" width="11.42578125" customWidth="1"/>
  </cols>
  <sheetData>
    <row r="1" spans="1:20" ht="33.75">
      <c r="A1" s="284"/>
      <c r="B1" s="284"/>
      <c r="C1" s="284"/>
      <c r="D1" s="284"/>
      <c r="E1" s="284"/>
      <c r="F1" s="284"/>
      <c r="G1" s="284"/>
      <c r="H1" s="284"/>
      <c r="I1" s="284"/>
      <c r="J1" s="285" t="s">
        <v>162</v>
      </c>
      <c r="K1" s="284"/>
      <c r="L1" s="284"/>
      <c r="M1" s="284"/>
      <c r="N1" s="284"/>
      <c r="O1" s="284"/>
      <c r="P1" s="284"/>
      <c r="Q1" s="284"/>
      <c r="R1" s="284"/>
      <c r="S1" s="284"/>
      <c r="T1" s="284"/>
    </row>
    <row r="2" spans="1:20" ht="23.25">
      <c r="A2" s="286" t="s">
        <v>47</v>
      </c>
      <c r="B2" s="450" t="s">
        <v>3</v>
      </c>
      <c r="C2" s="451"/>
      <c r="D2" s="451"/>
      <c r="E2" s="451"/>
      <c r="F2" s="451"/>
      <c r="G2" s="451"/>
      <c r="H2" s="451"/>
      <c r="I2" s="451"/>
      <c r="J2" s="452"/>
      <c r="K2" s="450" t="s">
        <v>4</v>
      </c>
      <c r="L2" s="451"/>
      <c r="M2" s="451"/>
      <c r="N2" s="451"/>
      <c r="O2" s="451"/>
      <c r="P2" s="451"/>
      <c r="Q2" s="451"/>
      <c r="R2" s="451"/>
      <c r="S2" s="451"/>
      <c r="T2" s="451"/>
    </row>
    <row r="3" spans="1:20" ht="18.75">
      <c r="A3" s="287" t="s">
        <v>5</v>
      </c>
      <c r="B3" s="288" t="s">
        <v>6</v>
      </c>
      <c r="C3" s="288" t="s">
        <v>7</v>
      </c>
      <c r="D3" s="288" t="s">
        <v>8</v>
      </c>
      <c r="E3" s="288" t="s">
        <v>9</v>
      </c>
      <c r="F3" s="288" t="s">
        <v>10</v>
      </c>
      <c r="G3" s="288" t="s">
        <v>36</v>
      </c>
      <c r="H3" s="288" t="s">
        <v>12</v>
      </c>
      <c r="I3" s="288" t="s">
        <v>13</v>
      </c>
      <c r="J3" s="288" t="s">
        <v>14</v>
      </c>
      <c r="K3" s="288" t="s">
        <v>6</v>
      </c>
      <c r="L3" s="288" t="s">
        <v>7</v>
      </c>
      <c r="M3" s="288" t="s">
        <v>8</v>
      </c>
      <c r="N3" s="288" t="s">
        <v>9</v>
      </c>
      <c r="O3" s="288" t="s">
        <v>10</v>
      </c>
      <c r="P3" s="288" t="s">
        <v>11</v>
      </c>
      <c r="Q3" s="288" t="s">
        <v>12</v>
      </c>
      <c r="R3" s="288" t="s">
        <v>13</v>
      </c>
      <c r="S3" s="288" t="s">
        <v>14</v>
      </c>
      <c r="T3" s="288" t="s">
        <v>48</v>
      </c>
    </row>
    <row r="4" spans="1:20">
      <c r="A4" s="289" t="s">
        <v>145</v>
      </c>
      <c r="B4" s="290" t="s">
        <v>163</v>
      </c>
      <c r="C4" s="290" t="s">
        <v>163</v>
      </c>
      <c r="D4" s="290" t="s">
        <v>163</v>
      </c>
      <c r="E4" s="290" t="s">
        <v>163</v>
      </c>
      <c r="F4" s="290">
        <v>7</v>
      </c>
      <c r="G4" s="290" t="s">
        <v>163</v>
      </c>
      <c r="H4" s="291">
        <v>20</v>
      </c>
      <c r="I4" s="290"/>
      <c r="J4" s="291">
        <v>20</v>
      </c>
      <c r="K4" s="292" t="s">
        <v>163</v>
      </c>
      <c r="L4" s="292" t="s">
        <v>163</v>
      </c>
      <c r="M4" s="292" t="s">
        <v>163</v>
      </c>
      <c r="N4" s="292">
        <v>8</v>
      </c>
      <c r="O4" s="292" t="s">
        <v>163</v>
      </c>
      <c r="P4" s="292">
        <v>4</v>
      </c>
      <c r="Q4" s="293">
        <v>25</v>
      </c>
      <c r="R4" s="292"/>
      <c r="S4" s="293">
        <v>25</v>
      </c>
      <c r="T4" s="294">
        <v>109</v>
      </c>
    </row>
    <row r="5" spans="1:20">
      <c r="A5" s="295" t="s">
        <v>146</v>
      </c>
      <c r="B5" s="296"/>
      <c r="C5" s="296"/>
      <c r="D5" s="296"/>
      <c r="E5" s="296"/>
      <c r="F5" s="296"/>
      <c r="G5" s="296"/>
      <c r="H5" s="296"/>
      <c r="I5" s="296"/>
      <c r="J5" s="296"/>
      <c r="K5" s="297">
        <v>30</v>
      </c>
      <c r="L5" s="293">
        <v>48</v>
      </c>
      <c r="M5" s="292" t="s">
        <v>163</v>
      </c>
      <c r="N5" s="293">
        <v>19</v>
      </c>
      <c r="O5" s="292">
        <v>8</v>
      </c>
      <c r="P5" s="293">
        <v>40</v>
      </c>
      <c r="Q5" s="292">
        <v>14</v>
      </c>
      <c r="R5" s="292"/>
      <c r="S5" s="293">
        <v>15</v>
      </c>
      <c r="T5" s="294">
        <v>174</v>
      </c>
    </row>
    <row r="6" spans="1:20">
      <c r="A6" s="298" t="s">
        <v>147</v>
      </c>
      <c r="B6" s="299">
        <f>20</f>
        <v>20</v>
      </c>
      <c r="C6" s="299">
        <f>14+6</f>
        <v>20</v>
      </c>
      <c r="D6" s="299">
        <v>30</v>
      </c>
      <c r="E6" s="299">
        <f>30</f>
        <v>30</v>
      </c>
      <c r="F6" s="300">
        <f>20+2-2</f>
        <v>20</v>
      </c>
      <c r="G6" s="300">
        <v>15</v>
      </c>
      <c r="H6" s="300">
        <v>15</v>
      </c>
      <c r="I6" s="299"/>
      <c r="J6" s="300">
        <v>15</v>
      </c>
      <c r="K6" s="293">
        <v>40</v>
      </c>
      <c r="L6" s="293">
        <v>30</v>
      </c>
      <c r="M6" s="292">
        <v>60</v>
      </c>
      <c r="N6" s="301">
        <f>33+27</f>
        <v>60</v>
      </c>
      <c r="O6" s="292">
        <f>7+43</f>
        <v>50</v>
      </c>
      <c r="P6" s="301">
        <f>29+21-21+21</f>
        <v>50</v>
      </c>
      <c r="Q6" s="293">
        <v>15</v>
      </c>
      <c r="R6" s="292"/>
      <c r="S6" s="293">
        <f>15+10-10</f>
        <v>15</v>
      </c>
      <c r="T6" s="294">
        <v>248</v>
      </c>
    </row>
    <row r="10" spans="1:20" ht="46.5">
      <c r="J10" s="302" t="s">
        <v>164</v>
      </c>
    </row>
    <row r="12" spans="1:20" ht="109.5">
      <c r="F12" s="303" t="s">
        <v>165</v>
      </c>
      <c r="G12" s="303" t="s">
        <v>166</v>
      </c>
      <c r="H12" s="303" t="s">
        <v>167</v>
      </c>
      <c r="I12" s="303" t="s">
        <v>168</v>
      </c>
      <c r="J12" s="303" t="s">
        <v>169</v>
      </c>
      <c r="K12" s="303" t="s">
        <v>170</v>
      </c>
      <c r="L12" s="303" t="s">
        <v>171</v>
      </c>
      <c r="M12" s="303" t="s">
        <v>172</v>
      </c>
      <c r="N12" s="303" t="s">
        <v>173</v>
      </c>
      <c r="O12" s="303" t="s">
        <v>174</v>
      </c>
    </row>
    <row r="13" spans="1:20">
      <c r="F13" s="304">
        <v>46192</v>
      </c>
      <c r="G13" s="305">
        <v>161725</v>
      </c>
      <c r="H13" s="306" t="s">
        <v>175</v>
      </c>
      <c r="I13" s="307">
        <v>147</v>
      </c>
      <c r="J13" s="308">
        <v>46192</v>
      </c>
      <c r="K13" s="309">
        <f>8+5+21+15</f>
        <v>49</v>
      </c>
      <c r="L13" s="309">
        <f>20+13+16+28+21</f>
        <v>98</v>
      </c>
      <c r="M13" s="309">
        <f>+K13+L13</f>
        <v>147</v>
      </c>
      <c r="N13" s="308">
        <v>46197</v>
      </c>
      <c r="O13" s="310" t="s">
        <v>176</v>
      </c>
    </row>
    <row r="14" spans="1:20">
      <c r="F14" s="304">
        <v>46176</v>
      </c>
      <c r="G14" s="305">
        <v>158872</v>
      </c>
      <c r="H14" s="306" t="s">
        <v>176</v>
      </c>
      <c r="I14" s="307">
        <v>25</v>
      </c>
      <c r="J14" s="308">
        <v>46195</v>
      </c>
      <c r="K14" s="309"/>
      <c r="L14" s="309">
        <v>25</v>
      </c>
      <c r="M14" s="309">
        <v>25</v>
      </c>
      <c r="N14" s="308">
        <v>46195</v>
      </c>
      <c r="O14" s="310" t="s">
        <v>177</v>
      </c>
    </row>
    <row r="15" spans="1:20">
      <c r="F15" s="311"/>
      <c r="G15" s="304"/>
      <c r="H15" s="306"/>
      <c r="I15" s="307"/>
      <c r="J15" s="310"/>
      <c r="K15" s="309"/>
      <c r="L15" s="309"/>
      <c r="M15" s="309"/>
      <c r="N15" s="310"/>
      <c r="O15" s="310"/>
    </row>
    <row r="16" spans="1:20">
      <c r="F16" s="311"/>
      <c r="G16" s="304"/>
      <c r="H16" s="306"/>
      <c r="I16" s="307"/>
      <c r="J16" s="310"/>
      <c r="K16" s="309"/>
      <c r="L16" s="309"/>
      <c r="M16" s="309"/>
      <c r="N16" s="310"/>
      <c r="O16" s="310"/>
    </row>
    <row r="17" spans="6:15">
      <c r="F17" s="311"/>
      <c r="G17" s="304"/>
      <c r="H17" s="306"/>
      <c r="I17" s="307"/>
      <c r="J17" s="310"/>
      <c r="K17" s="309"/>
      <c r="L17" s="309"/>
      <c r="M17" s="309"/>
      <c r="N17" s="310"/>
      <c r="O17" s="310"/>
    </row>
    <row r="18" spans="6:15">
      <c r="F18" s="311"/>
      <c r="G18" s="304"/>
      <c r="H18" s="306"/>
      <c r="I18" s="307"/>
      <c r="J18" s="310"/>
      <c r="K18" s="309"/>
      <c r="L18" s="309"/>
      <c r="M18" s="309"/>
      <c r="N18" s="310"/>
      <c r="O18" s="310"/>
    </row>
    <row r="19" spans="6:15">
      <c r="F19" s="311"/>
      <c r="G19" s="304"/>
      <c r="H19" s="306"/>
      <c r="I19" s="307"/>
      <c r="J19" s="310"/>
      <c r="K19" s="309"/>
      <c r="L19" s="309"/>
      <c r="M19" s="309"/>
      <c r="N19" s="310"/>
      <c r="O19" s="310"/>
    </row>
    <row r="20" spans="6:15">
      <c r="F20" s="311"/>
      <c r="G20" s="304"/>
      <c r="H20" s="306"/>
      <c r="I20" s="307"/>
      <c r="J20" s="310"/>
      <c r="K20" s="309"/>
      <c r="L20" s="309"/>
      <c r="M20" s="309"/>
      <c r="N20" s="310"/>
      <c r="O20" s="310"/>
    </row>
  </sheetData>
  <mergeCells count="2">
    <mergeCell ref="B2:J2"/>
    <mergeCell ref="K2:T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B06938-19C3-4ABA-9490-C76668B9F7C9}">
  <dimension ref="A1:U17"/>
  <sheetViews>
    <sheetView topLeftCell="A3" workbookViewId="0">
      <selection activeCell="N18" sqref="N18"/>
    </sheetView>
  </sheetViews>
  <sheetFormatPr defaultColWidth="11.42578125" defaultRowHeight="15"/>
  <sheetData>
    <row r="1" spans="1:21" s="1" customFormat="1" ht="24" customHeight="1">
      <c r="A1" s="453" t="s">
        <v>178</v>
      </c>
      <c r="B1" s="454"/>
      <c r="C1" s="454"/>
      <c r="D1" s="454"/>
      <c r="E1" s="454"/>
      <c r="F1" s="454"/>
      <c r="G1" s="454"/>
      <c r="H1" s="454"/>
      <c r="I1" s="454"/>
      <c r="J1" s="455"/>
      <c r="K1" s="21"/>
      <c r="L1" s="21"/>
      <c r="M1" s="21"/>
      <c r="N1" s="21"/>
      <c r="O1" s="21"/>
      <c r="P1" s="21"/>
      <c r="Q1" s="10"/>
      <c r="R1" s="10"/>
      <c r="S1" s="21"/>
    </row>
    <row r="2" spans="1:21" s="1" customFormat="1" ht="33.950000000000003" customHeight="1">
      <c r="A2" s="61" t="s">
        <v>5</v>
      </c>
      <c r="B2" s="62" t="s">
        <v>6</v>
      </c>
      <c r="C2" s="4" t="s">
        <v>7</v>
      </c>
      <c r="D2" s="4" t="s">
        <v>8</v>
      </c>
      <c r="E2" s="4" t="s">
        <v>9</v>
      </c>
      <c r="F2" s="4" t="s">
        <v>10</v>
      </c>
      <c r="G2" s="4" t="s">
        <v>11</v>
      </c>
      <c r="H2" s="4" t="s">
        <v>12</v>
      </c>
      <c r="I2" s="4" t="s">
        <v>13</v>
      </c>
      <c r="J2" s="4" t="s">
        <v>39</v>
      </c>
      <c r="K2" s="4" t="s">
        <v>15</v>
      </c>
      <c r="L2" s="9"/>
      <c r="M2" s="9"/>
      <c r="N2" s="9"/>
      <c r="O2" s="9"/>
      <c r="P2" s="9"/>
      <c r="Q2" s="9"/>
      <c r="R2" s="9"/>
      <c r="S2" s="9"/>
      <c r="T2" s="9"/>
      <c r="U2" s="9"/>
    </row>
    <row r="3" spans="1:21" s="1" customFormat="1" ht="19.5" customHeight="1">
      <c r="A3" s="7" t="s">
        <v>22</v>
      </c>
      <c r="B3" s="5"/>
      <c r="C3" s="5"/>
      <c r="D3" s="5"/>
      <c r="E3" s="5"/>
      <c r="F3" s="5"/>
      <c r="G3" s="5"/>
      <c r="H3" s="5"/>
      <c r="I3" s="5"/>
      <c r="J3" s="5"/>
      <c r="K3" s="5">
        <f>SUM(B3:J3)</f>
        <v>0</v>
      </c>
      <c r="L3" s="9"/>
      <c r="M3" s="9"/>
      <c r="N3" s="9"/>
      <c r="O3" s="9"/>
      <c r="P3" s="9"/>
      <c r="Q3" s="9"/>
      <c r="R3" s="9"/>
      <c r="S3" s="9"/>
      <c r="T3" s="9"/>
    </row>
    <row r="4" spans="1:21" s="65" customFormat="1" ht="23.25" customHeight="1">
      <c r="A4" s="7" t="s">
        <v>30</v>
      </c>
      <c r="B4" s="5">
        <f>31-1-10-1-1-2-11</f>
        <v>5</v>
      </c>
      <c r="C4" s="5">
        <f>25-1-1</f>
        <v>23</v>
      </c>
      <c r="D4" s="5">
        <f>1-1+50-46-1-1-2</f>
        <v>0</v>
      </c>
      <c r="E4" s="5">
        <f>15-12-1-1-1</f>
        <v>0</v>
      </c>
      <c r="F4" s="5"/>
      <c r="G4" s="5">
        <f>113-1-2-1-2-11</f>
        <v>96</v>
      </c>
      <c r="H4" s="5">
        <f>129-2-1-4</f>
        <v>122</v>
      </c>
      <c r="I4" s="5">
        <f>40-2</f>
        <v>38</v>
      </c>
      <c r="J4" s="5">
        <f>45-2</f>
        <v>43</v>
      </c>
      <c r="K4" s="5">
        <f>SUM(B4:J4)</f>
        <v>327</v>
      </c>
      <c r="L4" s="64"/>
      <c r="M4" s="64"/>
      <c r="N4" s="64"/>
      <c r="O4" s="64"/>
      <c r="P4" s="64"/>
      <c r="Q4" s="64"/>
      <c r="R4" s="64"/>
      <c r="S4" s="64"/>
      <c r="T4" s="64"/>
    </row>
    <row r="5" spans="1:21" s="1" customFormat="1" ht="20.100000000000001" customHeight="1">
      <c r="A5" s="7" t="s">
        <v>58</v>
      </c>
      <c r="B5" s="5">
        <f>19-1-1-1-1-2</f>
        <v>13</v>
      </c>
      <c r="C5" s="5">
        <f>2-2</f>
        <v>0</v>
      </c>
      <c r="D5" s="5" t="s">
        <v>0</v>
      </c>
      <c r="E5" s="5"/>
      <c r="F5" s="5"/>
      <c r="G5" s="5"/>
      <c r="H5" s="5">
        <f>9-1</f>
        <v>8</v>
      </c>
      <c r="I5" s="5">
        <f>3</f>
        <v>3</v>
      </c>
      <c r="J5" s="5">
        <f>1</f>
        <v>1</v>
      </c>
      <c r="K5" s="5">
        <f>SUM(B5:J5)</f>
        <v>25</v>
      </c>
      <c r="L5" s="9"/>
      <c r="M5" s="9"/>
      <c r="N5" s="9"/>
      <c r="O5" s="9"/>
      <c r="P5" s="9"/>
      <c r="Q5" s="9"/>
      <c r="R5" s="9"/>
      <c r="S5" s="9"/>
      <c r="T5" s="9"/>
    </row>
    <row r="6" spans="1:21" s="1" customFormat="1" ht="22.5" customHeight="1">
      <c r="A6" s="7" t="s">
        <v>24</v>
      </c>
      <c r="B6" s="5"/>
      <c r="C6" s="5"/>
      <c r="D6" s="5"/>
      <c r="E6" s="5"/>
      <c r="F6" s="5"/>
      <c r="G6" s="5"/>
      <c r="H6" s="5"/>
      <c r="I6" s="5"/>
      <c r="J6" s="5"/>
      <c r="K6" s="5">
        <f>SUM(B6:J6)</f>
        <v>0</v>
      </c>
      <c r="L6" s="9"/>
      <c r="M6" s="9"/>
      <c r="N6" s="9"/>
      <c r="O6" s="9"/>
      <c r="P6" s="9"/>
      <c r="Q6" s="9"/>
      <c r="R6" s="9"/>
      <c r="S6" s="9"/>
      <c r="T6" s="9"/>
    </row>
    <row r="7" spans="1:21" s="1" customFormat="1" ht="25.5" customHeight="1">
      <c r="A7" s="7" t="s">
        <v>59</v>
      </c>
      <c r="B7" s="5">
        <f>36+142+10-1-1-1-1-2</f>
        <v>182</v>
      </c>
      <c r="C7" s="5">
        <f>12+70-1-1-1-1-1-3-1-1-2-1</f>
        <v>69</v>
      </c>
      <c r="D7" s="5">
        <f>73-1-1-1-1-1-4-1-1-4-1-1-1-1-1-1-1-2-1</f>
        <v>48</v>
      </c>
      <c r="E7" s="5">
        <f>33-1-1-1-4-1-3-1-4-2-2-2</f>
        <v>11</v>
      </c>
      <c r="F7" s="5"/>
      <c r="G7" s="5">
        <f>54+30-10-2</f>
        <v>72</v>
      </c>
      <c r="H7" s="5">
        <f>29-1-1</f>
        <v>27</v>
      </c>
      <c r="I7" s="5">
        <f>6+20-1</f>
        <v>25</v>
      </c>
      <c r="J7" s="5">
        <f>6+20</f>
        <v>26</v>
      </c>
      <c r="K7" s="5">
        <f>SUM(B7:J7)</f>
        <v>460</v>
      </c>
      <c r="L7" s="9"/>
      <c r="M7" s="9"/>
      <c r="N7" s="9"/>
      <c r="O7" s="9"/>
      <c r="P7" s="9"/>
      <c r="Q7" s="9"/>
      <c r="R7" s="9"/>
      <c r="S7" s="9"/>
      <c r="T7" s="9"/>
    </row>
    <row r="8" spans="1:21" s="1" customFormat="1" ht="20.100000000000001" customHeight="1">
      <c r="A8" s="13"/>
      <c r="B8" s="9"/>
      <c r="C8" s="9"/>
      <c r="D8" s="9"/>
      <c r="E8" s="9"/>
      <c r="F8" s="9"/>
      <c r="G8" s="9"/>
      <c r="H8" s="9"/>
      <c r="I8" s="9"/>
      <c r="J8" s="10"/>
      <c r="K8" s="68">
        <f>SUM(K3:K7)</f>
        <v>812</v>
      </c>
      <c r="L8" s="9"/>
      <c r="M8" s="9"/>
      <c r="N8" s="9"/>
      <c r="O8" s="9"/>
      <c r="P8" s="9"/>
      <c r="Q8" s="9"/>
      <c r="R8" s="9"/>
      <c r="S8" s="9"/>
    </row>
    <row r="9" spans="1:21" s="9" customFormat="1" ht="20.100000000000001" customHeight="1">
      <c r="A9" s="13"/>
      <c r="J9" s="10"/>
      <c r="K9" s="14"/>
    </row>
    <row r="10" spans="1:21" s="1" customFormat="1" ht="24" customHeight="1">
      <c r="A10" s="453" t="s">
        <v>60</v>
      </c>
      <c r="B10" s="454"/>
      <c r="C10" s="454"/>
      <c r="D10" s="454"/>
      <c r="E10" s="454"/>
      <c r="F10" s="454"/>
      <c r="G10" s="454"/>
      <c r="H10" s="454"/>
      <c r="I10" s="454"/>
      <c r="J10" s="455"/>
      <c r="K10" s="21"/>
      <c r="L10" s="21"/>
      <c r="M10" s="21"/>
      <c r="N10" s="21"/>
      <c r="O10" s="21"/>
      <c r="P10" s="21"/>
      <c r="Q10" s="10"/>
      <c r="R10" s="10"/>
      <c r="S10" s="21"/>
    </row>
    <row r="11" spans="1:21" s="1" customFormat="1" ht="30.6" customHeight="1">
      <c r="A11" s="61" t="s">
        <v>5</v>
      </c>
      <c r="B11" s="62" t="s">
        <v>6</v>
      </c>
      <c r="C11" s="4" t="s">
        <v>7</v>
      </c>
      <c r="D11" s="4" t="s">
        <v>8</v>
      </c>
      <c r="E11" s="4" t="s">
        <v>9</v>
      </c>
      <c r="F11" s="4" t="s">
        <v>10</v>
      </c>
      <c r="G11" s="4" t="s">
        <v>11</v>
      </c>
      <c r="H11" s="4" t="s">
        <v>12</v>
      </c>
      <c r="I11" s="4" t="s">
        <v>13</v>
      </c>
      <c r="J11" s="4" t="s">
        <v>39</v>
      </c>
      <c r="K11" s="4" t="s">
        <v>15</v>
      </c>
      <c r="L11" s="9"/>
      <c r="M11" s="9"/>
      <c r="N11" s="9"/>
      <c r="O11" s="9"/>
      <c r="P11" s="9"/>
      <c r="Q11" s="9"/>
      <c r="R11" s="9"/>
      <c r="S11" s="9"/>
      <c r="T11" s="9"/>
      <c r="U11" s="9"/>
    </row>
    <row r="12" spans="1:21" s="1" customFormat="1" ht="20.100000000000001" customHeight="1">
      <c r="A12" s="63" t="s">
        <v>16</v>
      </c>
      <c r="B12" s="66">
        <f>41+21-1-2-3-30+110-22+76-1-1+94-1-1+3-2-1-1-1</f>
        <v>278</v>
      </c>
      <c r="C12" s="3">
        <f>85-1-1-1-1-1-50-1-1+206-35-2+93-1+44-2-1-1-1+250-1-1-50+226-1-1-1-1-1+70-2-1-4-1-1-1</f>
        <v>807</v>
      </c>
      <c r="D12" s="3">
        <f>194-6-1-1-1-3-1-2-1-2-1-1-2-1-29-1+360-60-2-1-1-1-1-1-31-7-4-1-1-4-100-4-1-1-1-1-1-1-1-1+180-20-6-4-1-1-1-10</f>
        <v>411</v>
      </c>
      <c r="E12" s="3">
        <f>179+91-4-1-1-2-1-1-1-1-1-30-1+160-50-2-1-1+199-33-7-1-4-3+150-1-32+20-1-1-1-1-1-4-2-1-1-1-1-13-1-1-1-1-15</f>
        <v>573</v>
      </c>
      <c r="F12" s="3">
        <f>130-1-1-3-4-21-1-10-1+93-18-2-1+107-2+50-90-1-1-1-4-1-1-1-3-1-2-1-1</f>
        <v>207</v>
      </c>
      <c r="G12" s="3">
        <f>62-1-1-7-13-2+94+130-1-1</f>
        <v>260</v>
      </c>
      <c r="H12" s="3">
        <f>31-1-3-1+45-23-45-3+65-1</f>
        <v>64</v>
      </c>
      <c r="I12" s="3">
        <f>11-1+15-1</f>
        <v>24</v>
      </c>
      <c r="J12" s="3">
        <f>11+15-1</f>
        <v>25</v>
      </c>
      <c r="K12" s="3">
        <f>SUM(B12:J12)</f>
        <v>2649</v>
      </c>
      <c r="L12" s="9"/>
      <c r="M12" s="9"/>
      <c r="N12" s="9"/>
      <c r="O12" s="9"/>
      <c r="P12" s="9"/>
      <c r="Q12" s="9"/>
      <c r="R12" s="9"/>
      <c r="S12" s="9"/>
      <c r="T12" s="9"/>
      <c r="U12" s="9"/>
    </row>
    <row r="13" spans="1:21" s="1" customFormat="1" ht="29.25" customHeight="1">
      <c r="A13" s="63" t="s">
        <v>30</v>
      </c>
      <c r="B13" s="66">
        <f>44-1-10-6+6-11-11</f>
        <v>11</v>
      </c>
      <c r="C13" s="3">
        <f>39</f>
        <v>39</v>
      </c>
      <c r="D13" s="3">
        <f>76-3+250-1-1-4-1+76-1-29+375-4-1</f>
        <v>732</v>
      </c>
      <c r="E13" s="3">
        <f>16-1-1+232+58-1-2-1+76-1-39-1-3</f>
        <v>332</v>
      </c>
      <c r="F13" s="3">
        <f>152-90-20-1+84-1-4-1-1+60-16-1-1-1-1</f>
        <v>158</v>
      </c>
      <c r="G13" s="3">
        <f>11-1+124-16</f>
        <v>118</v>
      </c>
      <c r="H13" s="3">
        <f>19-1-1-4-1</f>
        <v>12</v>
      </c>
      <c r="I13" s="3">
        <f>15-1</f>
        <v>14</v>
      </c>
      <c r="J13" s="3">
        <f>15-1</f>
        <v>14</v>
      </c>
      <c r="K13" s="3">
        <f>SUM(B13:J13)</f>
        <v>1430</v>
      </c>
      <c r="L13" s="9"/>
      <c r="M13" s="9"/>
      <c r="N13" s="9"/>
      <c r="O13" s="9"/>
      <c r="P13" s="9"/>
      <c r="Q13" s="9"/>
      <c r="R13" s="9"/>
      <c r="S13" s="9"/>
      <c r="T13" s="9"/>
      <c r="U13" s="9"/>
    </row>
    <row r="14" spans="1:21" s="1" customFormat="1" ht="20.100000000000001" customHeight="1">
      <c r="A14" s="7" t="s">
        <v>179</v>
      </c>
      <c r="B14" s="5">
        <f>7-5</f>
        <v>2</v>
      </c>
      <c r="C14" s="5">
        <f>21-3-1-1-1-4-1-3-2-1-1</f>
        <v>3</v>
      </c>
      <c r="D14" s="5">
        <f>59-5-1-1-1-1-1-1-1-1-2-1-9-1-1-2-1-1</f>
        <v>28</v>
      </c>
      <c r="E14" s="5">
        <f>58-3-1-3-1-1-4-1-3</f>
        <v>41</v>
      </c>
      <c r="F14" s="5">
        <f>21-2-2-1-1-5-1-1</f>
        <v>8</v>
      </c>
      <c r="G14" s="5">
        <f>7-1-1-5</f>
        <v>0</v>
      </c>
      <c r="H14" s="5"/>
      <c r="I14" s="5"/>
      <c r="J14" s="5">
        <f>5-1</f>
        <v>4</v>
      </c>
      <c r="K14" s="5">
        <f>SUM(B14:J14)</f>
        <v>86</v>
      </c>
      <c r="L14" s="9"/>
      <c r="M14" s="9"/>
      <c r="N14" s="9"/>
      <c r="O14" s="9"/>
      <c r="P14" s="9"/>
      <c r="Q14" s="9"/>
      <c r="R14" s="9"/>
      <c r="S14" s="9"/>
      <c r="T14" s="9"/>
    </row>
    <row r="15" spans="1:21" s="1" customFormat="1" ht="20.100000000000001" customHeight="1">
      <c r="A15" s="67" t="s">
        <v>180</v>
      </c>
      <c r="B15" s="5">
        <f>13</f>
        <v>13</v>
      </c>
      <c r="C15" s="5">
        <f>9-6-2-1</f>
        <v>0</v>
      </c>
      <c r="D15" s="5">
        <f>11-7-1-1-1-1</f>
        <v>0</v>
      </c>
      <c r="E15" s="5">
        <f>14-5</f>
        <v>9</v>
      </c>
      <c r="F15" s="5">
        <f>12</f>
        <v>12</v>
      </c>
      <c r="G15" s="5">
        <f>12-1-1</f>
        <v>10</v>
      </c>
      <c r="H15" s="5">
        <f>10</f>
        <v>10</v>
      </c>
      <c r="I15" s="5">
        <f t="array" ref="I15">{10}</f>
        <v>10</v>
      </c>
      <c r="J15" s="5"/>
      <c r="K15" s="5">
        <f>SUM(B15:J15)</f>
        <v>64</v>
      </c>
      <c r="L15" s="9"/>
      <c r="M15" s="9"/>
      <c r="N15" s="9"/>
      <c r="O15" s="9"/>
      <c r="P15" s="9"/>
      <c r="Q15" s="9"/>
      <c r="R15" s="9"/>
      <c r="S15" s="9"/>
      <c r="T15" s="9"/>
    </row>
    <row r="16" spans="1:21" s="1" customFormat="1" ht="22.5" customHeight="1">
      <c r="A16" s="7" t="s">
        <v>19</v>
      </c>
      <c r="B16" s="5"/>
      <c r="C16" s="5">
        <f>38-2</f>
        <v>36</v>
      </c>
      <c r="D16" s="5">
        <f>38-2</f>
        <v>36</v>
      </c>
      <c r="E16" s="5">
        <f>75-2-1</f>
        <v>72</v>
      </c>
      <c r="F16" s="5">
        <f>38-1-2-1</f>
        <v>34</v>
      </c>
      <c r="G16" s="5">
        <f>22</f>
        <v>22</v>
      </c>
      <c r="H16" s="5">
        <f>10</f>
        <v>10</v>
      </c>
      <c r="I16" s="5">
        <f>10</f>
        <v>10</v>
      </c>
      <c r="J16" s="5">
        <f>5</f>
        <v>5</v>
      </c>
      <c r="K16" s="5">
        <f>SUM(B16:J16)</f>
        <v>225</v>
      </c>
      <c r="L16" s="9"/>
      <c r="M16" s="9"/>
      <c r="N16" s="9"/>
      <c r="O16" s="9"/>
      <c r="P16" s="9"/>
      <c r="Q16" s="9"/>
      <c r="R16" s="9"/>
      <c r="S16" s="9"/>
      <c r="T16" s="9"/>
    </row>
    <row r="17" spans="1:19" s="1" customFormat="1" ht="20.100000000000001" customHeight="1">
      <c r="A17" s="13"/>
      <c r="B17" s="9"/>
      <c r="C17" s="9"/>
      <c r="D17" s="9"/>
      <c r="E17" s="9"/>
      <c r="F17" s="9"/>
      <c r="G17" s="9"/>
      <c r="H17" s="9"/>
      <c r="I17" s="9"/>
      <c r="J17" s="10"/>
      <c r="K17" s="68">
        <f>SUM(K12:K16)</f>
        <v>4454</v>
      </c>
      <c r="L17" s="9"/>
      <c r="M17" s="9"/>
      <c r="N17" s="9"/>
      <c r="O17" s="9"/>
      <c r="P17" s="9"/>
      <c r="Q17" s="9"/>
      <c r="R17" s="9"/>
      <c r="S17" s="9"/>
    </row>
  </sheetData>
  <mergeCells count="2">
    <mergeCell ref="A1:J1"/>
    <mergeCell ref="A10:J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Ivonne Bolaños</dc:creator>
  <cp:keywords/>
  <dc:description/>
  <cp:lastModifiedBy/>
  <cp:revision/>
  <dcterms:created xsi:type="dcterms:W3CDTF">2025-10-27T00:11:17Z</dcterms:created>
  <dcterms:modified xsi:type="dcterms:W3CDTF">2026-07-06T15:29:17Z</dcterms:modified>
  <cp:category/>
  <cp:contentStatus/>
</cp:coreProperties>
</file>