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rezenza-my.sharepoint.com/personal/monserrat_nava_prezenza_onmicrosoft_com/Documents/Escritorio/XIMENA/"/>
    </mc:Choice>
  </mc:AlternateContent>
  <xr:revisionPtr revIDLastSave="51206" documentId="8_{D56ED449-7414-4D23-BFFD-BE109F41E063}" xr6:coauthVersionLast="47" xr6:coauthVersionMax="47" xr10:uidLastSave="{9F4A2465-B711-4D8B-92A6-03A6B6D9B4B9}"/>
  <bookViews>
    <workbookView xWindow="-120" yWindow="-120" windowWidth="29040" windowHeight="15720" activeTab="5" xr2:uid="{3A735F14-7196-4631-B6AB-129D3806A1A4}"/>
  </bookViews>
  <sheets>
    <sheet name="Hoja2" sheetId="3" r:id="rId1"/>
    <sheet name="cch" sheetId="9" r:id="rId2"/>
    <sheet name="Hoja3" sheetId="7" r:id="rId3"/>
    <sheet name="Hoja1" sheetId="6" r:id="rId4"/>
    <sheet name="Hoja4" sheetId="8" r:id="rId5"/>
    <sheet name="IVENTARIO BF" sheetId="1" r:id="rId6"/>
  </sheets>
  <definedNames>
    <definedName name="_xlnm.Print_Area" localSheetId="5">'IVENTARIO BF'!$A$1:$U$62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14" i="1"/>
  <c r="E14" i="1"/>
  <c r="P14" i="1"/>
  <c r="O14" i="1"/>
  <c r="N14" i="1"/>
  <c r="M14" i="1"/>
  <c r="O7" i="1"/>
  <c r="P19" i="1"/>
  <c r="N8" i="1"/>
  <c r="N10" i="1"/>
  <c r="P8" i="1"/>
  <c r="O8" i="1"/>
  <c r="P26" i="1"/>
  <c r="O16" i="1"/>
  <c r="F38" i="1"/>
  <c r="H20" i="1"/>
  <c r="F20" i="1"/>
  <c r="N22" i="1"/>
  <c r="M22" i="1"/>
  <c r="G12" i="1"/>
  <c r="N39" i="1"/>
  <c r="E37" i="1"/>
  <c r="O37" i="1"/>
  <c r="E29" i="1"/>
  <c r="O31" i="1"/>
  <c r="N38" i="1"/>
  <c r="N40" i="1"/>
  <c r="G7" i="1"/>
  <c r="E7" i="1"/>
  <c r="D12" i="1"/>
  <c r="N42" i="1"/>
  <c r="P12" i="1"/>
  <c r="P7" i="1"/>
  <c r="N7" i="1"/>
  <c r="E27" i="1"/>
  <c r="Q27" i="1"/>
  <c r="I26" i="1"/>
  <c r="H26" i="1"/>
  <c r="D13" i="1"/>
  <c r="D23" i="1"/>
  <c r="E17" i="1"/>
  <c r="T8" i="1"/>
  <c r="G25" i="1"/>
  <c r="F25" i="1"/>
  <c r="E25" i="1"/>
  <c r="G13" i="1"/>
  <c r="F13" i="1"/>
  <c r="E13" i="1"/>
  <c r="E20" i="1"/>
  <c r="D20" i="1"/>
  <c r="G14" i="1"/>
  <c r="D14" i="1"/>
  <c r="C14" i="1"/>
  <c r="G8" i="1"/>
  <c r="D8" i="1"/>
  <c r="C8" i="1"/>
  <c r="F7" i="1"/>
  <c r="P10" i="1"/>
  <c r="P25" i="1"/>
  <c r="O25" i="1"/>
  <c r="P13" i="1"/>
  <c r="O13" i="1"/>
  <c r="M20" i="1"/>
  <c r="M8" i="1"/>
  <c r="M7" i="1"/>
  <c r="Q10" i="1"/>
  <c r="O10" i="1"/>
  <c r="M10" i="1"/>
  <c r="H10" i="1"/>
  <c r="G10" i="1"/>
  <c r="F10" i="1"/>
  <c r="E10" i="1"/>
  <c r="D10" i="1"/>
  <c r="I27" i="1"/>
  <c r="E8" i="1"/>
  <c r="Q7" i="1"/>
  <c r="R8" i="1"/>
  <c r="Q8" i="1"/>
  <c r="P27" i="1"/>
  <c r="N27" i="1"/>
  <c r="O11" i="1"/>
  <c r="T7" i="1"/>
  <c r="O12" i="1"/>
  <c r="E15" i="1"/>
  <c r="Q40" i="1"/>
  <c r="Q25" i="1"/>
  <c r="M25" i="1"/>
  <c r="C52" i="1"/>
  <c r="E22" i="1"/>
  <c r="O27" i="1"/>
  <c r="Q11" i="1"/>
  <c r="F30" i="1"/>
  <c r="Q14" i="1"/>
  <c r="E26" i="1"/>
  <c r="N18" i="1"/>
  <c r="N28" i="1"/>
  <c r="D9" i="1"/>
  <c r="Q12" i="1"/>
  <c r="H7" i="1"/>
  <c r="G37" i="1"/>
  <c r="F37" i="1"/>
  <c r="M37" i="1"/>
  <c r="O38" i="1"/>
  <c r="R11" i="1"/>
  <c r="R12" i="1"/>
  <c r="R7" i="1"/>
  <c r="C22" i="1" l="1"/>
  <c r="C18" i="1"/>
  <c r="G18" i="1"/>
  <c r="G19" i="1"/>
  <c r="F19" i="1"/>
  <c r="N19" i="1"/>
  <c r="L19" i="1"/>
  <c r="Q22" i="1"/>
  <c r="P22" i="1"/>
  <c r="O22" i="1"/>
  <c r="H9" i="1"/>
  <c r="G9" i="1"/>
  <c r="F9" i="1"/>
  <c r="P9" i="1"/>
  <c r="M18" i="1"/>
  <c r="S22" i="1"/>
  <c r="G22" i="1"/>
  <c r="G26" i="1"/>
  <c r="G27" i="1"/>
  <c r="G17" i="1"/>
  <c r="N26" i="1"/>
  <c r="E12" i="1"/>
  <c r="P11" i="1"/>
  <c r="N11" i="1"/>
  <c r="M11" i="1"/>
  <c r="M12" i="1"/>
  <c r="F8" i="1"/>
  <c r="K54" i="1"/>
  <c r="J54" i="1"/>
  <c r="I54" i="1"/>
  <c r="H54" i="1"/>
  <c r="G54" i="1"/>
  <c r="F54" i="1"/>
  <c r="E54" i="1"/>
  <c r="D54" i="1"/>
  <c r="F11" i="1"/>
  <c r="E11" i="1"/>
  <c r="D11" i="1"/>
  <c r="L11" i="1"/>
  <c r="L8" i="1"/>
  <c r="H27" i="1"/>
  <c r="C27" i="1"/>
  <c r="I12" i="1"/>
  <c r="O43" i="1"/>
  <c r="R25" i="1"/>
  <c r="R30" i="1"/>
  <c r="D24" i="1"/>
  <c r="G42" i="1"/>
  <c r="R38" i="1"/>
  <c r="M27" i="1"/>
  <c r="Q19" i="1"/>
  <c r="O19" i="1"/>
  <c r="M19" i="1"/>
  <c r="P15" i="1"/>
  <c r="L7" i="1"/>
  <c r="N12" i="1"/>
  <c r="O18" i="1"/>
  <c r="R10" i="1"/>
  <c r="F22" i="1"/>
  <c r="F26" i="1"/>
  <c r="G21" i="1"/>
  <c r="K8" i="1"/>
  <c r="G11" i="1"/>
  <c r="J7" i="1"/>
  <c r="C7" i="1"/>
  <c r="F12" i="1"/>
  <c r="F17" i="1"/>
  <c r="G15" i="1"/>
  <c r="M23" i="1"/>
  <c r="L23" i="1"/>
  <c r="L27" i="1"/>
  <c r="L9" i="1"/>
  <c r="L12" i="1"/>
  <c r="J8" i="1"/>
  <c r="N13" i="1"/>
  <c r="M13" i="1"/>
  <c r="R9" i="1"/>
  <c r="Q9" i="1"/>
  <c r="O9" i="1"/>
  <c r="N9" i="1"/>
  <c r="J9" i="1"/>
  <c r="E9" i="1"/>
  <c r="C9" i="1"/>
  <c r="R43" i="1"/>
  <c r="P43" i="1"/>
  <c r="N43" i="1"/>
  <c r="D26" i="1"/>
  <c r="C26" i="1"/>
  <c r="N30" i="1"/>
  <c r="E30" i="1"/>
  <c r="D30" i="1"/>
  <c r="C30" i="1"/>
  <c r="F18" i="1"/>
  <c r="H11" i="1"/>
  <c r="F15" i="1"/>
  <c r="D15" i="1"/>
  <c r="F27" i="1"/>
  <c r="D27" i="1"/>
  <c r="H30" i="1"/>
  <c r="G30" i="1"/>
  <c r="F21" i="1"/>
  <c r="Q18" i="1"/>
  <c r="Q16" i="1"/>
  <c r="N16" i="1"/>
  <c r="M16" i="1"/>
  <c r="S7" i="1"/>
  <c r="M9" i="1"/>
  <c r="R14" i="1"/>
  <c r="P30" i="1"/>
  <c r="N24" i="1"/>
  <c r="N21" i="1"/>
  <c r="M28" i="1"/>
  <c r="N25" i="1"/>
  <c r="O26" i="1"/>
  <c r="R23" i="1"/>
  <c r="Q23" i="1"/>
  <c r="P23" i="1"/>
  <c r="H23" i="1"/>
  <c r="G23" i="1"/>
  <c r="F23" i="1"/>
  <c r="R17" i="1"/>
  <c r="Q17" i="1"/>
  <c r="P17" i="1"/>
  <c r="H17" i="1"/>
  <c r="I9" i="1"/>
  <c r="H8" i="1"/>
  <c r="I7" i="1"/>
  <c r="I8" i="1"/>
  <c r="E41" i="1"/>
  <c r="G28" i="1"/>
  <c r="G20" i="1"/>
  <c r="I30" i="1"/>
  <c r="R13" i="1"/>
  <c r="Q13" i="1"/>
  <c r="M26" i="1"/>
  <c r="P37" i="1"/>
  <c r="P42" i="1"/>
  <c r="M42" i="1"/>
  <c r="C12" i="1"/>
  <c r="R16" i="1"/>
  <c r="P16" i="1"/>
  <c r="F16" i="1"/>
  <c r="D16" i="1"/>
  <c r="P21" i="1"/>
  <c r="O21" i="1"/>
  <c r="M21" i="1"/>
  <c r="C21" i="1"/>
  <c r="L22" i="1"/>
  <c r="Q20" i="1"/>
  <c r="P20" i="1"/>
  <c r="O20" i="1"/>
  <c r="P38" i="1"/>
  <c r="R24" i="1"/>
  <c r="E38" i="1"/>
  <c r="M38" i="1"/>
  <c r="E28" i="1"/>
  <c r="D17" i="1"/>
  <c r="N23" i="1"/>
  <c r="C28" i="1"/>
  <c r="D19" i="1"/>
  <c r="H38" i="1"/>
  <c r="G38" i="1"/>
  <c r="D38" i="1"/>
  <c r="O17" i="1"/>
  <c r="M17" i="1"/>
  <c r="L10" i="1"/>
  <c r="C20" i="1" l="1"/>
  <c r="K23" i="1"/>
  <c r="J23" i="1"/>
  <c r="I23" i="1"/>
  <c r="D25" i="1"/>
  <c r="E23" i="1"/>
  <c r="O23" i="1"/>
  <c r="D28" i="1"/>
  <c r="Q39" i="1"/>
  <c r="P24" i="1"/>
  <c r="O24" i="1"/>
  <c r="M24" i="1"/>
  <c r="N17" i="1"/>
  <c r="S8" i="1"/>
  <c r="S9" i="1"/>
  <c r="N20" i="1"/>
  <c r="E16" i="1"/>
  <c r="C10" i="1"/>
  <c r="I20" i="1" l="1"/>
  <c r="I17" i="1"/>
  <c r="I11" i="1"/>
  <c r="D21" i="1"/>
  <c r="D22" i="1"/>
  <c r="C17" i="1"/>
  <c r="C13" i="1"/>
  <c r="G24" i="1"/>
  <c r="F24" i="1"/>
  <c r="E24" i="1"/>
  <c r="C24" i="1"/>
  <c r="L20" i="1"/>
  <c r="L17" i="1"/>
  <c r="F43" i="1"/>
  <c r="F39" i="1"/>
  <c r="S14" i="1"/>
  <c r="H14" i="1"/>
  <c r="J14" i="1"/>
  <c r="F28" i="1"/>
  <c r="R22" i="1"/>
  <c r="R28" i="1"/>
  <c r="Q28" i="1"/>
  <c r="P28" i="1"/>
  <c r="O28" i="1"/>
  <c r="I22" i="1"/>
  <c r="H22" i="1"/>
  <c r="I28" i="1"/>
  <c r="H28" i="1"/>
  <c r="I16" i="1"/>
  <c r="H16" i="1"/>
  <c r="G16" i="1"/>
  <c r="T10" i="1"/>
  <c r="S10" i="1"/>
  <c r="E18" i="1"/>
  <c r="D18" i="1"/>
  <c r="N15" i="1"/>
  <c r="Q38" i="1" l="1"/>
  <c r="H24" i="1"/>
  <c r="C19" i="1"/>
  <c r="J51" i="1"/>
  <c r="F51" i="1"/>
  <c r="E51" i="1"/>
  <c r="C51" i="1"/>
  <c r="I52" i="1"/>
  <c r="F52" i="1"/>
  <c r="E52" i="1"/>
  <c r="I53" i="1"/>
  <c r="H53" i="1"/>
  <c r="G53" i="1"/>
  <c r="F53" i="1"/>
  <c r="D53" i="1"/>
  <c r="J50" i="1"/>
  <c r="H50" i="1"/>
  <c r="G50" i="1"/>
  <c r="F50" i="1"/>
  <c r="E50" i="1"/>
  <c r="D50" i="1"/>
  <c r="C50" i="1"/>
  <c r="K49" i="1"/>
  <c r="J49" i="1"/>
  <c r="I49" i="1"/>
  <c r="H49" i="1"/>
  <c r="G49" i="1"/>
  <c r="F49" i="1"/>
  <c r="E49" i="1"/>
  <c r="D49" i="1"/>
  <c r="C49" i="1"/>
  <c r="P40" i="1"/>
  <c r="F40" i="1"/>
  <c r="C40" i="1"/>
  <c r="C39" i="1"/>
  <c r="O41" i="1"/>
  <c r="D41" i="1"/>
  <c r="T42" i="1"/>
  <c r="O42" i="1"/>
  <c r="F42" i="1"/>
  <c r="E42" i="1"/>
  <c r="D42" i="1"/>
  <c r="Q37" i="1"/>
  <c r="D37" i="1"/>
  <c r="P31" i="1"/>
  <c r="N31" i="1"/>
  <c r="M31" i="1"/>
  <c r="F31" i="1"/>
  <c r="S24" i="1"/>
  <c r="R26" i="1"/>
  <c r="H19" i="1"/>
  <c r="E19" i="1"/>
  <c r="P18" i="1"/>
  <c r="J18" i="1"/>
  <c r="I18" i="1"/>
  <c r="H18" i="1"/>
  <c r="K20" i="1"/>
  <c r="H21" i="1"/>
  <c r="T11" i="1"/>
  <c r="H12" i="1"/>
  <c r="T37" i="1"/>
  <c r="N37" i="1"/>
  <c r="G51" i="1"/>
  <c r="G52" i="1"/>
  <c r="L14" i="1"/>
  <c r="C37" i="1"/>
  <c r="C38" i="1"/>
  <c r="L38" i="1"/>
  <c r="L18" i="1"/>
  <c r="Q26" i="1"/>
  <c r="L26" i="1"/>
  <c r="Q30" i="1"/>
  <c r="O30" i="1"/>
  <c r="R39" i="1" l="1"/>
  <c r="S38" i="1"/>
  <c r="Q29" i="1"/>
  <c r="N29" i="1"/>
  <c r="H13" i="1"/>
  <c r="R27" i="1"/>
  <c r="C42" i="1"/>
  <c r="L42" i="1"/>
  <c r="I37" i="1"/>
  <c r="O39" i="1" l="1"/>
  <c r="M39" i="1"/>
  <c r="L39" i="1"/>
  <c r="G29" i="1" l="1"/>
  <c r="F29" i="1"/>
  <c r="L28" i="1"/>
  <c r="Q24" i="1" l="1"/>
  <c r="I13" i="1"/>
  <c r="T13" i="1"/>
  <c r="T38" i="1"/>
  <c r="R42" i="1"/>
  <c r="Q42" i="1"/>
  <c r="T23" i="1"/>
  <c r="S23" i="1"/>
  <c r="H37" i="1"/>
  <c r="J15" i="1"/>
  <c r="C11" i="1"/>
  <c r="E21" i="1"/>
  <c r="F41" i="1"/>
  <c r="T39" i="1"/>
  <c r="N41" i="1"/>
  <c r="I14" i="1"/>
  <c r="J17" i="1"/>
  <c r="T27" i="1"/>
  <c r="S27" i="1"/>
  <c r="O15" i="1"/>
  <c r="H15" i="1"/>
  <c r="K12" i="1"/>
  <c r="K7" i="1"/>
  <c r="R15" i="1"/>
  <c r="Q15" i="1"/>
  <c r="M15" i="1"/>
  <c r="C15" i="1"/>
  <c r="K18" i="1" l="1"/>
  <c r="K31" i="1" l="1"/>
  <c r="J31" i="1"/>
  <c r="I31" i="1"/>
  <c r="G31" i="1"/>
  <c r="H31" i="1"/>
  <c r="E31" i="1"/>
  <c r="D31" i="1"/>
  <c r="C31" i="1"/>
  <c r="T31" i="1"/>
  <c r="S31" i="1"/>
  <c r="R31" i="1"/>
  <c r="Q31" i="1"/>
  <c r="L31" i="1"/>
  <c r="K27" i="1"/>
  <c r="J27" i="1"/>
  <c r="R41" i="1"/>
  <c r="Q41" i="1"/>
  <c r="P41" i="1"/>
  <c r="M41" i="1"/>
  <c r="L41" i="1"/>
  <c r="P39" i="1" l="1"/>
  <c r="T12" i="1"/>
  <c r="S12" i="1"/>
  <c r="E39" i="1" l="1"/>
  <c r="D39" i="1"/>
  <c r="E53" i="1"/>
  <c r="R19" i="1"/>
  <c r="L43" i="1"/>
  <c r="L13" i="1"/>
  <c r="I24" i="1"/>
  <c r="S37" i="1"/>
  <c r="J30" i="1"/>
  <c r="J16" i="1"/>
  <c r="J22" i="1"/>
  <c r="R21" i="1"/>
  <c r="C16" i="1"/>
  <c r="S25" i="1" l="1"/>
  <c r="I15" i="1" l="1"/>
  <c r="O40" i="1"/>
  <c r="M40" i="1"/>
  <c r="R37" i="1"/>
  <c r="M43" i="1"/>
  <c r="S19" i="1"/>
  <c r="S30" i="1" l="1"/>
  <c r="G43" i="1"/>
  <c r="E43" i="1"/>
  <c r="R40" i="1"/>
  <c r="Q43" i="1"/>
  <c r="L16" i="1" l="1"/>
  <c r="S13" i="1"/>
  <c r="M30" i="1"/>
  <c r="L30" i="1"/>
  <c r="H52" i="1"/>
  <c r="E40" i="1"/>
  <c r="L37" i="1"/>
  <c r="C25" i="1"/>
  <c r="H42" i="1"/>
  <c r="T22" i="1"/>
  <c r="O29" i="1"/>
  <c r="T25" i="1"/>
  <c r="T26" i="1"/>
  <c r="K14" i="1"/>
  <c r="I19" i="1"/>
  <c r="R18" i="1"/>
  <c r="M29" i="1" l="1"/>
  <c r="T9" i="1"/>
  <c r="S11" i="1"/>
  <c r="C54" i="1"/>
  <c r="L21" i="1"/>
  <c r="D51" i="1"/>
  <c r="D52" i="1"/>
  <c r="Q21" i="1" l="1"/>
  <c r="I41" i="1"/>
  <c r="G41" i="1"/>
  <c r="T18" i="1"/>
  <c r="S18" i="1"/>
  <c r="K26" i="1" l="1"/>
  <c r="J28" i="1"/>
  <c r="G40" i="1"/>
  <c r="L24" i="1"/>
  <c r="I38" i="1"/>
  <c r="J11" i="1" l="1"/>
  <c r="T19" i="1" l="1"/>
  <c r="T30" i="1"/>
  <c r="T16" i="1"/>
  <c r="S16" i="1"/>
  <c r="J20" i="1"/>
  <c r="J19" i="1"/>
  <c r="J10" i="1"/>
  <c r="J12" i="1"/>
  <c r="C23" i="1"/>
  <c r="S15" i="1"/>
  <c r="L25" i="1"/>
  <c r="K10" i="1" l="1"/>
  <c r="J13" i="1" l="1"/>
  <c r="G39" i="1"/>
  <c r="C43" i="1" l="1"/>
  <c r="C41" i="1"/>
  <c r="H25" i="1"/>
  <c r="J21" i="1"/>
  <c r="S17" i="1" l="1"/>
  <c r="I10" i="1" l="1"/>
  <c r="S40" i="1"/>
  <c r="L40" i="1"/>
  <c r="H41" i="1"/>
  <c r="H40" i="1"/>
  <c r="D40" i="1"/>
  <c r="H39" i="1"/>
  <c r="I29" i="1"/>
  <c r="H29" i="1"/>
  <c r="D29" i="1"/>
  <c r="C29" i="1"/>
  <c r="R20" i="1"/>
  <c r="L15" i="1"/>
  <c r="J26" i="1"/>
  <c r="I25" i="1"/>
  <c r="I21" i="1"/>
  <c r="U12" i="1" l="1"/>
  <c r="K17" i="1" l="1"/>
  <c r="S42" i="1" l="1"/>
  <c r="K16" i="1"/>
  <c r="S41" i="1"/>
  <c r="I50" i="1" l="1"/>
  <c r="K9" i="1" l="1"/>
  <c r="D43" i="1" l="1"/>
  <c r="P29" i="1" l="1"/>
  <c r="T14" i="1"/>
  <c r="T17" i="1"/>
  <c r="K30" i="1" l="1"/>
  <c r="K22" i="1"/>
  <c r="K15" i="1" l="1"/>
  <c r="J24" i="1"/>
  <c r="H43" i="1"/>
  <c r="S43" i="1" l="1"/>
  <c r="K11" i="1"/>
  <c r="K50" i="1" l="1"/>
  <c r="T40" i="1"/>
  <c r="K40" i="1"/>
  <c r="J40" i="1"/>
  <c r="I40" i="1"/>
  <c r="L5" i="8" l="1"/>
  <c r="S20" i="1"/>
  <c r="T43" i="1"/>
  <c r="S39" i="1"/>
  <c r="T21" i="1"/>
  <c r="S21" i="1"/>
  <c r="T20" i="1"/>
  <c r="I43" i="1"/>
  <c r="G6" i="8" l="1"/>
  <c r="F6" i="8"/>
  <c r="E6" i="8"/>
  <c r="D6" i="8"/>
  <c r="J25" i="1"/>
  <c r="C53" i="1"/>
  <c r="L6" i="8" l="1"/>
  <c r="L54" i="9" l="1"/>
  <c r="L53" i="9"/>
  <c r="L52" i="9"/>
  <c r="L51" i="9"/>
  <c r="L50" i="9"/>
  <c r="L49" i="9"/>
  <c r="U43" i="9"/>
  <c r="U42" i="9"/>
  <c r="U41" i="9"/>
  <c r="U40" i="9"/>
  <c r="U39" i="9"/>
  <c r="U38" i="9"/>
  <c r="U37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L55" i="9" l="1"/>
  <c r="U44" i="9"/>
  <c r="U32" i="9"/>
  <c r="K13" i="1" l="1"/>
  <c r="H51" i="1" l="1"/>
  <c r="R29" i="1" l="1"/>
  <c r="J52" i="1"/>
  <c r="S29" i="1" l="1"/>
  <c r="T29" i="1" l="1"/>
  <c r="L29" i="1"/>
  <c r="K29" i="1"/>
  <c r="J29" i="1"/>
  <c r="U29" i="1"/>
  <c r="L3" i="8"/>
  <c r="L2" i="8"/>
  <c r="G4" i="8"/>
  <c r="F4" i="8"/>
  <c r="E4" i="8"/>
  <c r="L4" i="8" s="1"/>
  <c r="D4" i="8"/>
  <c r="I42" i="1" l="1"/>
  <c r="T28" i="1" l="1"/>
  <c r="K42" i="1"/>
  <c r="S26" i="1" l="1"/>
  <c r="K28" i="1" l="1"/>
  <c r="K19" i="1" l="1"/>
  <c r="K25" i="1" l="1"/>
  <c r="J38" i="1" l="1"/>
  <c r="K21" i="1" l="1"/>
  <c r="S28" i="1" l="1"/>
  <c r="K38" i="1" l="1"/>
  <c r="J43" i="1" l="1"/>
  <c r="K39" i="1" l="1"/>
  <c r="J39" i="1"/>
  <c r="I39" i="1"/>
  <c r="K37" i="1"/>
  <c r="J37" i="1"/>
  <c r="T15" i="1"/>
  <c r="L45" i="6"/>
  <c r="L44" i="6"/>
  <c r="L43" i="6"/>
  <c r="L42" i="6"/>
  <c r="L41" i="6"/>
  <c r="L40" i="6"/>
  <c r="U34" i="6"/>
  <c r="U33" i="6"/>
  <c r="U32" i="6"/>
  <c r="U31" i="6"/>
  <c r="U30" i="6"/>
  <c r="U29" i="6"/>
  <c r="U28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K53" i="1"/>
  <c r="L46" i="6" l="1"/>
  <c r="U35" i="6"/>
  <c r="U23" i="6"/>
  <c r="K52" i="1" l="1"/>
  <c r="J53" i="1" l="1"/>
  <c r="J41" i="1" l="1"/>
  <c r="T24" i="1" l="1"/>
  <c r="J42" i="1" l="1"/>
  <c r="T41" i="1"/>
  <c r="K51" i="1"/>
  <c r="I51" i="1"/>
  <c r="K24" i="1"/>
  <c r="L28" i="7" l="1"/>
  <c r="L27" i="7"/>
  <c r="L26" i="7"/>
  <c r="L25" i="7"/>
  <c r="U19" i="7"/>
  <c r="U13" i="7"/>
  <c r="U12" i="7"/>
  <c r="U11" i="7"/>
  <c r="U10" i="7"/>
  <c r="U9" i="7"/>
  <c r="U8" i="7"/>
  <c r="U7" i="7"/>
  <c r="L29" i="7" l="1"/>
  <c r="U20" i="7"/>
  <c r="U14" i="7"/>
  <c r="K43" i="1" l="1"/>
  <c r="K41" i="1"/>
  <c r="U7" i="3" l="1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7" i="3"/>
  <c r="U38" i="3"/>
  <c r="U39" i="3"/>
  <c r="U40" i="3"/>
  <c r="U41" i="3"/>
  <c r="U42" i="3"/>
  <c r="U43" i="3"/>
  <c r="U44" i="3" l="1"/>
  <c r="U32" i="3"/>
  <c r="Z7" i="1" l="1"/>
  <c r="O1" i="1" l="1"/>
  <c r="L54" i="3" l="1"/>
  <c r="L53" i="3"/>
  <c r="L52" i="3"/>
  <c r="L51" i="3"/>
  <c r="L50" i="3"/>
  <c r="L49" i="3"/>
  <c r="L55" i="3" l="1"/>
  <c r="L53" i="1" l="1"/>
  <c r="L52" i="1"/>
  <c r="L51" i="1"/>
  <c r="L49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Y7" i="1"/>
  <c r="Z6" i="1"/>
  <c r="Y6" i="1"/>
  <c r="U37" i="1" l="1"/>
  <c r="U22" i="1"/>
  <c r="U31" i="1"/>
  <c r="U42" i="1"/>
  <c r="U40" i="1"/>
  <c r="U43" i="1"/>
  <c r="U28" i="1"/>
  <c r="U13" i="1"/>
  <c r="U8" i="1"/>
  <c r="U27" i="1"/>
  <c r="U25" i="1"/>
  <c r="U38" i="1"/>
  <c r="L50" i="1"/>
  <c r="L54" i="1"/>
  <c r="U41" i="1"/>
  <c r="U39" i="1"/>
  <c r="U30" i="1"/>
  <c r="U24" i="1"/>
  <c r="U17" i="1"/>
  <c r="U18" i="1"/>
  <c r="U9" i="1"/>
  <c r="U10" i="1"/>
  <c r="U26" i="1"/>
  <c r="U23" i="1"/>
  <c r="U21" i="1"/>
  <c r="U20" i="1"/>
  <c r="U19" i="1"/>
  <c r="U16" i="1"/>
  <c r="U15" i="1"/>
  <c r="U14" i="1"/>
  <c r="U11" i="1"/>
  <c r="U7" i="1"/>
  <c r="L55" i="1" l="1"/>
  <c r="U44" i="1"/>
  <c r="U32" i="1"/>
</calcChain>
</file>

<file path=xl/sharedStrings.xml><?xml version="1.0" encoding="utf-8"?>
<sst xmlns="http://schemas.openxmlformats.org/spreadsheetml/2006/main" count="500" uniqueCount="65">
  <si>
    <t>INVENTARIO GENERAL BE FRESH</t>
  </si>
  <si>
    <t xml:space="preserve"> </t>
  </si>
  <si>
    <t xml:space="preserve">PLAYERA BE FRESH  TIPO POLO MANGA CORTA </t>
  </si>
  <si>
    <t>DAMA</t>
  </si>
  <si>
    <t>CABALLERO</t>
  </si>
  <si>
    <t xml:space="preserve">COLOR </t>
  </si>
  <si>
    <t>KILOS</t>
  </si>
  <si>
    <t xml:space="preserve">MANGA CORTA </t>
  </si>
  <si>
    <t xml:space="preserve">MANGA LARGA 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</si>
  <si>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</si>
  <si>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</si>
  <si>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</si>
  <si>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</si>
  <si>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</si>
  <si>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</si>
  <si>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</si>
  <si>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</si>
  <si>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</si>
  <si>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</si>
  <si>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</si>
  <si>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</si>
  <si>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</si>
  <si>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</si>
  <si>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</si>
  <si>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</si>
  <si>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</si>
  <si>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</si>
  <si>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</si>
  <si>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</si>
  <si>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</si>
  <si>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</si>
  <si>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</si>
  <si>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</si>
  <si>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</si>
  <si>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</si>
  <si>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</si>
  <si>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</si>
  <si>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</si>
  <si>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</si>
  <si>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</si>
  <si>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</si>
  <si>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</si>
  <si>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</si>
  <si>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</si>
  <si>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BUGANBILIA</t>
  </si>
  <si>
    <t>PLAYERA BE FRESH  TIPO POLO MANGA LARGA</t>
  </si>
  <si>
    <t>GRIS</t>
  </si>
  <si>
    <t xml:space="preserve">PLAYERA BE FRESH CUELLO REDONDO </t>
  </si>
  <si>
    <t>UNISEX</t>
  </si>
  <si>
    <t xml:space="preserve">STOCK </t>
  </si>
  <si>
    <t>STOCK  TLAPAN 10/03/26</t>
  </si>
  <si>
    <t xml:space="preserve">DEVOLUCION </t>
  </si>
  <si>
    <t>M</t>
  </si>
  <si>
    <t>G</t>
  </si>
  <si>
    <t xml:space="preserve">PEDIDO </t>
  </si>
  <si>
    <t>FALTANTE</t>
  </si>
  <si>
    <t>VERDE BANDERA CABALLERO M/C</t>
  </si>
  <si>
    <t>TOTAL</t>
  </si>
  <si>
    <t>14 cajas</t>
  </si>
  <si>
    <t>STOCK  CCH</t>
  </si>
  <si>
    <t>2DA ENTREGA</t>
  </si>
  <si>
    <t>1ER ENTREGA</t>
  </si>
  <si>
    <t>31 CAJAS</t>
  </si>
  <si>
    <t>3RA ENTREGA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</si>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</sst>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24"/>
      <color theme="1"/>
      <name val="Arial"/>
      <family val="2"/>
    </font>
    <font>
      <sz val="11"/>
      <name val="Aptos Narrow"/>
      <family val="2"/>
      <scheme val="minor"/>
    </font>
    <font>
      <b/>
      <sz val="2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12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0" fillId="0" borderId="18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3" xfId="0" applyBorder="1"/>
    <xf numFmtId="0" fontId="17" fillId="8" borderId="13" xfId="0" applyFont="1" applyFill="1" applyBorder="1"/>
    <xf numFmtId="0" fontId="0" fillId="9" borderId="13" xfId="0" applyFill="1" applyBorder="1"/>
    <xf numFmtId="0" fontId="16" fillId="8" borderId="13" xfId="0" applyFont="1" applyFill="1" applyBorder="1" applyAlignment="1">
      <alignment vertical="center" wrapText="1"/>
    </xf>
    <xf numFmtId="0" fontId="17" fillId="8" borderId="41" xfId="0" applyFont="1" applyFill="1" applyBorder="1"/>
    <xf numFmtId="14" fontId="0" fillId="0" borderId="0" xfId="0" applyNumberFormat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2" fillId="6" borderId="13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FF00"/>
      <color rgb="FFFFFF66"/>
      <color rgb="FFCC99FF"/>
      <color rgb="FF00FFFF"/>
      <color rgb="FFFF3399"/>
      <color rgb="FFFF6600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5C75C-9104-47DB-8B14-FB9A40258157}">
  <sheetPr codeName="Hoja4">
    <pageSetUpPr fitToPage="1"/>
  </sheetPr>
  <dimension ref="B1:U61"/>
  <sheetViews>
    <sheetView topLeftCell="A22" workbookViewId="0">
      <selection activeCell="A4" sqref="A4:U57"/>
    </sheetView>
  </sheetViews>
  <sheetFormatPr baseColWidth="10" defaultRowHeight="15" x14ac:dyDescent="0.25"/>
  <cols>
    <col min="1" max="1" width="6.42578125" customWidth="1"/>
    <col min="2" max="2" width="23.7109375" customWidth="1"/>
    <col min="21" max="21" width="15.7109375" customWidth="1"/>
  </cols>
  <sheetData>
    <row r="1" spans="2:21" x14ac:dyDescent="0.25">
      <c r="E1" s="121" t="s">
        <v>49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2:21" x14ac:dyDescent="0.25"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1" ht="21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1</v>
      </c>
      <c r="P3" s="1"/>
      <c r="Q3" s="1"/>
      <c r="R3" s="1"/>
      <c r="S3" s="1"/>
      <c r="T3" s="1"/>
      <c r="U3" s="3"/>
    </row>
    <row r="4" spans="2:21" ht="42" thickBot="1" x14ac:dyDescent="0.3">
      <c r="B4" s="1"/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2"/>
    </row>
    <row r="5" spans="2:21" ht="21" thickBot="1" x14ac:dyDescent="0.3">
      <c r="B5" s="1"/>
      <c r="C5" s="95" t="s">
        <v>3</v>
      </c>
      <c r="D5" s="96"/>
      <c r="E5" s="96"/>
      <c r="F5" s="96"/>
      <c r="G5" s="96"/>
      <c r="H5" s="96"/>
      <c r="I5" s="96"/>
      <c r="J5" s="96"/>
      <c r="K5" s="97"/>
      <c r="L5" s="98" t="s">
        <v>4</v>
      </c>
      <c r="M5" s="99"/>
      <c r="N5" s="99"/>
      <c r="O5" s="99"/>
      <c r="P5" s="99"/>
      <c r="Q5" s="99"/>
      <c r="R5" s="99"/>
      <c r="S5" s="99"/>
      <c r="T5" s="100"/>
      <c r="U5" s="2"/>
    </row>
    <row r="6" spans="2:21" ht="21" thickBot="1" x14ac:dyDescent="0.3">
      <c r="B6" s="5" t="s">
        <v>9</v>
      </c>
      <c r="C6" s="6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18</v>
      </c>
      <c r="U6" s="2"/>
    </row>
    <row r="7" spans="2:21" ht="20.25" x14ac:dyDescent="0.25">
      <c r="B7" s="10" t="s">
        <v>19</v>
      </c>
      <c r="C7" s="36"/>
      <c r="D7" s="34"/>
      <c r="E7" s="36"/>
      <c r="F7" s="36"/>
      <c r="G7" s="34"/>
      <c r="H7" s="34"/>
      <c r="I7" s="34"/>
      <c r="J7" s="34"/>
      <c r="K7" s="40"/>
      <c r="L7" s="36"/>
      <c r="M7" s="41"/>
      <c r="N7" s="41"/>
      <c r="O7" s="41"/>
      <c r="P7" s="38"/>
      <c r="Q7" s="41"/>
      <c r="R7" s="41"/>
      <c r="S7" s="38"/>
      <c r="T7" s="39"/>
      <c r="U7" s="11">
        <f>SUM(C7:T7)</f>
        <v>0</v>
      </c>
    </row>
    <row r="8" spans="2:21" ht="20.25" x14ac:dyDescent="0.25">
      <c r="B8" s="10" t="s">
        <v>20</v>
      </c>
      <c r="C8" s="12"/>
      <c r="D8" s="12"/>
      <c r="E8" s="12"/>
      <c r="F8" s="14"/>
      <c r="G8" s="12"/>
      <c r="H8" s="14"/>
      <c r="I8" s="12"/>
      <c r="J8" s="12"/>
      <c r="K8" s="13"/>
      <c r="L8" s="12"/>
      <c r="M8" s="14"/>
      <c r="N8" s="42"/>
      <c r="O8" s="14"/>
      <c r="P8" s="14"/>
      <c r="Q8" s="14"/>
      <c r="R8" s="12"/>
      <c r="S8" s="12"/>
      <c r="T8" s="15"/>
      <c r="U8" s="11">
        <f t="shared" ref="U8:U26" si="0">SUM(C8:T8)</f>
        <v>0</v>
      </c>
    </row>
    <row r="9" spans="2:21" ht="20.25" x14ac:dyDescent="0.25">
      <c r="B9" s="10" t="s">
        <v>21</v>
      </c>
      <c r="C9" s="14"/>
      <c r="D9" s="14"/>
      <c r="E9" s="12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4"/>
      <c r="S9" s="12"/>
      <c r="T9" s="43"/>
      <c r="U9" s="11">
        <f t="shared" si="0"/>
        <v>0</v>
      </c>
    </row>
    <row r="10" spans="2:21" ht="20.25" x14ac:dyDescent="0.25">
      <c r="B10" s="10" t="s">
        <v>22</v>
      </c>
      <c r="C10" s="14"/>
      <c r="D10" s="14"/>
      <c r="E10" s="12"/>
      <c r="F10" s="12"/>
      <c r="G10" s="14"/>
      <c r="H10" s="14"/>
      <c r="I10" s="14"/>
      <c r="J10" s="14"/>
      <c r="K10" s="13"/>
      <c r="L10" s="14"/>
      <c r="M10" s="14"/>
      <c r="N10" s="14"/>
      <c r="O10" s="14"/>
      <c r="P10" s="12"/>
      <c r="Q10" s="12"/>
      <c r="R10" s="12"/>
      <c r="S10" s="12"/>
      <c r="T10" s="15"/>
      <c r="U10" s="11">
        <f>SUM(C10:T10)</f>
        <v>0</v>
      </c>
    </row>
    <row r="11" spans="2:21" ht="20.25" x14ac:dyDescent="0.25">
      <c r="B11" s="10" t="s">
        <v>23</v>
      </c>
      <c r="C11" s="12"/>
      <c r="D11" s="12"/>
      <c r="E11" s="12"/>
      <c r="F11" s="14"/>
      <c r="G11" s="14"/>
      <c r="H11" s="14"/>
      <c r="I11" s="14"/>
      <c r="J11" s="14"/>
      <c r="K11" s="13"/>
      <c r="L11" s="12"/>
      <c r="M11" s="12"/>
      <c r="N11" s="12"/>
      <c r="O11" s="14"/>
      <c r="P11" s="12"/>
      <c r="Q11" s="14"/>
      <c r="R11" s="14"/>
      <c r="S11" s="14"/>
      <c r="T11" s="44"/>
      <c r="U11" s="11">
        <f t="shared" si="0"/>
        <v>0</v>
      </c>
    </row>
    <row r="12" spans="2:21" ht="20.25" x14ac:dyDescent="0.25">
      <c r="B12" s="10" t="s">
        <v>24</v>
      </c>
      <c r="C12" s="12"/>
      <c r="D12" s="12"/>
      <c r="E12" s="12"/>
      <c r="F12" s="14"/>
      <c r="G12" s="12"/>
      <c r="H12" s="12"/>
      <c r="I12" s="14"/>
      <c r="J12" s="12"/>
      <c r="K12" s="35"/>
      <c r="L12" s="12"/>
      <c r="M12" s="14"/>
      <c r="N12" s="14"/>
      <c r="O12" s="14"/>
      <c r="P12" s="14"/>
      <c r="Q12" s="14"/>
      <c r="R12" s="14"/>
      <c r="S12" s="14"/>
      <c r="T12" s="43"/>
      <c r="U12" s="11">
        <f t="shared" si="0"/>
        <v>0</v>
      </c>
    </row>
    <row r="13" spans="2:21" ht="20.25" x14ac:dyDescent="0.25">
      <c r="B13" s="10" t="s">
        <v>25</v>
      </c>
      <c r="C13" s="14"/>
      <c r="D13" s="12"/>
      <c r="E13" s="12"/>
      <c r="F13" s="14"/>
      <c r="G13" s="14"/>
      <c r="H13" s="14"/>
      <c r="I13" s="14"/>
      <c r="J13" s="14"/>
      <c r="K13" s="13"/>
      <c r="L13" s="14"/>
      <c r="M13" s="12"/>
      <c r="N13" s="14"/>
      <c r="O13" s="14"/>
      <c r="P13" s="14"/>
      <c r="Q13" s="14"/>
      <c r="R13" s="14"/>
      <c r="S13" s="14"/>
      <c r="T13" s="43"/>
      <c r="U13" s="11">
        <f t="shared" si="0"/>
        <v>0</v>
      </c>
    </row>
    <row r="14" spans="2:21" ht="20.25" x14ac:dyDescent="0.25">
      <c r="B14" s="10" t="s">
        <v>26</v>
      </c>
      <c r="C14" s="14"/>
      <c r="D14" s="14"/>
      <c r="E14" s="14"/>
      <c r="F14" s="14"/>
      <c r="G14" s="14"/>
      <c r="H14" s="14"/>
      <c r="I14" s="14"/>
      <c r="J14" s="14"/>
      <c r="K14" s="35"/>
      <c r="L14" s="14"/>
      <c r="M14" s="14"/>
      <c r="N14" s="14"/>
      <c r="O14" s="14"/>
      <c r="P14" s="14"/>
      <c r="Q14" s="14"/>
      <c r="R14" s="14"/>
      <c r="S14" s="14"/>
      <c r="T14" s="15"/>
      <c r="U14" s="11">
        <f t="shared" si="0"/>
        <v>0</v>
      </c>
    </row>
    <row r="15" spans="2:21" ht="20.25" x14ac:dyDescent="0.25">
      <c r="B15" s="10" t="s">
        <v>27</v>
      </c>
      <c r="C15" s="14"/>
      <c r="D15" s="14"/>
      <c r="E15" s="14"/>
      <c r="F15" s="14"/>
      <c r="G15" s="14"/>
      <c r="H15" s="14"/>
      <c r="I15" s="14"/>
      <c r="J15" s="14"/>
      <c r="K15" s="35"/>
      <c r="L15" s="14"/>
      <c r="M15" s="14"/>
      <c r="N15" s="14"/>
      <c r="O15" s="14"/>
      <c r="P15" s="14"/>
      <c r="Q15" s="14"/>
      <c r="R15" s="14"/>
      <c r="S15" s="14"/>
      <c r="T15" s="43"/>
      <c r="U15" s="11">
        <f t="shared" si="0"/>
        <v>0</v>
      </c>
    </row>
    <row r="16" spans="2:21" ht="20.25" x14ac:dyDescent="0.25">
      <c r="B16" s="10" t="s">
        <v>28</v>
      </c>
      <c r="C16" s="14"/>
      <c r="D16" s="14"/>
      <c r="E16" s="14"/>
      <c r="F16" s="14"/>
      <c r="G16" s="14"/>
      <c r="H16" s="14"/>
      <c r="I16" s="14"/>
      <c r="J16" s="14"/>
      <c r="K16" s="13"/>
      <c r="L16" s="14"/>
      <c r="M16" s="14"/>
      <c r="N16" s="14"/>
      <c r="O16" s="14"/>
      <c r="P16" s="14"/>
      <c r="Q16" s="14"/>
      <c r="R16" s="14"/>
      <c r="S16" s="14"/>
      <c r="T16" s="43"/>
      <c r="U16" s="11">
        <f t="shared" si="0"/>
        <v>0</v>
      </c>
    </row>
    <row r="17" spans="2:21" ht="20.25" x14ac:dyDescent="0.25">
      <c r="B17" s="10" t="s">
        <v>29</v>
      </c>
      <c r="C17" s="14"/>
      <c r="D17" s="14"/>
      <c r="E17" s="14"/>
      <c r="F17" s="12"/>
      <c r="G17" s="14"/>
      <c r="H17" s="14"/>
      <c r="I17" s="14"/>
      <c r="J17" s="14"/>
      <c r="K17" s="13"/>
      <c r="L17" s="14"/>
      <c r="M17" s="14"/>
      <c r="N17" s="14"/>
      <c r="O17" s="14"/>
      <c r="P17" s="14"/>
      <c r="Q17" s="14"/>
      <c r="R17" s="14"/>
      <c r="S17" s="14"/>
      <c r="T17" s="43"/>
      <c r="U17" s="11">
        <f t="shared" si="0"/>
        <v>0</v>
      </c>
    </row>
    <row r="18" spans="2:21" ht="20.25" x14ac:dyDescent="0.25">
      <c r="B18" s="10" t="s">
        <v>30</v>
      </c>
      <c r="C18" s="14"/>
      <c r="D18" s="14"/>
      <c r="E18" s="12"/>
      <c r="F18" s="14"/>
      <c r="G18" s="14"/>
      <c r="H18" s="14"/>
      <c r="I18" s="14"/>
      <c r="J18" s="14"/>
      <c r="K18" s="13"/>
      <c r="L18" s="14"/>
      <c r="M18" s="14"/>
      <c r="N18" s="14"/>
      <c r="O18" s="14"/>
      <c r="P18" s="14"/>
      <c r="Q18" s="14"/>
      <c r="R18" s="14"/>
      <c r="S18" s="14"/>
      <c r="T18" s="43"/>
      <c r="U18" s="11">
        <f>SUM(C18:T18)</f>
        <v>0</v>
      </c>
    </row>
    <row r="19" spans="2:21" ht="20.25" x14ac:dyDescent="0.25">
      <c r="B19" s="10" t="s">
        <v>31</v>
      </c>
      <c r="C19" s="14"/>
      <c r="D19" s="14"/>
      <c r="E19" s="14"/>
      <c r="F19" s="14"/>
      <c r="G19" s="14"/>
      <c r="H19" s="14"/>
      <c r="I19" s="14"/>
      <c r="J19" s="14"/>
      <c r="K19" s="13"/>
      <c r="L19" s="14"/>
      <c r="M19" s="14"/>
      <c r="N19" s="14"/>
      <c r="O19" s="14"/>
      <c r="P19" s="14"/>
      <c r="Q19" s="14"/>
      <c r="R19" s="14"/>
      <c r="S19" s="14"/>
      <c r="T19" s="43"/>
      <c r="U19" s="11">
        <f t="shared" si="0"/>
        <v>0</v>
      </c>
    </row>
    <row r="20" spans="2:21" ht="20.25" x14ac:dyDescent="0.25">
      <c r="B20" s="10" t="s">
        <v>32</v>
      </c>
      <c r="C20" s="14"/>
      <c r="D20" s="14"/>
      <c r="E20" s="14"/>
      <c r="F20" s="14"/>
      <c r="G20" s="14"/>
      <c r="H20" s="14"/>
      <c r="I20" s="14"/>
      <c r="J20" s="14"/>
      <c r="K20" s="13"/>
      <c r="L20" s="14"/>
      <c r="M20" s="14"/>
      <c r="N20" s="14"/>
      <c r="O20" s="14"/>
      <c r="P20" s="14"/>
      <c r="Q20" s="14"/>
      <c r="R20" s="14"/>
      <c r="S20" s="14"/>
      <c r="T20" s="45"/>
      <c r="U20" s="11">
        <f t="shared" si="0"/>
        <v>0</v>
      </c>
    </row>
    <row r="21" spans="2:21" ht="20.25" x14ac:dyDescent="0.25">
      <c r="B21" s="10" t="s">
        <v>33</v>
      </c>
      <c r="C21" s="14"/>
      <c r="D21" s="14"/>
      <c r="E21" s="14"/>
      <c r="F21" s="14"/>
      <c r="G21" s="14"/>
      <c r="H21" s="12"/>
      <c r="I21" s="12"/>
      <c r="J21" s="12"/>
      <c r="K21" s="35"/>
      <c r="L21" s="14"/>
      <c r="M21" s="14"/>
      <c r="N21" s="14"/>
      <c r="O21" s="14"/>
      <c r="P21" s="14"/>
      <c r="Q21" s="14"/>
      <c r="R21" s="14"/>
      <c r="S21" s="12"/>
      <c r="T21" s="15"/>
      <c r="U21" s="11">
        <f t="shared" si="0"/>
        <v>0</v>
      </c>
    </row>
    <row r="22" spans="2:21" ht="20.25" x14ac:dyDescent="0.25">
      <c r="B22" s="10" t="s">
        <v>34</v>
      </c>
      <c r="C22" s="14"/>
      <c r="D22" s="14"/>
      <c r="E22" s="14"/>
      <c r="F22" s="14"/>
      <c r="G22" s="14"/>
      <c r="H22" s="14"/>
      <c r="I22" s="14"/>
      <c r="J22" s="46"/>
      <c r="K22" s="13"/>
      <c r="L22" s="14"/>
      <c r="M22" s="14"/>
      <c r="N22" s="14"/>
      <c r="O22" s="14"/>
      <c r="P22" s="14"/>
      <c r="Q22" s="12"/>
      <c r="R22" s="12"/>
      <c r="S22" s="12"/>
      <c r="T22" s="15"/>
      <c r="U22" s="11">
        <f t="shared" si="0"/>
        <v>0</v>
      </c>
    </row>
    <row r="23" spans="2:21" ht="20.25" x14ac:dyDescent="0.25">
      <c r="B23" s="10" t="s">
        <v>35</v>
      </c>
      <c r="C23" s="14"/>
      <c r="D23" s="14"/>
      <c r="E23" s="14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14"/>
      <c r="Q23" s="14"/>
      <c r="R23" s="14"/>
      <c r="S23" s="46"/>
      <c r="T23" s="43"/>
      <c r="U23" s="11">
        <f t="shared" si="0"/>
        <v>0</v>
      </c>
    </row>
    <row r="24" spans="2:21" ht="20.25" x14ac:dyDescent="0.25">
      <c r="B24" s="10" t="s">
        <v>36</v>
      </c>
      <c r="C24" s="14"/>
      <c r="D24" s="14"/>
      <c r="E24" s="14"/>
      <c r="F24" s="14"/>
      <c r="G24" s="14"/>
      <c r="H24" s="14"/>
      <c r="I24" s="14"/>
      <c r="J24" s="14"/>
      <c r="K24" s="13"/>
      <c r="L24" s="14"/>
      <c r="M24" s="14"/>
      <c r="N24" s="14"/>
      <c r="O24" s="14"/>
      <c r="P24" s="14"/>
      <c r="Q24" s="14"/>
      <c r="R24" s="14"/>
      <c r="S24" s="14"/>
      <c r="T24" s="43"/>
      <c r="U24" s="11">
        <f t="shared" si="0"/>
        <v>0</v>
      </c>
    </row>
    <row r="25" spans="2:21" ht="20.25" x14ac:dyDescent="0.25">
      <c r="B25" s="10" t="s">
        <v>37</v>
      </c>
      <c r="C25" s="14"/>
      <c r="D25" s="14"/>
      <c r="E25" s="14"/>
      <c r="F25" s="14"/>
      <c r="G25" s="14"/>
      <c r="H25" s="14"/>
      <c r="I25" s="14"/>
      <c r="J25" s="14"/>
      <c r="K25" s="47"/>
      <c r="L25" s="14"/>
      <c r="M25" s="12"/>
      <c r="N25" s="12"/>
      <c r="O25" s="12"/>
      <c r="P25" s="14"/>
      <c r="Q25" s="14"/>
      <c r="R25" s="14"/>
      <c r="S25" s="14"/>
      <c r="T25" s="43"/>
      <c r="U25" s="11">
        <f t="shared" si="0"/>
        <v>0</v>
      </c>
    </row>
    <row r="26" spans="2:21" ht="20.25" x14ac:dyDescent="0.25">
      <c r="B26" s="10" t="s">
        <v>38</v>
      </c>
      <c r="C26" s="12"/>
      <c r="D26" s="12"/>
      <c r="E26" s="12"/>
      <c r="F26" s="46"/>
      <c r="G26" s="12"/>
      <c r="H26" s="46"/>
      <c r="I26" s="14"/>
      <c r="J26" s="12"/>
      <c r="K26" s="13"/>
      <c r="L26" s="12"/>
      <c r="M26" s="14"/>
      <c r="N26" s="14"/>
      <c r="O26" s="14"/>
      <c r="P26" s="14"/>
      <c r="Q26" s="14"/>
      <c r="R26" s="14"/>
      <c r="S26" s="14"/>
      <c r="T26" s="35"/>
      <c r="U26" s="17">
        <f t="shared" si="0"/>
        <v>0</v>
      </c>
    </row>
    <row r="27" spans="2:21" ht="20.25" x14ac:dyDescent="0.25">
      <c r="B27" s="18" t="s">
        <v>39</v>
      </c>
      <c r="C27" s="20"/>
      <c r="D27" s="19"/>
      <c r="E27" s="20"/>
      <c r="F27" s="20"/>
      <c r="G27" s="19"/>
      <c r="H27" s="20"/>
      <c r="I27" s="20"/>
      <c r="J27" s="19"/>
      <c r="K27" s="48"/>
      <c r="L27" s="20"/>
      <c r="M27" s="12"/>
      <c r="N27" s="14"/>
      <c r="O27" s="14"/>
      <c r="P27" s="14"/>
      <c r="Q27" s="14"/>
      <c r="R27" s="14"/>
      <c r="S27" s="12"/>
      <c r="T27" s="13"/>
      <c r="U27" s="17">
        <f>SUM(C27:T27)</f>
        <v>0</v>
      </c>
    </row>
    <row r="28" spans="2:21" ht="20.25" x14ac:dyDescent="0.25">
      <c r="B28" s="18" t="s">
        <v>40</v>
      </c>
      <c r="C28" s="20"/>
      <c r="D28" s="20"/>
      <c r="E28" s="20"/>
      <c r="F28" s="20"/>
      <c r="G28" s="20"/>
      <c r="H28" s="20"/>
      <c r="I28" s="19"/>
      <c r="J28" s="19"/>
      <c r="K28" s="48"/>
      <c r="L28" s="21"/>
      <c r="M28" s="14"/>
      <c r="N28" s="14"/>
      <c r="O28" s="14"/>
      <c r="P28" s="14"/>
      <c r="Q28" s="14"/>
      <c r="R28" s="14"/>
      <c r="S28" s="14"/>
      <c r="T28" s="13"/>
      <c r="U28" s="17">
        <f>SUM(C28:T28)</f>
        <v>0</v>
      </c>
    </row>
    <row r="29" spans="2:21" ht="20.25" x14ac:dyDescent="0.25">
      <c r="B29" s="18" t="s">
        <v>41</v>
      </c>
      <c r="C29" s="49"/>
      <c r="D29" s="20"/>
      <c r="E29" s="20"/>
      <c r="F29" s="20"/>
      <c r="G29" s="20"/>
      <c r="H29" s="49"/>
      <c r="I29" s="20"/>
      <c r="J29" s="20"/>
      <c r="K29" s="50"/>
      <c r="L29" s="21"/>
      <c r="M29" s="14"/>
      <c r="N29" s="14"/>
      <c r="O29" s="14"/>
      <c r="P29" s="14"/>
      <c r="Q29" s="14"/>
      <c r="R29" s="14"/>
      <c r="S29" s="14"/>
      <c r="T29" s="13"/>
      <c r="U29" s="17">
        <f>SUM(C29:T29)</f>
        <v>0</v>
      </c>
    </row>
    <row r="30" spans="2:21" ht="20.25" x14ac:dyDescent="0.25">
      <c r="B30" s="18" t="s">
        <v>43</v>
      </c>
      <c r="C30" s="20"/>
      <c r="D30" s="20"/>
      <c r="E30" s="20"/>
      <c r="F30" s="20"/>
      <c r="G30" s="20"/>
      <c r="H30" s="20"/>
      <c r="I30" s="20"/>
      <c r="J30" s="20"/>
      <c r="K30" s="50"/>
      <c r="L30" s="14"/>
      <c r="M30" s="14"/>
      <c r="N30" s="14"/>
      <c r="O30" s="14"/>
      <c r="P30" s="14"/>
      <c r="Q30" s="14"/>
      <c r="R30" s="14"/>
      <c r="S30" s="14"/>
      <c r="T30" s="51"/>
      <c r="U30" s="11">
        <f>SUM(C30:T30)</f>
        <v>0</v>
      </c>
    </row>
    <row r="31" spans="2:21" ht="21" thickBot="1" x14ac:dyDescent="0.3">
      <c r="B31" s="18" t="s">
        <v>42</v>
      </c>
      <c r="C31" s="52"/>
      <c r="D31" s="20"/>
      <c r="E31" s="20"/>
      <c r="F31" s="52"/>
      <c r="G31" s="52"/>
      <c r="H31" s="52"/>
      <c r="I31" s="20"/>
      <c r="J31" s="20"/>
      <c r="K31" s="53"/>
      <c r="L31" s="54"/>
      <c r="M31" s="55"/>
      <c r="N31" s="55"/>
      <c r="O31" s="55"/>
      <c r="P31" s="55"/>
      <c r="Q31" s="55"/>
      <c r="R31" s="55"/>
      <c r="S31" s="55"/>
      <c r="T31" s="56"/>
      <c r="U31" s="22">
        <f>SUM(C31:T31)</f>
        <v>0</v>
      </c>
    </row>
    <row r="32" spans="2:21" ht="30.75" thickBot="1" x14ac:dyDescent="0.3">
      <c r="B32" s="24"/>
      <c r="C32" s="1"/>
      <c r="D32" s="24"/>
      <c r="E32" s="24"/>
      <c r="F32" s="1"/>
      <c r="G32" s="1"/>
      <c r="H32" s="1"/>
      <c r="I32" s="24"/>
      <c r="J32" s="24"/>
      <c r="K32" s="1"/>
      <c r="L32" s="1"/>
      <c r="M32" s="1" t="s">
        <v>1</v>
      </c>
      <c r="N32" s="1"/>
      <c r="O32" s="1"/>
      <c r="P32" s="1"/>
      <c r="Q32" s="1"/>
      <c r="R32" s="1"/>
      <c r="S32" s="1"/>
      <c r="T32" s="1"/>
      <c r="U32" s="25">
        <f>SUM(U7:U31)</f>
        <v>0</v>
      </c>
    </row>
    <row r="33" spans="2:21" ht="21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</row>
    <row r="34" spans="2:21" ht="42" thickBot="1" x14ac:dyDescent="0.3">
      <c r="B34" s="1"/>
      <c r="C34" s="106" t="s">
        <v>45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  <c r="U34" s="2"/>
    </row>
    <row r="35" spans="2:21" ht="21" thickBot="1" x14ac:dyDescent="0.3">
      <c r="B35" s="1"/>
      <c r="C35" s="95" t="s">
        <v>3</v>
      </c>
      <c r="D35" s="96"/>
      <c r="E35" s="96"/>
      <c r="F35" s="96"/>
      <c r="G35" s="96"/>
      <c r="H35" s="96"/>
      <c r="I35" s="96"/>
      <c r="J35" s="96"/>
      <c r="K35" s="97"/>
      <c r="L35" s="98" t="s">
        <v>4</v>
      </c>
      <c r="M35" s="99"/>
      <c r="N35" s="99"/>
      <c r="O35" s="99"/>
      <c r="P35" s="99"/>
      <c r="Q35" s="99"/>
      <c r="R35" s="99"/>
      <c r="S35" s="99"/>
      <c r="T35" s="100"/>
      <c r="U35" s="2"/>
    </row>
    <row r="36" spans="2:21" ht="21" thickBot="1" x14ac:dyDescent="0.3">
      <c r="B36" s="5" t="s">
        <v>9</v>
      </c>
      <c r="C36" s="6" t="s">
        <v>10</v>
      </c>
      <c r="D36" s="7" t="s">
        <v>11</v>
      </c>
      <c r="E36" s="7" t="s">
        <v>12</v>
      </c>
      <c r="F36" s="7" t="s">
        <v>13</v>
      </c>
      <c r="G36" s="7" t="s">
        <v>14</v>
      </c>
      <c r="H36" s="7" t="s">
        <v>15</v>
      </c>
      <c r="I36" s="7" t="s">
        <v>16</v>
      </c>
      <c r="J36" s="7" t="s">
        <v>17</v>
      </c>
      <c r="K36" s="27" t="s">
        <v>18</v>
      </c>
      <c r="L36" s="28" t="s">
        <v>10</v>
      </c>
      <c r="M36" s="8" t="s">
        <v>11</v>
      </c>
      <c r="N36" s="8" t="s">
        <v>12</v>
      </c>
      <c r="O36" s="8" t="s">
        <v>13</v>
      </c>
      <c r="P36" s="8" t="s">
        <v>14</v>
      </c>
      <c r="Q36" s="8" t="s">
        <v>15</v>
      </c>
      <c r="R36" s="8" t="s">
        <v>16</v>
      </c>
      <c r="S36" s="8" t="s">
        <v>17</v>
      </c>
      <c r="T36" s="9" t="s">
        <v>18</v>
      </c>
      <c r="U36" s="2"/>
    </row>
    <row r="37" spans="2:21" ht="20.25" x14ac:dyDescent="0.25">
      <c r="B37" s="29" t="s">
        <v>19</v>
      </c>
      <c r="C37" s="34"/>
      <c r="D37" s="36"/>
      <c r="E37" s="34"/>
      <c r="F37" s="34"/>
      <c r="G37" s="34"/>
      <c r="H37" s="34"/>
      <c r="I37" s="34"/>
      <c r="J37" s="34"/>
      <c r="K37" s="40"/>
      <c r="L37" s="57"/>
      <c r="M37" s="34"/>
      <c r="N37" s="34"/>
      <c r="O37" s="12"/>
      <c r="P37" s="12"/>
      <c r="Q37" s="12"/>
      <c r="R37" s="12"/>
      <c r="S37" s="12"/>
      <c r="T37" s="12"/>
      <c r="U37" s="30">
        <f t="shared" ref="U37:U43" si="1">SUM(C37:T37)</f>
        <v>0</v>
      </c>
    </row>
    <row r="38" spans="2:21" ht="20.25" x14ac:dyDescent="0.25">
      <c r="B38" s="29" t="s">
        <v>20</v>
      </c>
      <c r="C38" s="12"/>
      <c r="D38" s="12"/>
      <c r="E38" s="12"/>
      <c r="F38" s="12"/>
      <c r="G38" s="12"/>
      <c r="H38" s="12"/>
      <c r="I38" s="12"/>
      <c r="J38" s="12"/>
      <c r="K38" s="35"/>
      <c r="L38" s="32"/>
      <c r="M38" s="14"/>
      <c r="N38" s="12"/>
      <c r="O38" s="12"/>
      <c r="P38" s="12"/>
      <c r="Q38" s="12"/>
      <c r="R38" s="12"/>
      <c r="S38" s="12"/>
      <c r="T38" s="12"/>
      <c r="U38" s="31">
        <f t="shared" si="1"/>
        <v>0</v>
      </c>
    </row>
    <row r="39" spans="2:21" ht="20.25" x14ac:dyDescent="0.25">
      <c r="B39" s="29" t="s">
        <v>21</v>
      </c>
      <c r="C39" s="12"/>
      <c r="D39" s="14"/>
      <c r="E39" s="14"/>
      <c r="F39" s="46"/>
      <c r="G39" s="14"/>
      <c r="H39" s="14"/>
      <c r="I39" s="12"/>
      <c r="J39" s="14"/>
      <c r="K39" s="35"/>
      <c r="L39" s="32"/>
      <c r="M39" s="58"/>
      <c r="N39" s="12"/>
      <c r="O39" s="12"/>
      <c r="P39" s="12"/>
      <c r="Q39" s="12"/>
      <c r="R39" s="12"/>
      <c r="S39" s="14"/>
      <c r="T39" s="14"/>
      <c r="U39" s="30">
        <f t="shared" si="1"/>
        <v>0</v>
      </c>
    </row>
    <row r="40" spans="2:21" ht="20.25" x14ac:dyDescent="0.25">
      <c r="B40" s="29" t="s">
        <v>22</v>
      </c>
      <c r="C40" s="14"/>
      <c r="D40" s="14"/>
      <c r="E40" s="14"/>
      <c r="F40" s="14"/>
      <c r="G40" s="14"/>
      <c r="H40" s="46"/>
      <c r="I40" s="14"/>
      <c r="J40" s="12"/>
      <c r="K40" s="12"/>
      <c r="L40" s="21"/>
      <c r="M40" s="12"/>
      <c r="N40" s="12"/>
      <c r="O40" s="12"/>
      <c r="P40" s="12"/>
      <c r="Q40" s="12"/>
      <c r="R40" s="12"/>
      <c r="S40" s="12"/>
      <c r="T40" s="14"/>
      <c r="U40" s="30">
        <f t="shared" si="1"/>
        <v>0</v>
      </c>
    </row>
    <row r="41" spans="2:21" ht="20.25" x14ac:dyDescent="0.25">
      <c r="B41" s="29" t="s">
        <v>23</v>
      </c>
      <c r="C41" s="14"/>
      <c r="D41" s="14"/>
      <c r="E41" s="14"/>
      <c r="F41" s="14"/>
      <c r="G41" s="14"/>
      <c r="H41" s="14"/>
      <c r="I41" s="14"/>
      <c r="J41" s="14"/>
      <c r="K41" s="13"/>
      <c r="L41" s="21"/>
      <c r="M41" s="12"/>
      <c r="N41" s="14"/>
      <c r="O41" s="12"/>
      <c r="P41" s="12"/>
      <c r="Q41" s="46"/>
      <c r="R41" s="12"/>
      <c r="S41" s="46"/>
      <c r="T41" s="14"/>
      <c r="U41" s="30">
        <f t="shared" si="1"/>
        <v>0</v>
      </c>
    </row>
    <row r="42" spans="2:21" ht="20.25" x14ac:dyDescent="0.25">
      <c r="B42" s="29" t="s">
        <v>24</v>
      </c>
      <c r="C42" s="14"/>
      <c r="D42" s="14"/>
      <c r="E42" s="12"/>
      <c r="F42" s="12"/>
      <c r="G42" s="14"/>
      <c r="H42" s="12"/>
      <c r="I42" s="14"/>
      <c r="J42" s="14"/>
      <c r="K42" s="13"/>
      <c r="L42" s="21"/>
      <c r="M42" s="14"/>
      <c r="N42" s="12"/>
      <c r="O42" s="14"/>
      <c r="P42" s="12"/>
      <c r="Q42" s="14"/>
      <c r="R42" s="14"/>
      <c r="S42" s="14"/>
      <c r="T42" s="46"/>
      <c r="U42" s="30">
        <f t="shared" si="1"/>
        <v>0</v>
      </c>
    </row>
    <row r="43" spans="2:21" ht="21" thickBot="1" x14ac:dyDescent="0.3">
      <c r="B43" s="29" t="s">
        <v>25</v>
      </c>
      <c r="C43" s="14"/>
      <c r="D43" s="14"/>
      <c r="E43" s="12"/>
      <c r="F43" s="14"/>
      <c r="G43" s="14"/>
      <c r="H43" s="14"/>
      <c r="I43" s="14"/>
      <c r="J43" s="12"/>
      <c r="K43" s="35"/>
      <c r="L43" s="32"/>
      <c r="M43" s="12"/>
      <c r="N43" s="12"/>
      <c r="O43" s="12"/>
      <c r="P43" s="14"/>
      <c r="Q43" s="14"/>
      <c r="R43" s="14"/>
      <c r="S43" s="14"/>
      <c r="T43" s="14"/>
      <c r="U43" s="30">
        <f t="shared" si="1"/>
        <v>0</v>
      </c>
    </row>
    <row r="44" spans="2:21" ht="30.75" thickBo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5">
        <f>SUM(U37:U43)</f>
        <v>0</v>
      </c>
    </row>
    <row r="45" spans="2:21" ht="20.2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</row>
    <row r="46" spans="2:21" ht="41.25" x14ac:dyDescent="0.25">
      <c r="B46" s="1"/>
      <c r="C46" s="101" t="s">
        <v>47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2"/>
    </row>
    <row r="47" spans="2:21" ht="21" thickBot="1" x14ac:dyDescent="0.3">
      <c r="B47" s="1"/>
      <c r="C47" s="122" t="s">
        <v>48</v>
      </c>
      <c r="D47" s="123"/>
      <c r="E47" s="123"/>
      <c r="F47" s="123"/>
      <c r="G47" s="123"/>
      <c r="H47" s="123"/>
      <c r="I47" s="123"/>
      <c r="J47" s="123"/>
      <c r="K47" s="124"/>
      <c r="L47" s="2"/>
      <c r="M47" s="1"/>
      <c r="N47" s="1"/>
      <c r="O47" s="1"/>
      <c r="P47" s="1"/>
      <c r="Q47" s="1"/>
      <c r="R47" s="1"/>
      <c r="S47" s="1"/>
      <c r="T47" s="1"/>
      <c r="U47" s="1"/>
    </row>
    <row r="48" spans="2:21" ht="21" thickBot="1" x14ac:dyDescent="0.3">
      <c r="B48" s="5" t="s">
        <v>9</v>
      </c>
      <c r="C48" s="8" t="s">
        <v>10</v>
      </c>
      <c r="D48" s="8" t="s">
        <v>11</v>
      </c>
      <c r="E48" s="8" t="s">
        <v>12</v>
      </c>
      <c r="F48" s="8" t="s">
        <v>13</v>
      </c>
      <c r="G48" s="8" t="s">
        <v>14</v>
      </c>
      <c r="H48" s="8" t="s">
        <v>15</v>
      </c>
      <c r="I48" s="8" t="s">
        <v>16</v>
      </c>
      <c r="J48" s="8" t="s">
        <v>17</v>
      </c>
      <c r="K48" s="9" t="s">
        <v>18</v>
      </c>
      <c r="L48" s="2"/>
      <c r="M48" s="1"/>
      <c r="N48" s="1"/>
      <c r="O48" s="1"/>
      <c r="P48" s="1"/>
      <c r="Q48" s="1"/>
      <c r="R48" s="1"/>
      <c r="S48" s="1"/>
      <c r="T48" s="1"/>
      <c r="U48" s="1"/>
    </row>
    <row r="49" spans="2:21" ht="20.25" x14ac:dyDescent="0.25">
      <c r="B49" s="29" t="s">
        <v>19</v>
      </c>
      <c r="C49" s="34"/>
      <c r="D49" s="34"/>
      <c r="E49" s="34"/>
      <c r="F49" s="34"/>
      <c r="G49" s="34"/>
      <c r="H49" s="36"/>
      <c r="I49" s="36"/>
      <c r="J49" s="36"/>
      <c r="K49" s="36"/>
      <c r="L49" s="30">
        <f t="shared" ref="L49:L54" si="2">SUM(C49:K49)</f>
        <v>0</v>
      </c>
      <c r="M49" s="1"/>
      <c r="N49" s="1"/>
      <c r="O49" s="1"/>
      <c r="P49" s="1"/>
      <c r="Q49" s="1"/>
      <c r="R49" s="1"/>
      <c r="S49" s="1"/>
      <c r="T49" s="1"/>
      <c r="U49" s="1"/>
    </row>
    <row r="50" spans="2:21" ht="20.25" x14ac:dyDescent="0.25">
      <c r="B50" s="29" t="s">
        <v>20</v>
      </c>
      <c r="C50" s="14"/>
      <c r="D50" s="14"/>
      <c r="E50" s="12"/>
      <c r="F50" s="14"/>
      <c r="G50" s="14"/>
      <c r="H50" s="12"/>
      <c r="I50" s="12"/>
      <c r="J50" s="12"/>
      <c r="K50" s="12"/>
      <c r="L50" s="30">
        <f t="shared" si="2"/>
        <v>0</v>
      </c>
      <c r="M50" s="1"/>
      <c r="N50" s="1"/>
      <c r="O50" s="1"/>
      <c r="P50" s="1"/>
      <c r="Q50" s="1"/>
      <c r="R50" s="1"/>
      <c r="S50" s="1"/>
      <c r="T50" s="1"/>
      <c r="U50" s="1"/>
    </row>
    <row r="51" spans="2:21" ht="20.25" x14ac:dyDescent="0.25">
      <c r="B51" s="29" t="s">
        <v>46</v>
      </c>
      <c r="C51" s="14"/>
      <c r="D51" s="14"/>
      <c r="E51" s="14"/>
      <c r="F51" s="14"/>
      <c r="G51" s="14"/>
      <c r="H51" s="14"/>
      <c r="I51" s="14"/>
      <c r="J51" s="14"/>
      <c r="K51" s="12"/>
      <c r="L51" s="30">
        <f t="shared" si="2"/>
        <v>0</v>
      </c>
      <c r="M51" s="1"/>
      <c r="N51" s="1"/>
      <c r="O51" s="1"/>
      <c r="P51" s="1"/>
      <c r="Q51" s="1"/>
      <c r="R51" s="1"/>
      <c r="S51" s="1"/>
      <c r="T51" s="1"/>
      <c r="U51" s="1"/>
    </row>
    <row r="52" spans="2:21" ht="20.25" x14ac:dyDescent="0.25">
      <c r="B52" s="29" t="s">
        <v>23</v>
      </c>
      <c r="C52" s="14"/>
      <c r="D52" s="14"/>
      <c r="E52" s="14"/>
      <c r="F52" s="14"/>
      <c r="G52" s="14"/>
      <c r="H52" s="14"/>
      <c r="I52" s="14"/>
      <c r="J52" s="14"/>
      <c r="K52" s="14"/>
      <c r="L52" s="30">
        <f t="shared" si="2"/>
        <v>0</v>
      </c>
      <c r="M52" s="1"/>
      <c r="N52" s="1"/>
      <c r="O52" s="1"/>
      <c r="P52" s="1"/>
      <c r="Q52" s="1"/>
      <c r="R52" s="1"/>
      <c r="S52" s="1"/>
      <c r="T52" s="1"/>
      <c r="U52" s="1"/>
    </row>
    <row r="53" spans="2:21" ht="20.25" x14ac:dyDescent="0.25">
      <c r="B53" s="29" t="s">
        <v>24</v>
      </c>
      <c r="C53" s="12"/>
      <c r="D53" s="12"/>
      <c r="E53" s="37"/>
      <c r="F53" s="12"/>
      <c r="G53" s="12"/>
      <c r="H53" s="14"/>
      <c r="I53" s="14"/>
      <c r="J53" s="14"/>
      <c r="K53" s="14"/>
      <c r="L53" s="30">
        <f t="shared" si="2"/>
        <v>0</v>
      </c>
      <c r="M53" s="1"/>
      <c r="N53" s="1"/>
      <c r="O53" s="1"/>
      <c r="P53" s="1"/>
      <c r="Q53" s="1"/>
      <c r="R53" s="1"/>
      <c r="S53" s="26"/>
      <c r="T53" s="1"/>
      <c r="U53" s="1"/>
    </row>
    <row r="54" spans="2:21" ht="20.25" x14ac:dyDescent="0.25">
      <c r="B54" s="29" t="s">
        <v>25</v>
      </c>
      <c r="C54" s="14"/>
      <c r="D54" s="14"/>
      <c r="E54" s="14"/>
      <c r="F54" s="14"/>
      <c r="G54" s="12"/>
      <c r="H54" s="12"/>
      <c r="I54" s="12"/>
      <c r="J54" s="12"/>
      <c r="K54" s="14"/>
      <c r="L54" s="33">
        <f t="shared" si="2"/>
        <v>0</v>
      </c>
      <c r="M54" s="1"/>
      <c r="N54" s="1"/>
      <c r="O54" s="1"/>
      <c r="P54" s="1"/>
      <c r="Q54" s="1"/>
      <c r="R54" s="1"/>
      <c r="S54" s="1"/>
      <c r="T54" s="1"/>
      <c r="U54" s="1"/>
    </row>
    <row r="55" spans="2:21" ht="30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05">
        <f>SUM(L49:L54)</f>
        <v>0</v>
      </c>
      <c r="M55" s="105"/>
      <c r="N55" s="1"/>
      <c r="O55" s="1"/>
      <c r="P55" s="1"/>
      <c r="Q55" s="1"/>
      <c r="R55" s="1"/>
      <c r="S55" s="1"/>
      <c r="T55" s="1"/>
      <c r="U55" s="1"/>
    </row>
    <row r="56" spans="2:21" ht="20.2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</row>
    <row r="57" spans="2:21" ht="20.2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</row>
    <row r="58" spans="2:21" ht="20.2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</row>
    <row r="59" spans="2: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</sheetData>
  <mergeCells count="10">
    <mergeCell ref="E1:S2"/>
    <mergeCell ref="C46:T46"/>
    <mergeCell ref="C47:K47"/>
    <mergeCell ref="L55:M55"/>
    <mergeCell ref="C4:T4"/>
    <mergeCell ref="C5:K5"/>
    <mergeCell ref="L5:T5"/>
    <mergeCell ref="C34:T34"/>
    <mergeCell ref="C35:K35"/>
    <mergeCell ref="L35:T35"/>
  </mergeCell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E558-3FC5-4E5A-A77D-D46DCBF2A828}">
  <sheetPr>
    <pageSetUpPr fitToPage="1"/>
  </sheetPr>
  <dimension ref="B1:U55"/>
  <sheetViews>
    <sheetView topLeftCell="A29" workbookViewId="0">
      <selection sqref="A1:V55"/>
    </sheetView>
  </sheetViews>
  <sheetFormatPr baseColWidth="10" defaultRowHeight="15" x14ac:dyDescent="0.25"/>
  <cols>
    <col min="2" max="2" width="21.85546875" customWidth="1"/>
  </cols>
  <sheetData>
    <row r="1" spans="2:21" x14ac:dyDescent="0.25">
      <c r="E1" s="121" t="s">
        <v>59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2:21" x14ac:dyDescent="0.25"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1" ht="21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1</v>
      </c>
      <c r="P3" s="1"/>
      <c r="Q3" s="1"/>
      <c r="R3" s="1"/>
      <c r="S3" s="1"/>
      <c r="T3" s="1"/>
      <c r="U3" s="3"/>
    </row>
    <row r="4" spans="2:21" ht="42" thickBot="1" x14ac:dyDescent="0.3">
      <c r="B4" s="1"/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2"/>
    </row>
    <row r="5" spans="2:21" ht="21" thickBot="1" x14ac:dyDescent="0.3">
      <c r="B5" s="1"/>
      <c r="C5" s="95" t="s">
        <v>3</v>
      </c>
      <c r="D5" s="96"/>
      <c r="E5" s="96"/>
      <c r="F5" s="96"/>
      <c r="G5" s="96"/>
      <c r="H5" s="96"/>
      <c r="I5" s="96"/>
      <c r="J5" s="96"/>
      <c r="K5" s="97"/>
      <c r="L5" s="98" t="s">
        <v>4</v>
      </c>
      <c r="M5" s="99"/>
      <c r="N5" s="99"/>
      <c r="O5" s="99"/>
      <c r="P5" s="99"/>
      <c r="Q5" s="99"/>
      <c r="R5" s="99"/>
      <c r="S5" s="99"/>
      <c r="T5" s="100"/>
      <c r="U5" s="2"/>
    </row>
    <row r="6" spans="2:21" ht="21" thickBot="1" x14ac:dyDescent="0.3">
      <c r="B6" s="5" t="s">
        <v>9</v>
      </c>
      <c r="C6" s="6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18</v>
      </c>
      <c r="U6" s="2"/>
    </row>
    <row r="7" spans="2:21" ht="20.25" x14ac:dyDescent="0.25">
      <c r="B7" s="10" t="s">
        <v>19</v>
      </c>
      <c r="C7" s="36"/>
      <c r="D7" s="34"/>
      <c r="E7" s="36"/>
      <c r="F7" s="36"/>
      <c r="G7" s="34"/>
      <c r="H7" s="34"/>
      <c r="I7" s="34"/>
      <c r="J7" s="34"/>
      <c r="K7" s="40"/>
      <c r="L7" s="36"/>
      <c r="M7" s="41"/>
      <c r="N7" s="41"/>
      <c r="O7" s="41"/>
      <c r="P7" s="38"/>
      <c r="Q7" s="41"/>
      <c r="R7" s="41"/>
      <c r="S7" s="38"/>
      <c r="T7" s="39">
        <v>2</v>
      </c>
      <c r="U7" s="11">
        <f>SUM(C7:T7)</f>
        <v>2</v>
      </c>
    </row>
    <row r="8" spans="2:21" ht="20.25" x14ac:dyDescent="0.25">
      <c r="B8" s="10" t="s">
        <v>20</v>
      </c>
      <c r="C8" s="12"/>
      <c r="D8" s="12"/>
      <c r="E8" s="12"/>
      <c r="F8" s="14"/>
      <c r="G8" s="12"/>
      <c r="H8" s="14"/>
      <c r="I8" s="12"/>
      <c r="J8" s="12"/>
      <c r="K8" s="13"/>
      <c r="L8" s="12"/>
      <c r="M8" s="14"/>
      <c r="N8" s="42"/>
      <c r="O8" s="14"/>
      <c r="P8" s="14"/>
      <c r="Q8" s="14"/>
      <c r="R8" s="12"/>
      <c r="S8" s="12"/>
      <c r="T8" s="15">
        <v>2</v>
      </c>
      <c r="U8" s="11">
        <f t="shared" ref="U8:U26" si="0">SUM(C8:T8)</f>
        <v>2</v>
      </c>
    </row>
    <row r="9" spans="2:21" ht="20.25" x14ac:dyDescent="0.25">
      <c r="B9" s="10" t="s">
        <v>21</v>
      </c>
      <c r="C9" s="14"/>
      <c r="D9" s="14"/>
      <c r="E9" s="12"/>
      <c r="F9" s="14"/>
      <c r="G9" s="14"/>
      <c r="H9" s="14"/>
      <c r="I9" s="14"/>
      <c r="J9" s="14"/>
      <c r="K9" s="13"/>
      <c r="L9" s="14">
        <v>5</v>
      </c>
      <c r="M9" s="14"/>
      <c r="N9" s="14"/>
      <c r="O9" s="14"/>
      <c r="P9" s="14"/>
      <c r="Q9" s="14"/>
      <c r="R9" s="14"/>
      <c r="S9" s="12"/>
      <c r="T9" s="43"/>
      <c r="U9" s="11">
        <f t="shared" si="0"/>
        <v>5</v>
      </c>
    </row>
    <row r="10" spans="2:21" ht="20.25" x14ac:dyDescent="0.25">
      <c r="B10" s="10" t="s">
        <v>22</v>
      </c>
      <c r="C10" s="14"/>
      <c r="D10" s="14"/>
      <c r="E10" s="12"/>
      <c r="F10" s="12"/>
      <c r="G10" s="14"/>
      <c r="H10" s="14"/>
      <c r="I10" s="14"/>
      <c r="J10" s="14"/>
      <c r="K10" s="13"/>
      <c r="L10" s="14"/>
      <c r="M10" s="14">
        <v>5</v>
      </c>
      <c r="N10" s="14"/>
      <c r="O10" s="14"/>
      <c r="P10" s="12">
        <v>5</v>
      </c>
      <c r="Q10" s="12">
        <v>3</v>
      </c>
      <c r="R10" s="12"/>
      <c r="S10" s="12"/>
      <c r="T10" s="15"/>
      <c r="U10" s="11">
        <f>SUM(C10:T10)</f>
        <v>13</v>
      </c>
    </row>
    <row r="11" spans="2:21" ht="20.25" x14ac:dyDescent="0.25">
      <c r="B11" s="10" t="s">
        <v>23</v>
      </c>
      <c r="C11" s="12"/>
      <c r="D11" s="12"/>
      <c r="E11" s="12"/>
      <c r="F11" s="14"/>
      <c r="G11" s="14"/>
      <c r="H11" s="14"/>
      <c r="I11" s="14"/>
      <c r="J11" s="14"/>
      <c r="K11" s="13"/>
      <c r="L11" s="12"/>
      <c r="M11" s="12"/>
      <c r="N11" s="12"/>
      <c r="O11" s="14"/>
      <c r="P11" s="12"/>
      <c r="Q11" s="14"/>
      <c r="R11" s="14"/>
      <c r="S11" s="14"/>
      <c r="T11" s="44"/>
      <c r="U11" s="11">
        <f t="shared" si="0"/>
        <v>0</v>
      </c>
    </row>
    <row r="12" spans="2:21" ht="20.25" x14ac:dyDescent="0.25">
      <c r="B12" s="10" t="s">
        <v>24</v>
      </c>
      <c r="C12" s="12"/>
      <c r="D12" s="12"/>
      <c r="E12" s="12"/>
      <c r="F12" s="14"/>
      <c r="G12" s="12"/>
      <c r="H12" s="12"/>
      <c r="I12" s="14"/>
      <c r="J12" s="12"/>
      <c r="K12" s="35"/>
      <c r="L12" s="12"/>
      <c r="M12" s="14"/>
      <c r="N12" s="14"/>
      <c r="O12" s="14"/>
      <c r="P12" s="14"/>
      <c r="Q12" s="14"/>
      <c r="R12" s="14"/>
      <c r="S12" s="14"/>
      <c r="T12" s="43"/>
      <c r="U12" s="11">
        <f t="shared" si="0"/>
        <v>0</v>
      </c>
    </row>
    <row r="13" spans="2:21" ht="20.25" x14ac:dyDescent="0.25">
      <c r="B13" s="10" t="s">
        <v>25</v>
      </c>
      <c r="C13" s="14"/>
      <c r="D13" s="12"/>
      <c r="E13" s="12">
        <v>5</v>
      </c>
      <c r="F13" s="14">
        <v>3</v>
      </c>
      <c r="G13" s="14"/>
      <c r="H13" s="14"/>
      <c r="I13" s="14"/>
      <c r="J13" s="14"/>
      <c r="K13" s="13"/>
      <c r="L13" s="14"/>
      <c r="M13" s="12"/>
      <c r="N13" s="14">
        <v>5</v>
      </c>
      <c r="O13" s="14"/>
      <c r="P13" s="14"/>
      <c r="Q13" s="14"/>
      <c r="R13" s="14"/>
      <c r="S13" s="14"/>
      <c r="T13" s="43"/>
      <c r="U13" s="11">
        <f t="shared" si="0"/>
        <v>13</v>
      </c>
    </row>
    <row r="14" spans="2:21" ht="20.25" x14ac:dyDescent="0.25">
      <c r="B14" s="10" t="s">
        <v>26</v>
      </c>
      <c r="C14" s="14"/>
      <c r="D14" s="14"/>
      <c r="E14" s="14"/>
      <c r="F14" s="14"/>
      <c r="G14" s="14"/>
      <c r="H14" s="14"/>
      <c r="I14" s="14"/>
      <c r="J14" s="14"/>
      <c r="K14" s="35"/>
      <c r="L14" s="14"/>
      <c r="M14" s="14"/>
      <c r="N14" s="14"/>
      <c r="O14" s="14"/>
      <c r="P14" s="14"/>
      <c r="Q14" s="14"/>
      <c r="R14" s="14"/>
      <c r="S14" s="14"/>
      <c r="T14" s="15"/>
      <c r="U14" s="11">
        <f t="shared" si="0"/>
        <v>0</v>
      </c>
    </row>
    <row r="15" spans="2:21" ht="20.25" x14ac:dyDescent="0.25">
      <c r="B15" s="10" t="s">
        <v>27</v>
      </c>
      <c r="C15" s="14"/>
      <c r="D15" s="14"/>
      <c r="E15" s="14">
        <v>5</v>
      </c>
      <c r="F15" s="14"/>
      <c r="G15" s="14"/>
      <c r="H15" s="14"/>
      <c r="I15" s="14"/>
      <c r="J15" s="14"/>
      <c r="K15" s="35"/>
      <c r="L15" s="14">
        <v>5</v>
      </c>
      <c r="M15" s="14"/>
      <c r="N15" s="14"/>
      <c r="O15" s="14"/>
      <c r="P15" s="14"/>
      <c r="Q15" s="14"/>
      <c r="R15" s="14"/>
      <c r="S15" s="14"/>
      <c r="T15" s="43"/>
      <c r="U15" s="11">
        <f t="shared" si="0"/>
        <v>10</v>
      </c>
    </row>
    <row r="16" spans="2:21" ht="20.25" x14ac:dyDescent="0.25">
      <c r="B16" s="10" t="s">
        <v>28</v>
      </c>
      <c r="C16" s="14"/>
      <c r="D16" s="14"/>
      <c r="E16" s="14"/>
      <c r="F16" s="14"/>
      <c r="G16" s="14"/>
      <c r="H16" s="14"/>
      <c r="I16" s="14"/>
      <c r="J16" s="14"/>
      <c r="K16" s="13"/>
      <c r="L16" s="14"/>
      <c r="M16" s="14"/>
      <c r="N16" s="14"/>
      <c r="O16" s="14"/>
      <c r="P16" s="14"/>
      <c r="Q16" s="14"/>
      <c r="R16" s="14"/>
      <c r="S16" s="14">
        <v>2</v>
      </c>
      <c r="T16" s="43"/>
      <c r="U16" s="11">
        <f t="shared" si="0"/>
        <v>2</v>
      </c>
    </row>
    <row r="17" spans="2:21" ht="20.25" x14ac:dyDescent="0.25">
      <c r="B17" s="10" t="s">
        <v>29</v>
      </c>
      <c r="C17" s="14"/>
      <c r="D17" s="14"/>
      <c r="E17" s="14"/>
      <c r="F17" s="12"/>
      <c r="G17" s="14"/>
      <c r="H17" s="14"/>
      <c r="I17" s="14"/>
      <c r="J17" s="14"/>
      <c r="K17" s="13"/>
      <c r="L17" s="14"/>
      <c r="M17" s="14"/>
      <c r="N17" s="14"/>
      <c r="O17" s="14"/>
      <c r="P17" s="14"/>
      <c r="Q17" s="14"/>
      <c r="R17" s="14"/>
      <c r="S17" s="14"/>
      <c r="T17" s="43"/>
      <c r="U17" s="11">
        <f t="shared" si="0"/>
        <v>0</v>
      </c>
    </row>
    <row r="18" spans="2:21" ht="20.25" x14ac:dyDescent="0.25">
      <c r="B18" s="10" t="s">
        <v>30</v>
      </c>
      <c r="C18" s="14"/>
      <c r="D18" s="14"/>
      <c r="E18" s="12"/>
      <c r="F18" s="14"/>
      <c r="G18" s="14"/>
      <c r="H18" s="14"/>
      <c r="I18" s="14"/>
      <c r="J18" s="14"/>
      <c r="K18" s="13"/>
      <c r="L18" s="14"/>
      <c r="M18" s="14"/>
      <c r="N18" s="14"/>
      <c r="O18" s="14"/>
      <c r="P18" s="14"/>
      <c r="Q18" s="14"/>
      <c r="R18" s="14"/>
      <c r="S18" s="14"/>
      <c r="T18" s="43"/>
      <c r="U18" s="11">
        <f>SUM(C18:T18)</f>
        <v>0</v>
      </c>
    </row>
    <row r="19" spans="2:21" ht="20.25" x14ac:dyDescent="0.25">
      <c r="B19" s="10" t="s">
        <v>31</v>
      </c>
      <c r="C19" s="14"/>
      <c r="D19" s="14"/>
      <c r="E19" s="14"/>
      <c r="F19" s="14"/>
      <c r="G19" s="14"/>
      <c r="H19" s="14"/>
      <c r="I19" s="14"/>
      <c r="J19" s="14"/>
      <c r="K19" s="13"/>
      <c r="L19" s="14">
        <v>5</v>
      </c>
      <c r="M19" s="14">
        <v>5</v>
      </c>
      <c r="N19" s="14">
        <v>5</v>
      </c>
      <c r="O19" s="14"/>
      <c r="P19" s="14"/>
      <c r="Q19" s="14"/>
      <c r="R19" s="14"/>
      <c r="S19" s="14"/>
      <c r="T19" s="43"/>
      <c r="U19" s="11">
        <f t="shared" si="0"/>
        <v>15</v>
      </c>
    </row>
    <row r="20" spans="2:21" ht="20.25" x14ac:dyDescent="0.25">
      <c r="B20" s="10" t="s">
        <v>32</v>
      </c>
      <c r="C20" s="14">
        <v>5</v>
      </c>
      <c r="D20" s="14"/>
      <c r="E20" s="14"/>
      <c r="F20" s="14"/>
      <c r="G20" s="14"/>
      <c r="H20" s="14"/>
      <c r="I20" s="14"/>
      <c r="J20" s="14"/>
      <c r="K20" s="13"/>
      <c r="L20" s="14"/>
      <c r="M20" s="14"/>
      <c r="N20" s="14"/>
      <c r="O20" s="14"/>
      <c r="P20" s="14"/>
      <c r="Q20" s="14"/>
      <c r="R20" s="14"/>
      <c r="S20" s="14"/>
      <c r="T20" s="45"/>
      <c r="U20" s="11">
        <f t="shared" si="0"/>
        <v>5</v>
      </c>
    </row>
    <row r="21" spans="2:21" ht="20.25" x14ac:dyDescent="0.25">
      <c r="B21" s="10" t="s">
        <v>33</v>
      </c>
      <c r="C21" s="14"/>
      <c r="D21" s="14"/>
      <c r="E21" s="14">
        <v>5</v>
      </c>
      <c r="F21" s="14"/>
      <c r="G21" s="14"/>
      <c r="H21" s="12"/>
      <c r="I21" s="12"/>
      <c r="J21" s="12"/>
      <c r="K21" s="35"/>
      <c r="L21" s="14"/>
      <c r="M21" s="14"/>
      <c r="N21" s="14"/>
      <c r="O21" s="14"/>
      <c r="P21" s="14"/>
      <c r="Q21" s="14"/>
      <c r="R21" s="14"/>
      <c r="S21" s="12"/>
      <c r="T21" s="15"/>
      <c r="U21" s="11">
        <f t="shared" si="0"/>
        <v>5</v>
      </c>
    </row>
    <row r="22" spans="2:21" ht="20.25" x14ac:dyDescent="0.25">
      <c r="B22" s="10" t="s">
        <v>34</v>
      </c>
      <c r="C22" s="14"/>
      <c r="D22" s="14"/>
      <c r="E22" s="14"/>
      <c r="F22" s="14"/>
      <c r="G22" s="14"/>
      <c r="H22" s="14"/>
      <c r="I22" s="14"/>
      <c r="J22" s="46"/>
      <c r="K22" s="13"/>
      <c r="L22" s="14"/>
      <c r="M22" s="14"/>
      <c r="N22" s="14"/>
      <c r="O22" s="14"/>
      <c r="P22" s="14"/>
      <c r="Q22" s="12"/>
      <c r="R22" s="12"/>
      <c r="S22" s="12"/>
      <c r="T22" s="15"/>
      <c r="U22" s="11">
        <f t="shared" si="0"/>
        <v>0</v>
      </c>
    </row>
    <row r="23" spans="2:21" ht="20.25" x14ac:dyDescent="0.25">
      <c r="B23" s="10" t="s">
        <v>35</v>
      </c>
      <c r="C23" s="14"/>
      <c r="D23" s="14"/>
      <c r="E23" s="14"/>
      <c r="F23" s="14"/>
      <c r="G23" s="14"/>
      <c r="H23" s="14"/>
      <c r="I23" s="14"/>
      <c r="J23" s="14"/>
      <c r="K23" s="13"/>
      <c r="L23" s="14">
        <v>5</v>
      </c>
      <c r="M23" s="14"/>
      <c r="N23" s="14"/>
      <c r="O23" s="14"/>
      <c r="P23" s="14"/>
      <c r="Q23" s="14"/>
      <c r="R23" s="14"/>
      <c r="S23" s="46"/>
      <c r="T23" s="43"/>
      <c r="U23" s="11">
        <f t="shared" si="0"/>
        <v>5</v>
      </c>
    </row>
    <row r="24" spans="2:21" ht="20.25" x14ac:dyDescent="0.25">
      <c r="B24" s="10" t="s">
        <v>36</v>
      </c>
      <c r="C24" s="14"/>
      <c r="D24" s="14"/>
      <c r="E24" s="14"/>
      <c r="F24" s="14"/>
      <c r="G24" s="14"/>
      <c r="H24" s="14"/>
      <c r="I24" s="14"/>
      <c r="J24" s="14"/>
      <c r="K24" s="13"/>
      <c r="L24" s="14"/>
      <c r="M24" s="14"/>
      <c r="N24" s="14"/>
      <c r="O24" s="14"/>
      <c r="P24" s="14"/>
      <c r="Q24" s="14"/>
      <c r="R24" s="14"/>
      <c r="S24" s="14"/>
      <c r="T24" s="43"/>
      <c r="U24" s="11">
        <f t="shared" si="0"/>
        <v>0</v>
      </c>
    </row>
    <row r="25" spans="2:21" ht="20.25" x14ac:dyDescent="0.25">
      <c r="B25" s="10" t="s">
        <v>37</v>
      </c>
      <c r="C25" s="14"/>
      <c r="D25" s="14"/>
      <c r="E25" s="14"/>
      <c r="F25" s="14"/>
      <c r="G25" s="14"/>
      <c r="H25" s="14"/>
      <c r="I25" s="14"/>
      <c r="J25" s="14"/>
      <c r="K25" s="47"/>
      <c r="L25" s="14"/>
      <c r="M25" s="12"/>
      <c r="N25" s="12"/>
      <c r="O25" s="12"/>
      <c r="P25" s="14"/>
      <c r="Q25" s="14"/>
      <c r="R25" s="14"/>
      <c r="S25" s="14"/>
      <c r="T25" s="43"/>
      <c r="U25" s="11">
        <f t="shared" si="0"/>
        <v>0</v>
      </c>
    </row>
    <row r="26" spans="2:21" ht="20.25" x14ac:dyDescent="0.25">
      <c r="B26" s="10" t="s">
        <v>38</v>
      </c>
      <c r="C26" s="12"/>
      <c r="D26" s="12"/>
      <c r="E26" s="12"/>
      <c r="F26" s="46"/>
      <c r="G26" s="12">
        <v>5</v>
      </c>
      <c r="H26" s="46"/>
      <c r="I26" s="14"/>
      <c r="J26" s="12"/>
      <c r="K26" s="13"/>
      <c r="L26" s="12">
        <v>5</v>
      </c>
      <c r="M26" s="14"/>
      <c r="N26" s="14"/>
      <c r="O26" s="14"/>
      <c r="P26" s="14"/>
      <c r="Q26" s="14"/>
      <c r="R26" s="14"/>
      <c r="S26" s="14"/>
      <c r="T26" s="35"/>
      <c r="U26" s="17">
        <f t="shared" si="0"/>
        <v>10</v>
      </c>
    </row>
    <row r="27" spans="2:21" ht="20.25" x14ac:dyDescent="0.25">
      <c r="B27" s="18" t="s">
        <v>39</v>
      </c>
      <c r="C27" s="20"/>
      <c r="D27" s="19"/>
      <c r="E27" s="20"/>
      <c r="F27" s="20"/>
      <c r="G27" s="19"/>
      <c r="H27" s="20"/>
      <c r="I27" s="20"/>
      <c r="J27" s="19"/>
      <c r="K27" s="48"/>
      <c r="L27" s="20"/>
      <c r="M27" s="12"/>
      <c r="N27" s="14"/>
      <c r="O27" s="14">
        <v>5</v>
      </c>
      <c r="P27" s="14"/>
      <c r="Q27" s="14"/>
      <c r="R27" s="14"/>
      <c r="S27" s="12"/>
      <c r="T27" s="13"/>
      <c r="U27" s="17">
        <f>SUM(C27:T27)</f>
        <v>5</v>
      </c>
    </row>
    <row r="28" spans="2:21" ht="20.25" x14ac:dyDescent="0.25">
      <c r="B28" s="18" t="s">
        <v>40</v>
      </c>
      <c r="C28" s="20"/>
      <c r="D28" s="20"/>
      <c r="E28" s="20"/>
      <c r="F28" s="20"/>
      <c r="G28" s="20"/>
      <c r="H28" s="20"/>
      <c r="I28" s="19"/>
      <c r="J28" s="19"/>
      <c r="K28" s="48"/>
      <c r="L28" s="21"/>
      <c r="M28" s="14"/>
      <c r="N28" s="14"/>
      <c r="O28" s="14"/>
      <c r="P28" s="14"/>
      <c r="Q28" s="14"/>
      <c r="R28" s="14"/>
      <c r="S28" s="14"/>
      <c r="T28" s="13"/>
      <c r="U28" s="17">
        <f>SUM(C28:T28)</f>
        <v>0</v>
      </c>
    </row>
    <row r="29" spans="2:21" ht="20.25" x14ac:dyDescent="0.25">
      <c r="B29" s="18" t="s">
        <v>41</v>
      </c>
      <c r="C29" s="49"/>
      <c r="D29" s="20"/>
      <c r="E29" s="20"/>
      <c r="F29" s="20"/>
      <c r="G29" s="20"/>
      <c r="H29" s="49"/>
      <c r="I29" s="20"/>
      <c r="J29" s="20"/>
      <c r="K29" s="50"/>
      <c r="L29" s="21"/>
      <c r="M29" s="14"/>
      <c r="N29" s="14"/>
      <c r="O29" s="14"/>
      <c r="P29" s="14"/>
      <c r="Q29" s="14"/>
      <c r="R29" s="14"/>
      <c r="S29" s="14"/>
      <c r="T29" s="13"/>
      <c r="U29" s="17">
        <f>SUM(C29:T29)</f>
        <v>0</v>
      </c>
    </row>
    <row r="30" spans="2:21" ht="20.25" x14ac:dyDescent="0.25">
      <c r="B30" s="18" t="s">
        <v>43</v>
      </c>
      <c r="C30" s="20">
        <v>5</v>
      </c>
      <c r="D30" s="20"/>
      <c r="E30" s="20"/>
      <c r="F30" s="20"/>
      <c r="G30" s="20"/>
      <c r="H30" s="20"/>
      <c r="I30" s="20"/>
      <c r="J30" s="20"/>
      <c r="K30" s="50"/>
      <c r="L30" s="14"/>
      <c r="M30" s="14"/>
      <c r="N30" s="14"/>
      <c r="O30" s="14"/>
      <c r="P30" s="14"/>
      <c r="Q30" s="14"/>
      <c r="R30" s="14"/>
      <c r="S30" s="14"/>
      <c r="T30" s="51"/>
      <c r="U30" s="11">
        <f>SUM(C30:T30)</f>
        <v>5</v>
      </c>
    </row>
    <row r="31" spans="2:21" ht="21" thickBot="1" x14ac:dyDescent="0.3">
      <c r="B31" s="18" t="s">
        <v>42</v>
      </c>
      <c r="C31" s="52"/>
      <c r="D31" s="20"/>
      <c r="E31" s="20"/>
      <c r="F31" s="52"/>
      <c r="G31" s="52"/>
      <c r="H31" s="52"/>
      <c r="I31" s="20"/>
      <c r="J31" s="20"/>
      <c r="K31" s="53"/>
      <c r="L31" s="54"/>
      <c r="M31" s="55"/>
      <c r="N31" s="55"/>
      <c r="O31" s="55"/>
      <c r="P31" s="55"/>
      <c r="Q31" s="55"/>
      <c r="R31" s="55"/>
      <c r="S31" s="55"/>
      <c r="T31" s="56"/>
      <c r="U31" s="22">
        <f>SUM(C31:T31)</f>
        <v>0</v>
      </c>
    </row>
    <row r="32" spans="2:21" ht="30.75" thickBot="1" x14ac:dyDescent="0.3">
      <c r="B32" s="24"/>
      <c r="C32" s="1"/>
      <c r="D32" s="24"/>
      <c r="E32" s="24"/>
      <c r="F32" s="1"/>
      <c r="G32" s="1"/>
      <c r="H32" s="1"/>
      <c r="I32" s="24"/>
      <c r="J32" s="24"/>
      <c r="K32" s="1"/>
      <c r="L32" s="1"/>
      <c r="M32" s="1" t="s">
        <v>1</v>
      </c>
      <c r="N32" s="1"/>
      <c r="O32" s="1"/>
      <c r="P32" s="1"/>
      <c r="Q32" s="1"/>
      <c r="R32" s="1"/>
      <c r="S32" s="1"/>
      <c r="T32" s="1"/>
      <c r="U32" s="25">
        <f>SUM(U7:U31)</f>
        <v>97</v>
      </c>
    </row>
    <row r="33" spans="2:21" ht="21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</row>
    <row r="34" spans="2:21" ht="42" thickBot="1" x14ac:dyDescent="0.3">
      <c r="B34" s="1"/>
      <c r="C34" s="106" t="s">
        <v>45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  <c r="U34" s="2"/>
    </row>
    <row r="35" spans="2:21" ht="21" thickBot="1" x14ac:dyDescent="0.3">
      <c r="B35" s="1"/>
      <c r="C35" s="95" t="s">
        <v>3</v>
      </c>
      <c r="D35" s="96"/>
      <c r="E35" s="96"/>
      <c r="F35" s="96"/>
      <c r="G35" s="96"/>
      <c r="H35" s="96"/>
      <c r="I35" s="96"/>
      <c r="J35" s="96"/>
      <c r="K35" s="97"/>
      <c r="L35" s="98" t="s">
        <v>4</v>
      </c>
      <c r="M35" s="99"/>
      <c r="N35" s="99"/>
      <c r="O35" s="99"/>
      <c r="P35" s="99"/>
      <c r="Q35" s="99"/>
      <c r="R35" s="99"/>
      <c r="S35" s="99"/>
      <c r="T35" s="100"/>
      <c r="U35" s="2"/>
    </row>
    <row r="36" spans="2:21" ht="21" thickBot="1" x14ac:dyDescent="0.3">
      <c r="B36" s="5" t="s">
        <v>9</v>
      </c>
      <c r="C36" s="6" t="s">
        <v>10</v>
      </c>
      <c r="D36" s="7" t="s">
        <v>11</v>
      </c>
      <c r="E36" s="7" t="s">
        <v>12</v>
      </c>
      <c r="F36" s="7" t="s">
        <v>13</v>
      </c>
      <c r="G36" s="7" t="s">
        <v>14</v>
      </c>
      <c r="H36" s="7" t="s">
        <v>15</v>
      </c>
      <c r="I36" s="7" t="s">
        <v>16</v>
      </c>
      <c r="J36" s="7" t="s">
        <v>17</v>
      </c>
      <c r="K36" s="27" t="s">
        <v>18</v>
      </c>
      <c r="L36" s="28" t="s">
        <v>10</v>
      </c>
      <c r="M36" s="8" t="s">
        <v>11</v>
      </c>
      <c r="N36" s="8" t="s">
        <v>12</v>
      </c>
      <c r="O36" s="8" t="s">
        <v>13</v>
      </c>
      <c r="P36" s="8" t="s">
        <v>14</v>
      </c>
      <c r="Q36" s="8" t="s">
        <v>15</v>
      </c>
      <c r="R36" s="8" t="s">
        <v>16</v>
      </c>
      <c r="S36" s="8" t="s">
        <v>17</v>
      </c>
      <c r="T36" s="9" t="s">
        <v>18</v>
      </c>
      <c r="U36" s="2"/>
    </row>
    <row r="37" spans="2:21" ht="20.25" x14ac:dyDescent="0.25">
      <c r="B37" s="29" t="s">
        <v>19</v>
      </c>
      <c r="C37" s="34"/>
      <c r="D37" s="36"/>
      <c r="E37" s="34"/>
      <c r="F37" s="34"/>
      <c r="G37" s="34"/>
      <c r="H37" s="34"/>
      <c r="I37" s="34"/>
      <c r="J37" s="34"/>
      <c r="K37" s="40"/>
      <c r="L37" s="57"/>
      <c r="M37" s="34"/>
      <c r="N37" s="34"/>
      <c r="O37" s="12"/>
      <c r="P37" s="12"/>
      <c r="Q37" s="12"/>
      <c r="R37" s="12"/>
      <c r="S37" s="12"/>
      <c r="T37" s="12"/>
      <c r="U37" s="30">
        <f t="shared" ref="U37:U43" si="1">SUM(C37:T37)</f>
        <v>0</v>
      </c>
    </row>
    <row r="38" spans="2:21" ht="20.25" x14ac:dyDescent="0.25">
      <c r="B38" s="29" t="s">
        <v>20</v>
      </c>
      <c r="C38" s="12"/>
      <c r="D38" s="12"/>
      <c r="E38" s="12">
        <v>2</v>
      </c>
      <c r="F38" s="12">
        <v>2</v>
      </c>
      <c r="G38" s="12">
        <v>2</v>
      </c>
      <c r="H38" s="12"/>
      <c r="I38" s="12"/>
      <c r="J38" s="12"/>
      <c r="K38" s="35"/>
      <c r="L38" s="32"/>
      <c r="M38" s="14"/>
      <c r="N38" s="12">
        <v>2</v>
      </c>
      <c r="O38" s="12">
        <v>2</v>
      </c>
      <c r="P38" s="12">
        <v>2</v>
      </c>
      <c r="Q38" s="12"/>
      <c r="R38" s="12"/>
      <c r="S38" s="12"/>
      <c r="T38" s="12"/>
      <c r="U38" s="31">
        <f t="shared" si="1"/>
        <v>12</v>
      </c>
    </row>
    <row r="39" spans="2:21" ht="20.25" x14ac:dyDescent="0.25">
      <c r="B39" s="29" t="s">
        <v>21</v>
      </c>
      <c r="C39" s="12"/>
      <c r="D39" s="14"/>
      <c r="E39" s="14"/>
      <c r="F39" s="46"/>
      <c r="G39" s="14"/>
      <c r="H39" s="14"/>
      <c r="I39" s="12"/>
      <c r="J39" s="14"/>
      <c r="K39" s="35"/>
      <c r="L39" s="32"/>
      <c r="M39" s="58"/>
      <c r="N39" s="12"/>
      <c r="O39" s="12"/>
      <c r="P39" s="12"/>
      <c r="Q39" s="12"/>
      <c r="R39" s="12"/>
      <c r="S39" s="14"/>
      <c r="T39" s="14"/>
      <c r="U39" s="30">
        <f t="shared" si="1"/>
        <v>0</v>
      </c>
    </row>
    <row r="40" spans="2:21" ht="20.25" x14ac:dyDescent="0.25">
      <c r="B40" s="29" t="s">
        <v>22</v>
      </c>
      <c r="C40" s="14"/>
      <c r="D40" s="14"/>
      <c r="E40" s="14"/>
      <c r="F40" s="14"/>
      <c r="G40" s="14"/>
      <c r="H40" s="46"/>
      <c r="I40" s="14"/>
      <c r="J40" s="12"/>
      <c r="K40" s="12"/>
      <c r="L40" s="21"/>
      <c r="M40" s="12"/>
      <c r="N40" s="12"/>
      <c r="O40" s="12"/>
      <c r="P40" s="12"/>
      <c r="Q40" s="12"/>
      <c r="R40" s="12"/>
      <c r="S40" s="12"/>
      <c r="T40" s="14"/>
      <c r="U40" s="30">
        <f t="shared" si="1"/>
        <v>0</v>
      </c>
    </row>
    <row r="41" spans="2:21" ht="20.25" x14ac:dyDescent="0.25">
      <c r="B41" s="29" t="s">
        <v>23</v>
      </c>
      <c r="C41" s="14"/>
      <c r="D41" s="14"/>
      <c r="E41" s="14"/>
      <c r="F41" s="14"/>
      <c r="G41" s="14"/>
      <c r="H41" s="14"/>
      <c r="I41" s="14"/>
      <c r="J41" s="14"/>
      <c r="K41" s="13"/>
      <c r="L41" s="21"/>
      <c r="M41" s="12"/>
      <c r="N41" s="14"/>
      <c r="O41" s="12"/>
      <c r="P41" s="12"/>
      <c r="Q41" s="46"/>
      <c r="R41" s="12"/>
      <c r="S41" s="46"/>
      <c r="T41" s="14"/>
      <c r="U41" s="30">
        <f t="shared" si="1"/>
        <v>0</v>
      </c>
    </row>
    <row r="42" spans="2:21" ht="20.25" x14ac:dyDescent="0.25">
      <c r="B42" s="29" t="s">
        <v>24</v>
      </c>
      <c r="C42" s="14">
        <v>2</v>
      </c>
      <c r="D42" s="14">
        <v>2</v>
      </c>
      <c r="E42" s="12"/>
      <c r="F42" s="12"/>
      <c r="G42" s="14"/>
      <c r="H42" s="12"/>
      <c r="I42" s="14"/>
      <c r="J42" s="14"/>
      <c r="K42" s="13"/>
      <c r="L42" s="21"/>
      <c r="M42" s="14"/>
      <c r="N42" s="12"/>
      <c r="O42" s="14">
        <v>2</v>
      </c>
      <c r="P42" s="12"/>
      <c r="Q42" s="14"/>
      <c r="R42" s="14"/>
      <c r="S42" s="14"/>
      <c r="T42" s="46"/>
      <c r="U42" s="30">
        <f t="shared" si="1"/>
        <v>6</v>
      </c>
    </row>
    <row r="43" spans="2:21" ht="21" thickBot="1" x14ac:dyDescent="0.3">
      <c r="B43" s="29" t="s">
        <v>25</v>
      </c>
      <c r="C43" s="14"/>
      <c r="D43" s="14"/>
      <c r="E43" s="12"/>
      <c r="F43" s="14">
        <v>2</v>
      </c>
      <c r="G43" s="14"/>
      <c r="H43" s="14"/>
      <c r="I43" s="14"/>
      <c r="J43" s="12"/>
      <c r="K43" s="35"/>
      <c r="L43" s="32"/>
      <c r="M43" s="12"/>
      <c r="N43" s="12"/>
      <c r="O43" s="12"/>
      <c r="P43" s="14">
        <v>2</v>
      </c>
      <c r="Q43" s="14"/>
      <c r="R43" s="14"/>
      <c r="S43" s="14"/>
      <c r="T43" s="14"/>
      <c r="U43" s="30">
        <f t="shared" si="1"/>
        <v>4</v>
      </c>
    </row>
    <row r="44" spans="2:21" ht="30.75" thickBo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5">
        <f>SUM(U37:U43)</f>
        <v>22</v>
      </c>
    </row>
    <row r="45" spans="2:21" ht="20.2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</row>
    <row r="46" spans="2:21" ht="41.25" x14ac:dyDescent="0.25">
      <c r="B46" s="1"/>
      <c r="C46" s="101" t="s">
        <v>47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2"/>
    </row>
    <row r="47" spans="2:21" ht="21" thickBot="1" x14ac:dyDescent="0.3">
      <c r="B47" s="1"/>
      <c r="C47" s="122" t="s">
        <v>48</v>
      </c>
      <c r="D47" s="123"/>
      <c r="E47" s="123"/>
      <c r="F47" s="123"/>
      <c r="G47" s="123"/>
      <c r="H47" s="123"/>
      <c r="I47" s="123"/>
      <c r="J47" s="123"/>
      <c r="K47" s="124"/>
      <c r="L47" s="2"/>
      <c r="M47" s="1"/>
      <c r="N47" s="1"/>
      <c r="O47" s="1"/>
      <c r="P47" s="1"/>
      <c r="Q47" s="1"/>
      <c r="R47" s="1"/>
      <c r="S47" s="1"/>
      <c r="T47" s="1"/>
      <c r="U47" s="1"/>
    </row>
    <row r="48" spans="2:21" ht="21" thickBot="1" x14ac:dyDescent="0.3">
      <c r="B48" s="5" t="s">
        <v>9</v>
      </c>
      <c r="C48" s="8" t="s">
        <v>10</v>
      </c>
      <c r="D48" s="8" t="s">
        <v>11</v>
      </c>
      <c r="E48" s="8" t="s">
        <v>12</v>
      </c>
      <c r="F48" s="8" t="s">
        <v>13</v>
      </c>
      <c r="G48" s="8" t="s">
        <v>14</v>
      </c>
      <c r="H48" s="8" t="s">
        <v>15</v>
      </c>
      <c r="I48" s="8" t="s">
        <v>16</v>
      </c>
      <c r="J48" s="8" t="s">
        <v>17</v>
      </c>
      <c r="K48" s="9" t="s">
        <v>18</v>
      </c>
      <c r="L48" s="2"/>
      <c r="M48" s="1"/>
      <c r="N48" s="1"/>
      <c r="O48" s="1"/>
      <c r="P48" s="1"/>
      <c r="Q48" s="1"/>
      <c r="R48" s="1"/>
      <c r="S48" s="1"/>
      <c r="T48" s="1"/>
      <c r="U48" s="1"/>
    </row>
    <row r="49" spans="2:21" ht="20.25" x14ac:dyDescent="0.25">
      <c r="B49" s="29" t="s">
        <v>19</v>
      </c>
      <c r="C49" s="34">
        <v>1</v>
      </c>
      <c r="D49" s="34">
        <v>1</v>
      </c>
      <c r="E49" s="34">
        <v>1</v>
      </c>
      <c r="F49" s="34">
        <v>1</v>
      </c>
      <c r="G49" s="34"/>
      <c r="H49" s="36"/>
      <c r="I49" s="36"/>
      <c r="J49" s="36"/>
      <c r="K49" s="36"/>
      <c r="L49" s="30">
        <f t="shared" ref="L49:L54" si="2">SUM(C49:K49)</f>
        <v>4</v>
      </c>
      <c r="M49" s="1"/>
      <c r="N49" s="1"/>
      <c r="O49" s="1"/>
      <c r="P49" s="1"/>
      <c r="Q49" s="1"/>
      <c r="R49" s="1"/>
      <c r="S49" s="1"/>
      <c r="T49" s="1"/>
      <c r="U49" s="1"/>
    </row>
    <row r="50" spans="2:21" ht="20.25" x14ac:dyDescent="0.25">
      <c r="B50" s="29" t="s">
        <v>20</v>
      </c>
      <c r="C50" s="14">
        <v>1</v>
      </c>
      <c r="D50" s="14">
        <v>1</v>
      </c>
      <c r="E50" s="12">
        <v>1</v>
      </c>
      <c r="F50" s="14">
        <v>1</v>
      </c>
      <c r="G50" s="14"/>
      <c r="H50" s="12"/>
      <c r="I50" s="12"/>
      <c r="J50" s="12"/>
      <c r="K50" s="12"/>
      <c r="L50" s="30">
        <f t="shared" si="2"/>
        <v>4</v>
      </c>
      <c r="M50" s="1"/>
      <c r="N50" s="1"/>
      <c r="O50" s="1"/>
      <c r="P50" s="1"/>
      <c r="Q50" s="1"/>
      <c r="R50" s="1"/>
      <c r="S50" s="1"/>
      <c r="T50" s="1"/>
      <c r="U50" s="1"/>
    </row>
    <row r="51" spans="2:21" ht="20.25" x14ac:dyDescent="0.25">
      <c r="B51" s="29" t="s">
        <v>46</v>
      </c>
      <c r="C51" s="14"/>
      <c r="D51" s="14"/>
      <c r="E51" s="14"/>
      <c r="F51" s="14"/>
      <c r="G51" s="14"/>
      <c r="H51" s="14"/>
      <c r="I51" s="14"/>
      <c r="J51" s="14"/>
      <c r="K51" s="12"/>
      <c r="L51" s="30">
        <f t="shared" si="2"/>
        <v>0</v>
      </c>
      <c r="M51" s="1"/>
      <c r="N51" s="1"/>
      <c r="O51" s="1"/>
      <c r="P51" s="1"/>
      <c r="Q51" s="1"/>
      <c r="R51" s="1"/>
      <c r="S51" s="1"/>
      <c r="T51" s="1"/>
      <c r="U51" s="1"/>
    </row>
    <row r="52" spans="2:21" ht="20.25" x14ac:dyDescent="0.25">
      <c r="B52" s="29" t="s">
        <v>23</v>
      </c>
      <c r="C52" s="14"/>
      <c r="D52" s="14"/>
      <c r="E52" s="14"/>
      <c r="F52" s="14"/>
      <c r="G52" s="14"/>
      <c r="H52" s="14"/>
      <c r="I52" s="14"/>
      <c r="J52" s="14"/>
      <c r="K52" s="14"/>
      <c r="L52" s="30">
        <f t="shared" si="2"/>
        <v>0</v>
      </c>
      <c r="M52" s="1"/>
      <c r="N52" s="1"/>
      <c r="O52" s="1"/>
      <c r="P52" s="1"/>
      <c r="Q52" s="1"/>
      <c r="R52" s="1"/>
      <c r="S52" s="1"/>
      <c r="T52" s="1"/>
      <c r="U52" s="1"/>
    </row>
    <row r="53" spans="2:21" ht="20.25" x14ac:dyDescent="0.25">
      <c r="B53" s="29" t="s">
        <v>24</v>
      </c>
      <c r="C53" s="12">
        <v>1</v>
      </c>
      <c r="D53" s="12">
        <v>1</v>
      </c>
      <c r="E53" s="37">
        <v>1</v>
      </c>
      <c r="F53" s="12">
        <v>1</v>
      </c>
      <c r="G53" s="12"/>
      <c r="H53" s="14"/>
      <c r="I53" s="14"/>
      <c r="J53" s="14"/>
      <c r="K53" s="14"/>
      <c r="L53" s="30">
        <f t="shared" si="2"/>
        <v>4</v>
      </c>
      <c r="M53" s="1"/>
      <c r="N53" s="1"/>
      <c r="O53" s="1"/>
      <c r="P53" s="1"/>
      <c r="Q53" s="1"/>
      <c r="R53" s="1"/>
      <c r="S53" s="26"/>
      <c r="T53" s="1"/>
      <c r="U53" s="1"/>
    </row>
    <row r="54" spans="2:21" ht="20.25" x14ac:dyDescent="0.25">
      <c r="B54" s="29" t="s">
        <v>25</v>
      </c>
      <c r="C54" s="14"/>
      <c r="D54" s="14"/>
      <c r="E54" s="14"/>
      <c r="F54" s="14"/>
      <c r="G54" s="12"/>
      <c r="H54" s="12"/>
      <c r="I54" s="12"/>
      <c r="J54" s="12"/>
      <c r="K54" s="14"/>
      <c r="L54" s="33">
        <f t="shared" si="2"/>
        <v>0</v>
      </c>
      <c r="M54" s="1"/>
      <c r="N54" s="1"/>
      <c r="O54" s="1"/>
      <c r="P54" s="1"/>
      <c r="Q54" s="1"/>
      <c r="R54" s="1"/>
      <c r="S54" s="1"/>
      <c r="T54" s="1"/>
      <c r="U54" s="1"/>
    </row>
    <row r="55" spans="2:21" ht="30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05">
        <f>SUM(L49:L54)</f>
        <v>12</v>
      </c>
      <c r="M55" s="105"/>
      <c r="N55" s="1"/>
      <c r="O55" s="1"/>
      <c r="P55" s="1"/>
      <c r="Q55" s="1"/>
      <c r="R55" s="1"/>
      <c r="S55" s="1"/>
      <c r="T55" s="1"/>
      <c r="U55" s="1"/>
    </row>
  </sheetData>
  <mergeCells count="10">
    <mergeCell ref="C46:T46"/>
    <mergeCell ref="C47:K47"/>
    <mergeCell ref="L55:M55"/>
    <mergeCell ref="E1:S2"/>
    <mergeCell ref="C4:T4"/>
    <mergeCell ref="C5:K5"/>
    <mergeCell ref="L5:T5"/>
    <mergeCell ref="C34:T34"/>
    <mergeCell ref="C35:K35"/>
    <mergeCell ref="L35:T35"/>
  </mergeCells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1950-5A38-4AF9-B7CA-573270399D33}">
  <sheetPr>
    <pageSetUpPr fitToPage="1"/>
  </sheetPr>
  <dimension ref="B1:U29"/>
  <sheetViews>
    <sheetView workbookViewId="0">
      <selection activeCell="C25" sqref="C25:K28"/>
    </sheetView>
  </sheetViews>
  <sheetFormatPr baseColWidth="10" defaultRowHeight="15" x14ac:dyDescent="0.25"/>
  <cols>
    <col min="2" max="2" width="22.140625" customWidth="1"/>
  </cols>
  <sheetData>
    <row r="1" spans="2:21" x14ac:dyDescent="0.25">
      <c r="E1" s="121" t="s">
        <v>50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2:21" x14ac:dyDescent="0.25"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1" ht="21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1</v>
      </c>
      <c r="P3" s="1"/>
      <c r="Q3" s="1"/>
      <c r="R3" s="1"/>
      <c r="S3" s="1"/>
      <c r="T3" s="1"/>
      <c r="U3" s="3"/>
    </row>
    <row r="4" spans="2:21" ht="42" thickBot="1" x14ac:dyDescent="0.3">
      <c r="B4" s="1"/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2"/>
    </row>
    <row r="5" spans="2:21" ht="21" thickBot="1" x14ac:dyDescent="0.3">
      <c r="B5" s="1"/>
      <c r="C5" s="95" t="s">
        <v>3</v>
      </c>
      <c r="D5" s="96"/>
      <c r="E5" s="96"/>
      <c r="F5" s="96"/>
      <c r="G5" s="96"/>
      <c r="H5" s="96"/>
      <c r="I5" s="96"/>
      <c r="J5" s="96"/>
      <c r="K5" s="97"/>
      <c r="L5" s="98" t="s">
        <v>4</v>
      </c>
      <c r="M5" s="99"/>
      <c r="N5" s="99"/>
      <c r="O5" s="99"/>
      <c r="P5" s="99"/>
      <c r="Q5" s="99"/>
      <c r="R5" s="99"/>
      <c r="S5" s="99"/>
      <c r="T5" s="100"/>
      <c r="U5" s="2"/>
    </row>
    <row r="6" spans="2:21" ht="21" thickBot="1" x14ac:dyDescent="0.3">
      <c r="B6" s="5" t="s">
        <v>9</v>
      </c>
      <c r="C6" s="6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18</v>
      </c>
      <c r="U6" s="2"/>
    </row>
    <row r="7" spans="2:21" ht="20.25" x14ac:dyDescent="0.25">
      <c r="B7" s="10" t="s">
        <v>20</v>
      </c>
      <c r="C7" s="12"/>
      <c r="D7" s="12"/>
      <c r="E7" s="12"/>
      <c r="F7" s="14"/>
      <c r="G7" s="12"/>
      <c r="H7" s="14"/>
      <c r="I7" s="12"/>
      <c r="J7" s="12"/>
      <c r="K7" s="13"/>
      <c r="L7" s="12"/>
      <c r="M7" s="14"/>
      <c r="N7" s="42"/>
      <c r="O7" s="14"/>
      <c r="P7" s="14"/>
      <c r="Q7" s="14"/>
      <c r="R7" s="12"/>
      <c r="S7" s="12"/>
      <c r="T7" s="15"/>
      <c r="U7" s="11">
        <f t="shared" ref="U7:U11" si="0">SUM(C7:T7)</f>
        <v>0</v>
      </c>
    </row>
    <row r="8" spans="2:21" ht="20.25" x14ac:dyDescent="0.25">
      <c r="B8" s="10" t="s">
        <v>24</v>
      </c>
      <c r="C8" s="12"/>
      <c r="D8" s="12"/>
      <c r="E8" s="12"/>
      <c r="F8" s="14"/>
      <c r="G8" s="12"/>
      <c r="H8" s="12"/>
      <c r="I8" s="14"/>
      <c r="J8" s="12"/>
      <c r="K8" s="35"/>
      <c r="L8" s="12"/>
      <c r="M8" s="14"/>
      <c r="N8" s="14"/>
      <c r="O8" s="14"/>
      <c r="P8" s="14"/>
      <c r="Q8" s="14"/>
      <c r="R8" s="14"/>
      <c r="S8" s="14"/>
      <c r="T8" s="43"/>
      <c r="U8" s="11">
        <f t="shared" si="0"/>
        <v>0</v>
      </c>
    </row>
    <row r="9" spans="2:21" ht="20.25" x14ac:dyDescent="0.25">
      <c r="B9" s="10" t="s">
        <v>30</v>
      </c>
      <c r="C9" s="14"/>
      <c r="D9" s="14"/>
      <c r="E9" s="12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4"/>
      <c r="S9" s="14"/>
      <c r="T9" s="43"/>
      <c r="U9" s="11">
        <f>SUM(C9:T9)</f>
        <v>0</v>
      </c>
    </row>
    <row r="10" spans="2:21" ht="20.25" x14ac:dyDescent="0.25">
      <c r="B10" s="10" t="s">
        <v>34</v>
      </c>
      <c r="C10" s="14"/>
      <c r="D10" s="14"/>
      <c r="E10" s="14"/>
      <c r="F10" s="14"/>
      <c r="G10" s="14"/>
      <c r="H10" s="14"/>
      <c r="I10" s="14"/>
      <c r="J10" s="46"/>
      <c r="K10" s="13"/>
      <c r="L10" s="14"/>
      <c r="M10" s="14"/>
      <c r="N10" s="14"/>
      <c r="O10" s="14"/>
      <c r="P10" s="14"/>
      <c r="Q10" s="12"/>
      <c r="R10" s="12"/>
      <c r="S10" s="12"/>
      <c r="T10" s="15"/>
      <c r="U10" s="11">
        <f t="shared" si="0"/>
        <v>0</v>
      </c>
    </row>
    <row r="11" spans="2:21" ht="20.25" x14ac:dyDescent="0.25">
      <c r="B11" s="10" t="s">
        <v>38</v>
      </c>
      <c r="C11" s="12"/>
      <c r="D11" s="12"/>
      <c r="E11" s="12"/>
      <c r="F11" s="46"/>
      <c r="G11" s="12"/>
      <c r="H11" s="46"/>
      <c r="I11" s="14"/>
      <c r="J11" s="12"/>
      <c r="K11" s="13"/>
      <c r="L11" s="12"/>
      <c r="M11" s="14"/>
      <c r="N11" s="14"/>
      <c r="O11" s="14"/>
      <c r="P11" s="14"/>
      <c r="Q11" s="14"/>
      <c r="R11" s="14"/>
      <c r="S11" s="14"/>
      <c r="T11" s="35"/>
      <c r="U11" s="17">
        <f t="shared" si="0"/>
        <v>0</v>
      </c>
    </row>
    <row r="12" spans="2:21" ht="20.25" x14ac:dyDescent="0.25">
      <c r="B12" s="18" t="s">
        <v>41</v>
      </c>
      <c r="C12" s="49"/>
      <c r="D12" s="20"/>
      <c r="E12" s="20"/>
      <c r="F12" s="20"/>
      <c r="G12" s="20"/>
      <c r="H12" s="49"/>
      <c r="I12" s="20"/>
      <c r="J12" s="20"/>
      <c r="K12" s="50"/>
      <c r="L12" s="21"/>
      <c r="M12" s="14"/>
      <c r="N12" s="14"/>
      <c r="O12" s="14"/>
      <c r="P12" s="14"/>
      <c r="Q12" s="14"/>
      <c r="R12" s="14"/>
      <c r="S12" s="14"/>
      <c r="T12" s="13"/>
      <c r="U12" s="17">
        <f>SUM(C12:T12)</f>
        <v>0</v>
      </c>
    </row>
    <row r="13" spans="2:21" ht="21" thickBot="1" x14ac:dyDescent="0.3">
      <c r="B13" s="18" t="s">
        <v>42</v>
      </c>
      <c r="C13" s="52"/>
      <c r="D13" s="20"/>
      <c r="E13" s="20"/>
      <c r="F13" s="52"/>
      <c r="G13" s="52"/>
      <c r="H13" s="52"/>
      <c r="I13" s="20"/>
      <c r="J13" s="20"/>
      <c r="K13" s="53"/>
      <c r="L13" s="54"/>
      <c r="M13" s="55"/>
      <c r="N13" s="55"/>
      <c r="O13" s="55"/>
      <c r="P13" s="55"/>
      <c r="Q13" s="55"/>
      <c r="R13" s="55"/>
      <c r="S13" s="55"/>
      <c r="T13" s="56"/>
      <c r="U13" s="22">
        <f>SUM(C13:T13)</f>
        <v>0</v>
      </c>
    </row>
    <row r="14" spans="2:21" ht="30.75" thickBot="1" x14ac:dyDescent="0.3">
      <c r="B14" s="24"/>
      <c r="C14" s="1"/>
      <c r="D14" s="24"/>
      <c r="E14" s="24"/>
      <c r="F14" s="1"/>
      <c r="G14" s="1"/>
      <c r="H14" s="1"/>
      <c r="I14" s="24"/>
      <c r="J14" s="24"/>
      <c r="K14" s="1"/>
      <c r="L14" s="1"/>
      <c r="M14" s="1" t="s">
        <v>1</v>
      </c>
      <c r="N14" s="1"/>
      <c r="O14" s="1"/>
      <c r="P14" s="1"/>
      <c r="Q14" s="1"/>
      <c r="R14" s="1"/>
      <c r="S14" s="1"/>
      <c r="T14" s="1"/>
      <c r="U14" s="25">
        <f>SUM(U7:U13)</f>
        <v>0</v>
      </c>
    </row>
    <row r="15" spans="2:21" ht="21" thickBo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</row>
    <row r="16" spans="2:21" ht="42" thickBot="1" x14ac:dyDescent="0.3">
      <c r="B16" s="1"/>
      <c r="C16" s="106" t="s">
        <v>45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2"/>
    </row>
    <row r="17" spans="2:21" ht="21" thickBot="1" x14ac:dyDescent="0.3">
      <c r="B17" s="1"/>
      <c r="C17" s="95" t="s">
        <v>3</v>
      </c>
      <c r="D17" s="96"/>
      <c r="E17" s="96"/>
      <c r="F17" s="96"/>
      <c r="G17" s="96"/>
      <c r="H17" s="96"/>
      <c r="I17" s="96"/>
      <c r="J17" s="96"/>
      <c r="K17" s="97"/>
      <c r="L17" s="98" t="s">
        <v>4</v>
      </c>
      <c r="M17" s="99"/>
      <c r="N17" s="99"/>
      <c r="O17" s="99"/>
      <c r="P17" s="99"/>
      <c r="Q17" s="99"/>
      <c r="R17" s="99"/>
      <c r="S17" s="99"/>
      <c r="T17" s="100"/>
      <c r="U17" s="2"/>
    </row>
    <row r="18" spans="2:21" ht="21" thickBot="1" x14ac:dyDescent="0.3">
      <c r="B18" s="5" t="s">
        <v>9</v>
      </c>
      <c r="C18" s="6" t="s">
        <v>10</v>
      </c>
      <c r="D18" s="7" t="s">
        <v>11</v>
      </c>
      <c r="E18" s="7" t="s">
        <v>12</v>
      </c>
      <c r="F18" s="7" t="s">
        <v>13</v>
      </c>
      <c r="G18" s="7" t="s">
        <v>14</v>
      </c>
      <c r="H18" s="7" t="s">
        <v>15</v>
      </c>
      <c r="I18" s="7" t="s">
        <v>16</v>
      </c>
      <c r="J18" s="7" t="s">
        <v>17</v>
      </c>
      <c r="K18" s="27" t="s">
        <v>18</v>
      </c>
      <c r="L18" s="28" t="s">
        <v>10</v>
      </c>
      <c r="M18" s="8" t="s">
        <v>11</v>
      </c>
      <c r="N18" s="8" t="s">
        <v>12</v>
      </c>
      <c r="O18" s="8" t="s">
        <v>13</v>
      </c>
      <c r="P18" s="8" t="s">
        <v>14</v>
      </c>
      <c r="Q18" s="8" t="s">
        <v>15</v>
      </c>
      <c r="R18" s="8" t="s">
        <v>16</v>
      </c>
      <c r="S18" s="8" t="s">
        <v>17</v>
      </c>
      <c r="T18" s="9" t="s">
        <v>18</v>
      </c>
      <c r="U18" s="2"/>
    </row>
    <row r="19" spans="2:21" ht="21" thickBot="1" x14ac:dyDescent="0.3">
      <c r="B19" s="29" t="s">
        <v>24</v>
      </c>
      <c r="C19" s="14"/>
      <c r="D19" s="14"/>
      <c r="E19" s="12"/>
      <c r="F19" s="12"/>
      <c r="G19" s="14"/>
      <c r="H19" s="12"/>
      <c r="I19" s="14"/>
      <c r="J19" s="14"/>
      <c r="K19" s="13"/>
      <c r="L19" s="21"/>
      <c r="M19" s="14"/>
      <c r="N19" s="12"/>
      <c r="O19" s="14"/>
      <c r="P19" s="12"/>
      <c r="Q19" s="14"/>
      <c r="R19" s="14"/>
      <c r="S19" s="14"/>
      <c r="T19" s="1"/>
      <c r="U19" s="30">
        <f>SUM(C19:T19)</f>
        <v>0</v>
      </c>
    </row>
    <row r="20" spans="2:21" ht="30.75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U20" s="25">
        <f>SUM(U19:U19)</f>
        <v>0</v>
      </c>
    </row>
    <row r="21" spans="2:21" ht="20.2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</row>
    <row r="22" spans="2:21" ht="41.25" x14ac:dyDescent="0.25">
      <c r="B22" s="1"/>
      <c r="C22" s="101" t="s">
        <v>47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2"/>
    </row>
    <row r="23" spans="2:21" ht="21" thickBot="1" x14ac:dyDescent="0.3">
      <c r="B23" s="1"/>
      <c r="C23" s="122" t="s">
        <v>48</v>
      </c>
      <c r="D23" s="123"/>
      <c r="E23" s="123"/>
      <c r="F23" s="123"/>
      <c r="G23" s="123"/>
      <c r="H23" s="123"/>
      <c r="I23" s="123"/>
      <c r="J23" s="123"/>
      <c r="K23" s="124"/>
      <c r="L23" s="2"/>
      <c r="M23" s="1"/>
      <c r="N23" s="1"/>
      <c r="O23" s="1"/>
      <c r="P23" s="1"/>
      <c r="Q23" s="1"/>
      <c r="R23" s="1"/>
      <c r="S23" s="1"/>
      <c r="T23" s="1"/>
      <c r="U23" s="1"/>
    </row>
    <row r="24" spans="2:21" ht="21" thickBot="1" x14ac:dyDescent="0.3">
      <c r="B24" s="5" t="s">
        <v>9</v>
      </c>
      <c r="C24" s="8" t="s">
        <v>10</v>
      </c>
      <c r="D24" s="8" t="s">
        <v>11</v>
      </c>
      <c r="E24" s="8" t="s">
        <v>12</v>
      </c>
      <c r="F24" s="8" t="s">
        <v>13</v>
      </c>
      <c r="G24" s="8" t="s">
        <v>14</v>
      </c>
      <c r="H24" s="8" t="s">
        <v>15</v>
      </c>
      <c r="I24" s="8" t="s">
        <v>16</v>
      </c>
      <c r="J24" s="8" t="s">
        <v>17</v>
      </c>
      <c r="K24" s="9" t="s">
        <v>18</v>
      </c>
      <c r="L24" s="2"/>
      <c r="M24" s="1"/>
      <c r="N24" s="1"/>
      <c r="O24" s="1"/>
      <c r="P24" s="1"/>
      <c r="Q24" s="1"/>
      <c r="R24" s="1"/>
      <c r="S24" s="1"/>
      <c r="T24" s="1"/>
      <c r="U24" s="1"/>
    </row>
    <row r="25" spans="2:21" ht="20.25" x14ac:dyDescent="0.25">
      <c r="B25" s="29" t="s">
        <v>19</v>
      </c>
      <c r="C25" s="34"/>
      <c r="D25" s="34"/>
      <c r="E25" s="34"/>
      <c r="F25" s="34"/>
      <c r="G25" s="34"/>
      <c r="H25" s="36"/>
      <c r="I25" s="36"/>
      <c r="J25" s="36"/>
      <c r="K25" s="36"/>
      <c r="L25" s="30">
        <f t="shared" ref="L25:L28" si="1">SUM(C25:K25)</f>
        <v>0</v>
      </c>
      <c r="M25" s="1"/>
      <c r="N25" s="1"/>
      <c r="O25" s="1"/>
      <c r="P25" s="1"/>
      <c r="Q25" s="1"/>
      <c r="R25" s="1"/>
      <c r="S25" s="1"/>
      <c r="T25" s="1"/>
      <c r="U25" s="1"/>
    </row>
    <row r="26" spans="2:21" ht="20.25" x14ac:dyDescent="0.25">
      <c r="B26" s="29" t="s">
        <v>23</v>
      </c>
      <c r="C26" s="14"/>
      <c r="D26" s="14"/>
      <c r="E26" s="14"/>
      <c r="F26" s="14"/>
      <c r="G26" s="14"/>
      <c r="H26" s="14"/>
      <c r="I26" s="14"/>
      <c r="J26" s="14"/>
      <c r="K26" s="14"/>
      <c r="L26" s="30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</row>
    <row r="27" spans="2:21" ht="20.25" x14ac:dyDescent="0.25">
      <c r="B27" s="29" t="s">
        <v>24</v>
      </c>
      <c r="C27" s="12"/>
      <c r="D27" s="12"/>
      <c r="E27" s="37"/>
      <c r="F27" s="12"/>
      <c r="G27" s="12"/>
      <c r="H27" s="14"/>
      <c r="I27" s="14"/>
      <c r="J27" s="14"/>
      <c r="K27" s="14"/>
      <c r="L27" s="30">
        <f t="shared" si="1"/>
        <v>0</v>
      </c>
      <c r="M27" s="1"/>
      <c r="N27" s="1"/>
      <c r="O27" s="1"/>
      <c r="P27" s="1"/>
      <c r="Q27" s="1"/>
      <c r="R27" s="1"/>
      <c r="S27" s="26"/>
      <c r="T27" s="1"/>
      <c r="U27" s="1"/>
    </row>
    <row r="28" spans="2:21" ht="20.25" x14ac:dyDescent="0.25">
      <c r="B28" s="29" t="s">
        <v>25</v>
      </c>
      <c r="C28" s="14"/>
      <c r="D28" s="14"/>
      <c r="E28" s="14"/>
      <c r="F28" s="14"/>
      <c r="G28" s="12"/>
      <c r="H28" s="12"/>
      <c r="I28" s="12"/>
      <c r="J28" s="12"/>
      <c r="K28" s="14"/>
      <c r="L28" s="33">
        <f t="shared" si="1"/>
        <v>0</v>
      </c>
      <c r="M28" s="1"/>
      <c r="N28" s="1"/>
      <c r="O28" s="1"/>
      <c r="P28" s="1"/>
      <c r="Q28" s="1"/>
      <c r="R28" s="1"/>
      <c r="S28" s="1"/>
      <c r="T28" s="1"/>
      <c r="U28" s="1"/>
    </row>
    <row r="29" spans="2:21" ht="30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05">
        <f>SUM(L25:L28)</f>
        <v>0</v>
      </c>
      <c r="M29" s="105"/>
      <c r="N29" s="1"/>
      <c r="O29" s="1"/>
      <c r="P29" s="1"/>
      <c r="Q29" s="1"/>
      <c r="R29" s="1"/>
      <c r="S29" s="1"/>
      <c r="T29" s="1"/>
      <c r="U29" s="1"/>
    </row>
  </sheetData>
  <mergeCells count="10">
    <mergeCell ref="C22:T22"/>
    <mergeCell ref="C23:K23"/>
    <mergeCell ref="L29:M29"/>
    <mergeCell ref="E1:S2"/>
    <mergeCell ref="C4:T4"/>
    <mergeCell ref="C5:K5"/>
    <mergeCell ref="L5:T5"/>
    <mergeCell ref="C16:T16"/>
    <mergeCell ref="C17:K17"/>
    <mergeCell ref="L17:T17"/>
  </mergeCells>
  <pageMargins left="0.7" right="0.7" top="0.75" bottom="0.75" header="0.3" footer="0.3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ACBD-3131-430A-8CFE-D49932707C20}">
  <sheetPr>
    <pageSetUpPr fitToPage="1"/>
  </sheetPr>
  <dimension ref="B1:U46"/>
  <sheetViews>
    <sheetView topLeftCell="A27" workbookViewId="0">
      <selection activeCell="C7" sqref="C7"/>
    </sheetView>
  </sheetViews>
  <sheetFormatPr baseColWidth="10" defaultRowHeight="15" x14ac:dyDescent="0.25"/>
  <cols>
    <col min="2" max="2" width="22.28515625" bestFit="1" customWidth="1"/>
    <col min="21" max="21" width="16.5703125" customWidth="1"/>
  </cols>
  <sheetData>
    <row r="1" spans="2:21" x14ac:dyDescent="0.25">
      <c r="E1" s="121" t="s">
        <v>51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2:21" x14ac:dyDescent="0.25"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1" ht="21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1</v>
      </c>
      <c r="P3" s="1"/>
      <c r="Q3" s="1"/>
      <c r="R3" s="1"/>
      <c r="S3" s="1"/>
      <c r="T3" s="1"/>
      <c r="U3" s="3"/>
    </row>
    <row r="4" spans="2:21" ht="42" thickBot="1" x14ac:dyDescent="0.3">
      <c r="B4" s="1"/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2"/>
    </row>
    <row r="5" spans="2:21" ht="21" thickBot="1" x14ac:dyDescent="0.3">
      <c r="B5" s="1"/>
      <c r="C5" s="95" t="s">
        <v>3</v>
      </c>
      <c r="D5" s="96"/>
      <c r="E5" s="96"/>
      <c r="F5" s="96"/>
      <c r="G5" s="96"/>
      <c r="H5" s="96"/>
      <c r="I5" s="96"/>
      <c r="J5" s="96"/>
      <c r="K5" s="120"/>
      <c r="L5" s="98" t="s">
        <v>4</v>
      </c>
      <c r="M5" s="99"/>
      <c r="N5" s="99"/>
      <c r="O5" s="99"/>
      <c r="P5" s="99"/>
      <c r="Q5" s="99"/>
      <c r="R5" s="99"/>
      <c r="S5" s="99"/>
      <c r="T5" s="100"/>
      <c r="U5" s="2"/>
    </row>
    <row r="6" spans="2:21" ht="21" thickBot="1" x14ac:dyDescent="0.3">
      <c r="B6" s="5" t="s">
        <v>9</v>
      </c>
      <c r="C6" s="6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27" t="s">
        <v>18</v>
      </c>
      <c r="L6" s="2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18</v>
      </c>
      <c r="U6" s="2"/>
    </row>
    <row r="7" spans="2:21" ht="20.25" x14ac:dyDescent="0.25">
      <c r="B7" s="78" t="s">
        <v>19</v>
      </c>
      <c r="C7" s="80"/>
      <c r="D7" s="38"/>
      <c r="E7" s="41"/>
      <c r="F7" s="41"/>
      <c r="G7" s="38"/>
      <c r="H7" s="38"/>
      <c r="I7" s="38"/>
      <c r="J7" s="38"/>
      <c r="K7" s="81"/>
      <c r="L7" s="80"/>
      <c r="M7" s="41"/>
      <c r="N7" s="41"/>
      <c r="O7" s="41"/>
      <c r="P7" s="38"/>
      <c r="Q7" s="41"/>
      <c r="R7" s="41"/>
      <c r="S7" s="38"/>
      <c r="T7" s="39"/>
      <c r="U7" s="11">
        <f>SUM(C7:T7)</f>
        <v>0</v>
      </c>
    </row>
    <row r="8" spans="2:21" ht="20.25" x14ac:dyDescent="0.25">
      <c r="B8" s="78" t="s">
        <v>20</v>
      </c>
      <c r="C8" s="32"/>
      <c r="D8" s="12"/>
      <c r="E8" s="12"/>
      <c r="F8" s="14"/>
      <c r="G8" s="12"/>
      <c r="H8" s="14"/>
      <c r="I8" s="12"/>
      <c r="J8" s="12"/>
      <c r="K8" s="13"/>
      <c r="L8" s="32"/>
      <c r="M8" s="14"/>
      <c r="N8" s="42"/>
      <c r="O8" s="14"/>
      <c r="P8" s="14"/>
      <c r="Q8" s="14"/>
      <c r="R8" s="12"/>
      <c r="S8" s="12"/>
      <c r="T8" s="15"/>
      <c r="U8" s="11">
        <f t="shared" ref="U8:U21" si="0">SUM(C8:T8)</f>
        <v>0</v>
      </c>
    </row>
    <row r="9" spans="2:21" ht="20.25" x14ac:dyDescent="0.25">
      <c r="B9" s="78" t="s">
        <v>21</v>
      </c>
      <c r="C9" s="21"/>
      <c r="D9" s="14"/>
      <c r="E9" s="12"/>
      <c r="F9" s="14"/>
      <c r="G9" s="14"/>
      <c r="H9" s="14"/>
      <c r="I9" s="14"/>
      <c r="J9" s="14"/>
      <c r="K9" s="13"/>
      <c r="L9" s="21"/>
      <c r="M9" s="14"/>
      <c r="N9" s="14"/>
      <c r="O9" s="14"/>
      <c r="P9" s="14"/>
      <c r="Q9" s="14"/>
      <c r="R9" s="14"/>
      <c r="S9" s="12"/>
      <c r="T9" s="43"/>
      <c r="U9" s="11">
        <f t="shared" si="0"/>
        <v>0</v>
      </c>
    </row>
    <row r="10" spans="2:21" ht="20.25" x14ac:dyDescent="0.25">
      <c r="B10" s="78" t="s">
        <v>22</v>
      </c>
      <c r="C10" s="21"/>
      <c r="D10" s="14"/>
      <c r="E10" s="12"/>
      <c r="F10" s="12"/>
      <c r="G10" s="14"/>
      <c r="H10" s="14"/>
      <c r="I10" s="14"/>
      <c r="J10" s="14"/>
      <c r="K10" s="13"/>
      <c r="L10" s="21"/>
      <c r="M10" s="14"/>
      <c r="N10" s="14"/>
      <c r="O10" s="14"/>
      <c r="P10" s="12"/>
      <c r="Q10" s="12"/>
      <c r="R10" s="12"/>
      <c r="S10" s="12"/>
      <c r="T10" s="15"/>
      <c r="U10" s="11">
        <f>SUM(C10:T10)</f>
        <v>0</v>
      </c>
    </row>
    <row r="11" spans="2:21" ht="20.25" x14ac:dyDescent="0.25">
      <c r="B11" s="78" t="s">
        <v>23</v>
      </c>
      <c r="C11" s="32"/>
      <c r="D11" s="12"/>
      <c r="E11" s="12"/>
      <c r="F11" s="14"/>
      <c r="G11" s="14"/>
      <c r="H11" s="14"/>
      <c r="I11" s="14"/>
      <c r="J11" s="14"/>
      <c r="K11" s="13"/>
      <c r="L11" s="32"/>
      <c r="M11" s="12"/>
      <c r="N11" s="12"/>
      <c r="O11" s="14"/>
      <c r="P11" s="12"/>
      <c r="Q11" s="14"/>
      <c r="R11" s="14"/>
      <c r="S11" s="14"/>
      <c r="T11" s="44"/>
      <c r="U11" s="11">
        <f t="shared" si="0"/>
        <v>0</v>
      </c>
    </row>
    <row r="12" spans="2:21" ht="20.25" x14ac:dyDescent="0.25">
      <c r="B12" s="78" t="s">
        <v>24</v>
      </c>
      <c r="C12" s="32"/>
      <c r="D12" s="12"/>
      <c r="E12" s="12"/>
      <c r="F12" s="14"/>
      <c r="G12" s="12"/>
      <c r="H12" s="12"/>
      <c r="I12" s="14"/>
      <c r="J12" s="12"/>
      <c r="K12" s="35"/>
      <c r="L12" s="32"/>
      <c r="M12" s="14"/>
      <c r="N12" s="14"/>
      <c r="O12" s="14"/>
      <c r="P12" s="14"/>
      <c r="Q12" s="14"/>
      <c r="R12" s="14"/>
      <c r="S12" s="14"/>
      <c r="T12" s="43"/>
      <c r="U12" s="11">
        <f t="shared" si="0"/>
        <v>0</v>
      </c>
    </row>
    <row r="13" spans="2:21" ht="20.25" x14ac:dyDescent="0.25">
      <c r="B13" s="78" t="s">
        <v>25</v>
      </c>
      <c r="C13" s="21"/>
      <c r="D13" s="12"/>
      <c r="E13" s="12"/>
      <c r="F13" s="14"/>
      <c r="G13" s="14"/>
      <c r="H13" s="14"/>
      <c r="I13" s="14"/>
      <c r="J13" s="14"/>
      <c r="K13" s="13"/>
      <c r="L13" s="21"/>
      <c r="M13" s="12"/>
      <c r="N13" s="14"/>
      <c r="O13" s="14"/>
      <c r="P13" s="14"/>
      <c r="Q13" s="14"/>
      <c r="R13" s="14"/>
      <c r="S13" s="14"/>
      <c r="T13" s="43"/>
      <c r="U13" s="11">
        <f t="shared" si="0"/>
        <v>0</v>
      </c>
    </row>
    <row r="14" spans="2:21" ht="20.25" x14ac:dyDescent="0.25">
      <c r="B14" s="78" t="s">
        <v>26</v>
      </c>
      <c r="C14" s="21"/>
      <c r="D14" s="14"/>
      <c r="E14" s="14"/>
      <c r="F14" s="14"/>
      <c r="G14" s="14"/>
      <c r="H14" s="14"/>
      <c r="I14" s="14"/>
      <c r="J14" s="14"/>
      <c r="K14" s="35"/>
      <c r="L14" s="21"/>
      <c r="M14" s="14"/>
      <c r="N14" s="14"/>
      <c r="O14" s="14"/>
      <c r="P14" s="14"/>
      <c r="Q14" s="14"/>
      <c r="R14" s="14"/>
      <c r="S14" s="14"/>
      <c r="T14" s="15"/>
      <c r="U14" s="11">
        <f t="shared" si="0"/>
        <v>0</v>
      </c>
    </row>
    <row r="15" spans="2:21" ht="20.25" x14ac:dyDescent="0.25">
      <c r="B15" s="78" t="s">
        <v>27</v>
      </c>
      <c r="C15" s="21"/>
      <c r="D15" s="14"/>
      <c r="E15" s="14"/>
      <c r="F15" s="14"/>
      <c r="G15" s="14"/>
      <c r="H15" s="14"/>
      <c r="I15" s="14"/>
      <c r="J15" s="14"/>
      <c r="K15" s="35"/>
      <c r="L15" s="21"/>
      <c r="M15" s="14"/>
      <c r="N15" s="14"/>
      <c r="O15" s="14"/>
      <c r="P15" s="14"/>
      <c r="Q15" s="14"/>
      <c r="R15" s="14"/>
      <c r="S15" s="14"/>
      <c r="T15" s="43"/>
      <c r="U15" s="11">
        <f t="shared" si="0"/>
        <v>0</v>
      </c>
    </row>
    <row r="16" spans="2:21" ht="20.25" x14ac:dyDescent="0.25">
      <c r="B16" s="78" t="s">
        <v>28</v>
      </c>
      <c r="C16" s="21"/>
      <c r="D16" s="14"/>
      <c r="E16" s="14"/>
      <c r="F16" s="14"/>
      <c r="G16" s="14"/>
      <c r="H16" s="14"/>
      <c r="I16" s="14"/>
      <c r="J16" s="14"/>
      <c r="K16" s="13"/>
      <c r="L16" s="21"/>
      <c r="M16" s="14"/>
      <c r="N16" s="14"/>
      <c r="O16" s="14"/>
      <c r="P16" s="14"/>
      <c r="Q16" s="14"/>
      <c r="R16" s="14"/>
      <c r="S16" s="14"/>
      <c r="T16" s="43"/>
      <c r="U16" s="11">
        <f t="shared" si="0"/>
        <v>0</v>
      </c>
    </row>
    <row r="17" spans="2:21" ht="20.25" x14ac:dyDescent="0.25">
      <c r="B17" s="78" t="s">
        <v>29</v>
      </c>
      <c r="C17" s="21"/>
      <c r="D17" s="14"/>
      <c r="E17" s="14"/>
      <c r="F17" s="12"/>
      <c r="G17" s="14"/>
      <c r="H17" s="14"/>
      <c r="I17" s="14"/>
      <c r="J17" s="14"/>
      <c r="K17" s="13"/>
      <c r="L17" s="21"/>
      <c r="M17" s="14"/>
      <c r="N17" s="14"/>
      <c r="O17" s="14"/>
      <c r="P17" s="14"/>
      <c r="Q17" s="14"/>
      <c r="R17" s="14"/>
      <c r="S17" s="14"/>
      <c r="T17" s="43"/>
      <c r="U17" s="11">
        <f t="shared" si="0"/>
        <v>0</v>
      </c>
    </row>
    <row r="18" spans="2:21" ht="20.25" x14ac:dyDescent="0.25">
      <c r="B18" s="78" t="s">
        <v>31</v>
      </c>
      <c r="C18" s="21"/>
      <c r="D18" s="14"/>
      <c r="E18" s="14"/>
      <c r="F18" s="14"/>
      <c r="G18" s="14"/>
      <c r="H18" s="14"/>
      <c r="I18" s="14"/>
      <c r="J18" s="14"/>
      <c r="K18" s="13"/>
      <c r="L18" s="21"/>
      <c r="M18" s="14"/>
      <c r="N18" s="14"/>
      <c r="O18" s="14"/>
      <c r="P18" s="14"/>
      <c r="Q18" s="14"/>
      <c r="R18" s="14"/>
      <c r="S18" s="14"/>
      <c r="T18" s="43"/>
      <c r="U18" s="11">
        <f t="shared" si="0"/>
        <v>0</v>
      </c>
    </row>
    <row r="19" spans="2:21" ht="20.25" x14ac:dyDescent="0.25">
      <c r="B19" s="78" t="s">
        <v>32</v>
      </c>
      <c r="C19" s="21"/>
      <c r="D19" s="14"/>
      <c r="E19" s="14"/>
      <c r="F19" s="14"/>
      <c r="G19" s="14"/>
      <c r="H19" s="14"/>
      <c r="I19" s="14"/>
      <c r="J19" s="14"/>
      <c r="K19" s="13"/>
      <c r="L19" s="21"/>
      <c r="M19" s="14"/>
      <c r="N19" s="14"/>
      <c r="O19" s="14"/>
      <c r="P19" s="14"/>
      <c r="Q19" s="14"/>
      <c r="R19" s="14"/>
      <c r="S19" s="14"/>
      <c r="T19" s="45"/>
      <c r="U19" s="11">
        <f t="shared" si="0"/>
        <v>0</v>
      </c>
    </row>
    <row r="20" spans="2:21" ht="20.25" x14ac:dyDescent="0.25">
      <c r="B20" s="78" t="s">
        <v>33</v>
      </c>
      <c r="C20" s="21"/>
      <c r="D20" s="14"/>
      <c r="E20" s="14"/>
      <c r="F20" s="14"/>
      <c r="G20" s="14"/>
      <c r="H20" s="12"/>
      <c r="I20" s="12"/>
      <c r="J20" s="12"/>
      <c r="K20" s="35"/>
      <c r="L20" s="21"/>
      <c r="M20" s="14"/>
      <c r="N20" s="14"/>
      <c r="O20" s="14"/>
      <c r="P20" s="14"/>
      <c r="Q20" s="14"/>
      <c r="R20" s="14"/>
      <c r="S20" s="12"/>
      <c r="T20" s="15"/>
      <c r="U20" s="11">
        <f t="shared" si="0"/>
        <v>0</v>
      </c>
    </row>
    <row r="21" spans="2:21" ht="20.25" x14ac:dyDescent="0.25">
      <c r="B21" s="78" t="s">
        <v>37</v>
      </c>
      <c r="C21" s="21"/>
      <c r="D21" s="14"/>
      <c r="E21" s="14"/>
      <c r="F21" s="14"/>
      <c r="G21" s="14"/>
      <c r="H21" s="14"/>
      <c r="I21" s="14"/>
      <c r="J21" s="14"/>
      <c r="K21" s="47"/>
      <c r="L21" s="21"/>
      <c r="M21" s="12"/>
      <c r="N21" s="12"/>
      <c r="O21" s="12"/>
      <c r="P21" s="14"/>
      <c r="Q21" s="14"/>
      <c r="R21" s="14"/>
      <c r="S21" s="14"/>
      <c r="T21" s="43"/>
      <c r="U21" s="11">
        <f t="shared" si="0"/>
        <v>0</v>
      </c>
    </row>
    <row r="22" spans="2:21" ht="21" thickBot="1" x14ac:dyDescent="0.3">
      <c r="B22" s="79" t="s">
        <v>43</v>
      </c>
      <c r="C22" s="77"/>
      <c r="D22" s="52"/>
      <c r="E22" s="52"/>
      <c r="F22" s="52"/>
      <c r="G22" s="52"/>
      <c r="H22" s="52"/>
      <c r="I22" s="52"/>
      <c r="J22" s="52"/>
      <c r="K22" s="84"/>
      <c r="L22" s="85"/>
      <c r="M22" s="82"/>
      <c r="N22" s="82"/>
      <c r="O22" s="82"/>
      <c r="P22" s="82"/>
      <c r="Q22" s="82"/>
      <c r="R22" s="82"/>
      <c r="S22" s="82"/>
      <c r="T22" s="83"/>
      <c r="U22" s="11">
        <f>SUM(C22:T22)</f>
        <v>0</v>
      </c>
    </row>
    <row r="23" spans="2:21" ht="30.75" thickBot="1" x14ac:dyDescent="0.3">
      <c r="B23" s="2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5">
        <f>SUM(U7:U22)</f>
        <v>0</v>
      </c>
    </row>
    <row r="24" spans="2:21" ht="2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</row>
    <row r="25" spans="2:21" ht="42" thickBot="1" x14ac:dyDescent="0.3">
      <c r="B25" s="1"/>
      <c r="C25" s="10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8"/>
      <c r="U25" s="2"/>
    </row>
    <row r="26" spans="2:21" ht="21" thickBot="1" x14ac:dyDescent="0.3">
      <c r="B26" s="1"/>
      <c r="C26" s="95" t="s">
        <v>3</v>
      </c>
      <c r="D26" s="96"/>
      <c r="E26" s="96"/>
      <c r="F26" s="96"/>
      <c r="G26" s="96"/>
      <c r="H26" s="96"/>
      <c r="I26" s="96"/>
      <c r="J26" s="96"/>
      <c r="K26" s="97"/>
      <c r="L26" s="98" t="s">
        <v>4</v>
      </c>
      <c r="M26" s="99"/>
      <c r="N26" s="99"/>
      <c r="O26" s="99"/>
      <c r="P26" s="99"/>
      <c r="Q26" s="99"/>
      <c r="R26" s="99"/>
      <c r="S26" s="99"/>
      <c r="T26" s="100"/>
      <c r="U26" s="2"/>
    </row>
    <row r="27" spans="2:21" ht="21" thickBot="1" x14ac:dyDescent="0.3">
      <c r="B27" s="5" t="s">
        <v>9</v>
      </c>
      <c r="C27" s="6" t="s">
        <v>10</v>
      </c>
      <c r="D27" s="7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7" t="s">
        <v>16</v>
      </c>
      <c r="J27" s="7" t="s">
        <v>17</v>
      </c>
      <c r="K27" s="27" t="s">
        <v>18</v>
      </c>
      <c r="L27" s="28" t="s">
        <v>10</v>
      </c>
      <c r="M27" s="8" t="s">
        <v>11</v>
      </c>
      <c r="N27" s="8" t="s">
        <v>12</v>
      </c>
      <c r="O27" s="8" t="s">
        <v>13</v>
      </c>
      <c r="P27" s="8" t="s">
        <v>14</v>
      </c>
      <c r="Q27" s="8" t="s">
        <v>15</v>
      </c>
      <c r="R27" s="8" t="s">
        <v>16</v>
      </c>
      <c r="S27" s="8" t="s">
        <v>17</v>
      </c>
      <c r="T27" s="9" t="s">
        <v>18</v>
      </c>
      <c r="U27" s="2"/>
    </row>
    <row r="28" spans="2:21" ht="20.25" x14ac:dyDescent="0.25">
      <c r="B28" s="29" t="s">
        <v>19</v>
      </c>
      <c r="C28" s="34"/>
      <c r="D28" s="36"/>
      <c r="E28" s="34"/>
      <c r="F28" s="34"/>
      <c r="G28" s="34"/>
      <c r="H28" s="34"/>
      <c r="I28" s="34"/>
      <c r="J28" s="34"/>
      <c r="K28" s="40"/>
      <c r="L28" s="57"/>
      <c r="M28" s="34"/>
      <c r="N28" s="34"/>
      <c r="O28" s="12"/>
      <c r="P28" s="12"/>
      <c r="Q28" s="12"/>
      <c r="R28" s="12"/>
      <c r="S28" s="12"/>
      <c r="T28" s="12"/>
      <c r="U28" s="30">
        <f t="shared" ref="U28:U34" si="1">SUM(C28:T28)</f>
        <v>0</v>
      </c>
    </row>
    <row r="29" spans="2:21" ht="20.25" x14ac:dyDescent="0.25">
      <c r="B29" s="29" t="s">
        <v>20</v>
      </c>
      <c r="C29" s="12"/>
      <c r="D29" s="12"/>
      <c r="E29" s="12"/>
      <c r="F29" s="12"/>
      <c r="G29" s="12"/>
      <c r="H29" s="12"/>
      <c r="I29" s="12"/>
      <c r="J29" s="12"/>
      <c r="K29" s="35"/>
      <c r="L29" s="32"/>
      <c r="M29" s="14"/>
      <c r="N29" s="12"/>
      <c r="O29" s="12"/>
      <c r="P29" s="12"/>
      <c r="Q29" s="12"/>
      <c r="R29" s="12"/>
      <c r="S29" s="12"/>
      <c r="T29" s="12"/>
      <c r="U29" s="31">
        <f t="shared" si="1"/>
        <v>0</v>
      </c>
    </row>
    <row r="30" spans="2:21" ht="20.25" x14ac:dyDescent="0.25">
      <c r="B30" s="29" t="s">
        <v>21</v>
      </c>
      <c r="C30" s="12"/>
      <c r="D30" s="14"/>
      <c r="E30" s="14"/>
      <c r="F30" s="46"/>
      <c r="G30" s="14"/>
      <c r="H30" s="14"/>
      <c r="I30" s="12"/>
      <c r="J30" s="14"/>
      <c r="K30" s="35"/>
      <c r="L30" s="32"/>
      <c r="M30" s="58"/>
      <c r="N30" s="12"/>
      <c r="O30" s="12"/>
      <c r="P30" s="12"/>
      <c r="Q30" s="12"/>
      <c r="R30" s="12"/>
      <c r="S30" s="14"/>
      <c r="T30" s="14"/>
      <c r="U30" s="30">
        <f t="shared" si="1"/>
        <v>0</v>
      </c>
    </row>
    <row r="31" spans="2:21" ht="20.25" x14ac:dyDescent="0.25">
      <c r="B31" s="29" t="s">
        <v>22</v>
      </c>
      <c r="C31" s="14"/>
      <c r="D31" s="14"/>
      <c r="E31" s="14"/>
      <c r="F31" s="14"/>
      <c r="G31" s="14"/>
      <c r="H31" s="46"/>
      <c r="I31" s="14"/>
      <c r="J31" s="12"/>
      <c r="K31" s="12"/>
      <c r="L31" s="21"/>
      <c r="M31" s="12"/>
      <c r="N31" s="12"/>
      <c r="O31" s="12"/>
      <c r="P31" s="12"/>
      <c r="Q31" s="12"/>
      <c r="R31" s="12"/>
      <c r="S31" s="12"/>
      <c r="T31" s="14"/>
      <c r="U31" s="30">
        <f t="shared" si="1"/>
        <v>0</v>
      </c>
    </row>
    <row r="32" spans="2:21" ht="20.25" x14ac:dyDescent="0.25">
      <c r="B32" s="29" t="s">
        <v>23</v>
      </c>
      <c r="C32" s="14"/>
      <c r="D32" s="14"/>
      <c r="E32" s="14"/>
      <c r="F32" s="14"/>
      <c r="G32" s="14"/>
      <c r="H32" s="14"/>
      <c r="I32" s="14"/>
      <c r="J32" s="14"/>
      <c r="K32" s="13"/>
      <c r="L32" s="21"/>
      <c r="M32" s="12"/>
      <c r="N32" s="14"/>
      <c r="O32" s="12"/>
      <c r="P32" s="12"/>
      <c r="Q32" s="46"/>
      <c r="R32" s="12"/>
      <c r="S32" s="46"/>
      <c r="T32" s="14"/>
      <c r="U32" s="30">
        <f t="shared" si="1"/>
        <v>0</v>
      </c>
    </row>
    <row r="33" spans="2:21" ht="20.25" x14ac:dyDescent="0.25">
      <c r="B33" s="29" t="s">
        <v>24</v>
      </c>
      <c r="C33" s="14"/>
      <c r="D33" s="14"/>
      <c r="E33" s="12"/>
      <c r="F33" s="12"/>
      <c r="G33" s="14"/>
      <c r="H33" s="12"/>
      <c r="I33" s="14"/>
      <c r="J33" s="14"/>
      <c r="K33" s="13"/>
      <c r="L33" s="21"/>
      <c r="M33" s="14"/>
      <c r="N33" s="12"/>
      <c r="O33" s="14"/>
      <c r="P33" s="12"/>
      <c r="Q33" s="14"/>
      <c r="R33" s="14"/>
      <c r="S33" s="14"/>
      <c r="T33" s="46"/>
      <c r="U33" s="30">
        <f t="shared" si="1"/>
        <v>0</v>
      </c>
    </row>
    <row r="34" spans="2:21" ht="21" thickBot="1" x14ac:dyDescent="0.3">
      <c r="B34" s="29" t="s">
        <v>25</v>
      </c>
      <c r="C34" s="14"/>
      <c r="D34" s="14"/>
      <c r="E34" s="12"/>
      <c r="F34" s="14"/>
      <c r="G34" s="14"/>
      <c r="H34" s="14"/>
      <c r="I34" s="14"/>
      <c r="J34" s="12"/>
      <c r="K34" s="35"/>
      <c r="L34" s="32"/>
      <c r="M34" s="12"/>
      <c r="N34" s="12"/>
      <c r="O34" s="12"/>
      <c r="P34" s="14"/>
      <c r="Q34" s="14"/>
      <c r="R34" s="14"/>
      <c r="S34" s="14"/>
      <c r="T34" s="14"/>
      <c r="U34" s="30">
        <f t="shared" si="1"/>
        <v>0</v>
      </c>
    </row>
    <row r="35" spans="2:21" ht="30.75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5">
        <f>SUM(U28:U34)</f>
        <v>0</v>
      </c>
    </row>
    <row r="36" spans="2:21" ht="20.2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</row>
    <row r="37" spans="2:21" ht="41.25" x14ac:dyDescent="0.25">
      <c r="B37" s="1"/>
      <c r="C37" s="101" t="s">
        <v>47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2"/>
    </row>
    <row r="38" spans="2:21" ht="21" thickBot="1" x14ac:dyDescent="0.3">
      <c r="B38" s="1"/>
      <c r="C38" s="122" t="s">
        <v>48</v>
      </c>
      <c r="D38" s="123"/>
      <c r="E38" s="123"/>
      <c r="F38" s="123"/>
      <c r="G38" s="123"/>
      <c r="H38" s="123"/>
      <c r="I38" s="123"/>
      <c r="J38" s="123"/>
      <c r="K38" s="124"/>
      <c r="L38" s="2"/>
      <c r="M38" s="1"/>
      <c r="N38" s="1"/>
      <c r="O38" s="1"/>
      <c r="P38" s="1"/>
      <c r="Q38" s="1"/>
      <c r="R38" s="1"/>
      <c r="S38" s="1"/>
      <c r="T38" s="1"/>
      <c r="U38" s="1"/>
    </row>
    <row r="39" spans="2:21" ht="21" thickBot="1" x14ac:dyDescent="0.3">
      <c r="B39" s="5" t="s">
        <v>9</v>
      </c>
      <c r="C39" s="8" t="s">
        <v>10</v>
      </c>
      <c r="D39" s="8" t="s">
        <v>11</v>
      </c>
      <c r="E39" s="8" t="s">
        <v>12</v>
      </c>
      <c r="F39" s="8" t="s">
        <v>13</v>
      </c>
      <c r="G39" s="8" t="s">
        <v>14</v>
      </c>
      <c r="H39" s="8" t="s">
        <v>15</v>
      </c>
      <c r="I39" s="8" t="s">
        <v>16</v>
      </c>
      <c r="J39" s="8" t="s">
        <v>17</v>
      </c>
      <c r="K39" s="9" t="s">
        <v>18</v>
      </c>
      <c r="L39" s="2"/>
      <c r="M39" s="1"/>
      <c r="N39" s="1"/>
      <c r="O39" s="1"/>
      <c r="P39" s="1"/>
      <c r="Q39" s="1"/>
      <c r="R39" s="1"/>
      <c r="S39" s="1"/>
      <c r="T39" s="1"/>
      <c r="U39" s="1"/>
    </row>
    <row r="40" spans="2:21" ht="20.25" x14ac:dyDescent="0.25">
      <c r="B40" s="29" t="s">
        <v>19</v>
      </c>
      <c r="C40" s="34"/>
      <c r="D40" s="34"/>
      <c r="E40" s="34"/>
      <c r="F40" s="34"/>
      <c r="G40" s="34"/>
      <c r="H40" s="36"/>
      <c r="I40" s="36"/>
      <c r="J40" s="36"/>
      <c r="K40" s="36"/>
      <c r="L40" s="30">
        <f t="shared" ref="L40:L45" si="2">SUM(C40:K40)</f>
        <v>0</v>
      </c>
      <c r="M40" s="1"/>
      <c r="N40" s="1"/>
      <c r="O40" s="1"/>
      <c r="P40" s="1"/>
      <c r="Q40" s="1"/>
      <c r="R40" s="1"/>
      <c r="S40" s="1"/>
      <c r="T40" s="1"/>
      <c r="U40" s="1"/>
    </row>
    <row r="41" spans="2:21" ht="20.25" x14ac:dyDescent="0.25">
      <c r="B41" s="29" t="s">
        <v>20</v>
      </c>
      <c r="C41" s="14"/>
      <c r="D41" s="14"/>
      <c r="E41" s="12"/>
      <c r="F41" s="14"/>
      <c r="G41" s="14"/>
      <c r="H41" s="12"/>
      <c r="I41" s="12"/>
      <c r="J41" s="12"/>
      <c r="K41" s="12"/>
      <c r="L41" s="30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</row>
    <row r="42" spans="2:21" ht="20.25" x14ac:dyDescent="0.25">
      <c r="B42" s="29" t="s">
        <v>46</v>
      </c>
      <c r="C42" s="14"/>
      <c r="D42" s="14"/>
      <c r="E42" s="14"/>
      <c r="F42" s="14"/>
      <c r="G42" s="14"/>
      <c r="H42" s="14"/>
      <c r="I42" s="14"/>
      <c r="J42" s="14"/>
      <c r="K42" s="12"/>
      <c r="L42" s="30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</row>
    <row r="43" spans="2:21" ht="20.25" x14ac:dyDescent="0.25">
      <c r="B43" s="29" t="s">
        <v>23</v>
      </c>
      <c r="C43" s="14"/>
      <c r="D43" s="14"/>
      <c r="E43" s="14"/>
      <c r="F43" s="14"/>
      <c r="G43" s="14"/>
      <c r="H43" s="14"/>
      <c r="I43" s="14"/>
      <c r="J43" s="14"/>
      <c r="K43" s="14"/>
      <c r="L43" s="30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</row>
    <row r="44" spans="2:21" ht="20.25" x14ac:dyDescent="0.25">
      <c r="B44" s="29" t="s">
        <v>24</v>
      </c>
      <c r="C44" s="12"/>
      <c r="D44" s="12"/>
      <c r="E44" s="37"/>
      <c r="F44" s="12"/>
      <c r="G44" s="12"/>
      <c r="H44" s="14"/>
      <c r="I44" s="14"/>
      <c r="J44" s="14"/>
      <c r="K44" s="14"/>
      <c r="L44" s="30">
        <f t="shared" si="2"/>
        <v>0</v>
      </c>
      <c r="M44" s="1"/>
      <c r="N44" s="1"/>
      <c r="O44" s="1"/>
      <c r="P44" s="1"/>
      <c r="Q44" s="1"/>
      <c r="R44" s="1"/>
      <c r="S44" s="26"/>
      <c r="T44" s="1"/>
      <c r="U44" s="1"/>
    </row>
    <row r="45" spans="2:21" ht="20.25" x14ac:dyDescent="0.25">
      <c r="B45" s="29" t="s">
        <v>25</v>
      </c>
      <c r="C45" s="14"/>
      <c r="D45" s="14"/>
      <c r="E45" s="14"/>
      <c r="F45" s="14"/>
      <c r="G45" s="12"/>
      <c r="H45" s="12"/>
      <c r="I45" s="12"/>
      <c r="J45" s="12"/>
      <c r="K45" s="14"/>
      <c r="L45" s="33">
        <f t="shared" si="2"/>
        <v>0</v>
      </c>
      <c r="M45" s="1"/>
      <c r="N45" s="1"/>
      <c r="O45" s="1"/>
      <c r="P45" s="1"/>
      <c r="Q45" s="1"/>
      <c r="R45" s="1"/>
      <c r="S45" s="1"/>
      <c r="T45" s="1"/>
      <c r="U45" s="1"/>
    </row>
    <row r="46" spans="2:21" ht="3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05">
        <f>SUM(L40:L45)</f>
        <v>0</v>
      </c>
      <c r="M46" s="105"/>
      <c r="N46" s="1"/>
      <c r="O46" s="1"/>
      <c r="P46" s="1"/>
      <c r="Q46" s="1"/>
      <c r="R46" s="1"/>
      <c r="S46" s="1"/>
      <c r="T46" s="1"/>
      <c r="U46" s="1"/>
    </row>
  </sheetData>
  <mergeCells count="10">
    <mergeCell ref="L46:M46"/>
    <mergeCell ref="E1:S2"/>
    <mergeCell ref="C4:T4"/>
    <mergeCell ref="C5:K5"/>
    <mergeCell ref="L5:T5"/>
    <mergeCell ref="C25:T25"/>
    <mergeCell ref="C26:K26"/>
    <mergeCell ref="L26:T26"/>
    <mergeCell ref="C37:T37"/>
    <mergeCell ref="C38:K38"/>
  </mergeCells>
  <pageMargins left="0.7" right="0.7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8C29-2115-4A37-99E5-894EB1E9C83A}">
  <sheetPr>
    <pageSetUpPr fitToPage="1"/>
  </sheetPr>
  <dimension ref="A1:M6"/>
  <sheetViews>
    <sheetView workbookViewId="0">
      <selection sqref="A1:N9"/>
    </sheetView>
  </sheetViews>
  <sheetFormatPr baseColWidth="10" defaultRowHeight="15" x14ac:dyDescent="0.25"/>
  <cols>
    <col min="2" max="2" width="25.5703125" customWidth="1"/>
  </cols>
  <sheetData>
    <row r="1" spans="1:13" ht="37.5" x14ac:dyDescent="0.4">
      <c r="B1" s="92" t="s">
        <v>56</v>
      </c>
      <c r="C1" s="90" t="s">
        <v>10</v>
      </c>
      <c r="D1" s="90" t="s">
        <v>11</v>
      </c>
      <c r="E1" s="90" t="s">
        <v>52</v>
      </c>
      <c r="F1" s="90" t="s">
        <v>53</v>
      </c>
      <c r="G1" s="90" t="s">
        <v>14</v>
      </c>
      <c r="H1" s="90" t="s">
        <v>15</v>
      </c>
      <c r="I1" s="90" t="s">
        <v>16</v>
      </c>
      <c r="J1" s="90" t="s">
        <v>17</v>
      </c>
      <c r="K1" s="90" t="s">
        <v>18</v>
      </c>
      <c r="L1" s="93" t="s">
        <v>57</v>
      </c>
    </row>
    <row r="2" spans="1:13" x14ac:dyDescent="0.25">
      <c r="B2" s="91" t="s">
        <v>54</v>
      </c>
      <c r="C2" s="89"/>
      <c r="D2" s="89">
        <v>457</v>
      </c>
      <c r="E2" s="89">
        <v>1045</v>
      </c>
      <c r="F2" s="89">
        <v>1388</v>
      </c>
      <c r="G2" s="89">
        <v>595</v>
      </c>
      <c r="H2" s="89">
        <v>152</v>
      </c>
      <c r="I2" s="89">
        <v>31</v>
      </c>
      <c r="J2" s="89"/>
      <c r="K2" s="89"/>
      <c r="L2" s="89">
        <f>(D2+E2+F2+G2+H2+I2)</f>
        <v>3668</v>
      </c>
    </row>
    <row r="3" spans="1:13" x14ac:dyDescent="0.25">
      <c r="A3" s="94">
        <v>46160</v>
      </c>
      <c r="B3" s="91" t="s">
        <v>61</v>
      </c>
      <c r="C3" s="89"/>
      <c r="D3" s="89">
        <v>313</v>
      </c>
      <c r="E3" s="89">
        <v>474</v>
      </c>
      <c r="F3" s="89">
        <v>140</v>
      </c>
      <c r="G3" s="89">
        <v>99</v>
      </c>
      <c r="H3" s="89">
        <v>152</v>
      </c>
      <c r="I3" s="89">
        <v>31</v>
      </c>
      <c r="J3" s="89"/>
      <c r="K3" s="89"/>
      <c r="L3" s="89">
        <f>(D3+E3+F3+G3+H3+I3)</f>
        <v>1209</v>
      </c>
      <c r="M3" t="s">
        <v>58</v>
      </c>
    </row>
    <row r="4" spans="1:13" x14ac:dyDescent="0.25">
      <c r="B4" s="91" t="s">
        <v>55</v>
      </c>
      <c r="C4" s="89"/>
      <c r="D4" s="89">
        <f>(D2-D3)</f>
        <v>144</v>
      </c>
      <c r="E4" s="89">
        <f>(E2-E3)</f>
        <v>571</v>
      </c>
      <c r="F4" s="89">
        <f>F2-F3</f>
        <v>1248</v>
      </c>
      <c r="G4" s="89">
        <f>(G2-G3)</f>
        <v>496</v>
      </c>
      <c r="H4" s="89"/>
      <c r="I4" s="89"/>
      <c r="J4" s="89"/>
      <c r="K4" s="89"/>
      <c r="L4" s="89">
        <f>(D4+E4+F4+G4)</f>
        <v>2459</v>
      </c>
    </row>
    <row r="5" spans="1:13" x14ac:dyDescent="0.25">
      <c r="A5" s="94">
        <v>46167</v>
      </c>
      <c r="B5" s="91" t="s">
        <v>60</v>
      </c>
      <c r="C5" s="89"/>
      <c r="D5" s="89">
        <v>144</v>
      </c>
      <c r="E5" s="89">
        <v>496</v>
      </c>
      <c r="F5" s="89">
        <v>1244</v>
      </c>
      <c r="G5" s="89">
        <v>496</v>
      </c>
      <c r="H5" s="89"/>
      <c r="I5" s="89"/>
      <c r="J5" s="89"/>
      <c r="K5" s="89"/>
      <c r="L5" s="89">
        <f>SUM(D5+E5+F5+G5)</f>
        <v>2380</v>
      </c>
      <c r="M5" t="s">
        <v>62</v>
      </c>
    </row>
    <row r="6" spans="1:13" x14ac:dyDescent="0.25">
      <c r="A6" s="94">
        <v>46169</v>
      </c>
      <c r="B6" s="91" t="s">
        <v>63</v>
      </c>
      <c r="C6" s="89"/>
      <c r="D6" s="89">
        <f>(D4-D5)</f>
        <v>0</v>
      </c>
      <c r="E6" s="89">
        <f>(E4-E5)</f>
        <v>75</v>
      </c>
      <c r="F6" s="89">
        <f>F4-F5</f>
        <v>4</v>
      </c>
      <c r="G6" s="89">
        <f>(G4-G5)</f>
        <v>0</v>
      </c>
      <c r="H6" s="89"/>
      <c r="I6" s="89"/>
      <c r="J6" s="89"/>
      <c r="K6" s="89"/>
      <c r="L6" s="89">
        <f>(D6+E6+F6+G6)</f>
        <v>79</v>
      </c>
    </row>
  </sheetData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 codeName="Hoja3">
    <pageSetUpPr fitToPage="1"/>
  </sheetPr>
  <dimension ref="A1:AA82"/>
  <sheetViews>
    <sheetView tabSelected="1" topLeftCell="A18" zoomScale="110" zoomScaleNormal="110" workbookViewId="0">
      <selection activeCell="T3" sqref="T3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7109375" style="1" customWidth="1"/>
    <col min="21" max="21" width="24" style="2" customWidth="1"/>
    <col min="22" max="22" width="13" style="1"/>
    <col min="23" max="23" width="22.28515625" style="1" bestFit="1" customWidth="1"/>
    <col min="24" max="24" width="13" style="1"/>
    <col min="25" max="25" width="16.85546875" style="1" bestFit="1" customWidth="1"/>
    <col min="26" max="26" width="16.28515625" style="1" bestFit="1" customWidth="1"/>
    <col min="27" max="16384" width="13" style="1"/>
  </cols>
  <sheetData>
    <row r="1" spans="1:27" x14ac:dyDescent="0.25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  <c r="O1" s="115">
        <f ca="1">TODAY()</f>
        <v>46209</v>
      </c>
      <c r="P1" s="116"/>
      <c r="Q1" s="116"/>
      <c r="R1" s="116"/>
      <c r="S1" s="116"/>
      <c r="T1" s="117"/>
    </row>
    <row r="2" spans="1:27" ht="21" thickBot="1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8"/>
      <c r="P2" s="118"/>
      <c r="Q2" s="118"/>
      <c r="R2" s="118"/>
      <c r="S2" s="118"/>
      <c r="T2" s="119"/>
    </row>
    <row r="3" spans="1:27" ht="63" customHeight="1" thickBot="1" x14ac:dyDescent="0.3">
      <c r="O3" s="1" t="s">
        <v>1</v>
      </c>
      <c r="U3" s="3"/>
    </row>
    <row r="4" spans="1:27" ht="36.75" customHeight="1" thickBot="1" x14ac:dyDescent="0.3">
      <c r="A4" s="1" t="s">
        <v>64</v>
      </c>
      <c r="C4" s="106" t="s">
        <v>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X4" s="1" t="s">
        <v>1</v>
      </c>
      <c r="AA4" s="1" t="s">
        <v>1</v>
      </c>
    </row>
    <row r="5" spans="1:27" ht="30" customHeight="1" thickBot="1" x14ac:dyDescent="0.3">
      <c r="C5" s="95" t="s">
        <v>3</v>
      </c>
      <c r="D5" s="96"/>
      <c r="E5" s="96"/>
      <c r="F5" s="96"/>
      <c r="G5" s="96"/>
      <c r="H5" s="96"/>
      <c r="I5" s="96"/>
      <c r="J5" s="96"/>
      <c r="K5" s="120"/>
      <c r="L5" s="98" t="s">
        <v>4</v>
      </c>
      <c r="M5" s="99"/>
      <c r="N5" s="99"/>
      <c r="O5" s="99"/>
      <c r="P5" s="99"/>
      <c r="Q5" s="99"/>
      <c r="R5" s="99"/>
      <c r="S5" s="99"/>
      <c r="T5" s="100"/>
      <c r="W5" s="4" t="s">
        <v>5</v>
      </c>
      <c r="X5" s="4" t="s">
        <v>6</v>
      </c>
      <c r="Y5" s="4" t="s">
        <v>7</v>
      </c>
      <c r="Z5" s="4" t="s">
        <v>8</v>
      </c>
    </row>
    <row r="6" spans="1:27" ht="21.75" customHeight="1" thickBot="1" x14ac:dyDescent="0.3">
      <c r="B6" s="5" t="s">
        <v>9</v>
      </c>
      <c r="C6" s="6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27" t="s">
        <v>18</v>
      </c>
      <c r="L6" s="28" t="s">
        <v>10</v>
      </c>
      <c r="M6" s="8" t="s">
        <v>11</v>
      </c>
      <c r="N6" s="8" t="s">
        <v>12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17</v>
      </c>
      <c r="T6" s="9" t="s">
        <v>18</v>
      </c>
      <c r="W6" s="10" t="s">
        <v>19</v>
      </c>
      <c r="X6" s="4">
        <v>334</v>
      </c>
      <c r="Y6" s="4">
        <f>X6*3.5</f>
        <v>1169</v>
      </c>
      <c r="Z6" s="4">
        <f>X6*2.5</f>
        <v>835</v>
      </c>
    </row>
    <row r="7" spans="1:27" x14ac:dyDescent="0.25">
      <c r="B7" s="74" t="s">
        <v>19</v>
      </c>
      <c r="C7" s="69">
        <f>40+10+24+68+50+31+69-1-43-1-1-2-1+180-2-1-1-1-1-2-1-1-1-1-1-1-1-2-1-1+1-2-1-1-1-1-3-1-2-1-3-2-5-20-1-2-2-1-5+1-3-4+50-1-10-1-7-1+50-1-1-30-1-5-6-5-1-2-1-4-2-1-1-3-2-1-3-1-4-1-1-1-1-1-2-2-3-1-1-2-1-2-5-3-1-1-1-1-1-1-6-1-2-2-1-6+81-7-1-1-1-1-1-3+40-1-1-3-1-1-2-1-2-1-5-50-3-1-200-2-2-2-1-2-1-1-1-1-6-1-4-2-6+50-1-1-2-3-1-1-1-1-1-1-2-1-1-2-1-1-2-1-1+167-1-1+1-1-2-1-39-1-5-1-2-1-1-1+1-7-9-1-1-1-1-1-8-2-3-1-6-1-2-1-5-1-1-2-5-4+31-1-1-1-1-2-1-5+79-1-4-7-2-1-2-7-1-1-1-6-1-3-3-4-1-1-4-2-5+1-2-1-5-1-2-28+101-2-1-2-4-3-5-1+1-1-2-1-1-1-1-4-4-1-3-3-1-1-1-1-4-9-2-1-2-4-1-34-2-4-5+61-3-1-1-1-9+51-1-1-4-1-1-1-10-1-2-2-1-1-1-1-1-1+50-1-1-1-1-1-2-2-2-7-1-10-3-1-15-1-3-5</f>
        <v>228</v>
      </c>
      <c r="D7" s="38">
        <f>100*7+108+20+50-1-3-1-1-2-2-145-1-1-1-1-1-5-2-1-1-1-2-6-1-1-5+360-9-1-9-3-1-1-1-15-2-2-6-1-1-1-1-1-1-1-1-4-1-1-2-1-2-1-4-7-1-1-7-1-2-1-1-1-3-2-1-9-1-3-1-1-2-1-1-2-8-3-1-10-1-25-1+1-2-1-1-3-2-8-2-1-1-1-1-1-2-2-1-1-34-1-3-1-13-13-2-1-1-1-1-2-3-3-2-5-3-1-1-2-10-3-50-3-2-1-4-1-1-3-1-1-1-3-6-1-1+200-7+1-1-22-1-2-2-5-1-1-1-5-2-1-40+100-1-40-10-5-1-2-3-3-1-2-1-1-1-15-1+149-6-7-2-5-3+3-3-1+2-1+440-50+1+1-1-1-1-5-10-4-1-1-1-6-18-2-1-28-1-5-1-4-3-1-1-1-7-3-7-4-2+150-1-6-1-2-3-1-1-1-1-12-2-2-1-42-1-39-20-3-1-2-8+55-1-4-4-1-1-2-4-1-7-3-1-3-1-3-1-26-10-2-1-3-1-1-1-1-1-6-10-1-1-2-3-12-11-10-4-1-1-3-6-1-25-2-3-1-5-8-2-3-1-1+303-5-1-7-4-3-1-4-1-4-2-3-1-1+1-1-1-1-1-10-3-5+100-4-5-1-1-1-1-1-6-4-12-1-1-1-2-1-3-1-4-1-2-1-1-1+1-1-3-2-1-7-84-7-1-2-2-2-336-96-1-2-2-143-5-1-5-2-14-4-1-1-2-2-3-1-1-7-5-4-1-1-1-2-7-5-5-1-2-2-6-2-1-1-1+80-5-2-1+2-1-1+84-8-3-1-3-1-2-21-1-6-1-2-1-10-200-7-4-1-15-1-15-2-1-4-1-4-5-2-1-6-3-3-1-2-2-2-1-1-3-1-5-4-7-1+1-1-2-12-7-6-1-2-2-1-4-4-1-1-3-1+1-2-1-4-2-55-1-5-1-4-1-1-1-1-2-2-3-8-1-1-1-2-1-7+302-2-1-2-1-3-3-1-3-1-2+1-9-1-2-2-1-1-4-1-5-49-1+348-1-6-3-4-2-1-1-3-5-5-1-1-7-8-1-2-2-1-2-1-4-2-5+150+200-1-2-1-24-1-1-10-1-1-4-15-1-2-1-3-1-3-1-3-5-1-1+143-3-1-3-12-34-1-2-2-1-1-1-1-1-1-2-5-10-2-1-1-10+170-3-4-70-39-1-8-6-1-1-4-21-5-4-1-9-7-3-10-9-12-1-1-4-1-1-1-1-2-21-2-2-1-6-1-7-2-1-1-1-7-1-15-3-3-1-2-1+1-6-3-20-3-2+1-2-1-3-10-1-1-4-2-20-1-2-1-1-1+348-10-2-11-14-2-7-1-2-8-1-5-1-2-1-8-2-2-4-4-2-76-2-1-17-4-4-1-4-10-3-12-2-2-8-1-1-1-1-5-7-1-5-4-8-5+84-10-16-15-3-7-3-1-18-4-1-5-3-3-2-15-1-1-15-1-18-6-2-1-2-2-2-10-2-4-26-1-4-4-44-1-1-1-6-8-1-1-1-2-4+53-4-1-2-46-5-1-12-10+88-9-6-9-3-1-1-2-1-24+115-2-18-1-1-1-3-1-2-2-1-1-2-2-1-5-3-2-1-2-3-3-1-2-4-1-1-13-11+85+266-10-2-2-1-2+2-1-2-4-9-3+10-10-2-4-3-5-1+101+96+99-1-1-1-2-1-8-1-1-1-1-8-1-25-1-1-1-4+1-3-1-1-9-2-3+4-2-3-3-10-2-1-6+3-23-1-9-1-3-6-1-1-3-1-3-1-2-2-3-1-14-6-1-1</f>
        <v>1086</v>
      </c>
      <c r="E7" s="38">
        <f>100*5+2+50+44+100*3+109+66-3-2-3-1-1-3-1-3-61-1-2-1-7-1-1-1-2-2-4-1-3-1-5-6-4-4-15-1-2-3-2-1-27-1-1-2-2-2-6-6-3--1-3-1-4-6-1-5-3-1-1-1-1+1+360-2-1-1-8-2-2-5-1-14-2-1-2-1-2-1-1-3-1-1-1-1-3+497-2-2-1-2-1-1-3-1-1-6-1-10-1-4-15-1-1-25+1-1-1-1-2-2-1+1-3-1-6-2-1-1-10-4-11-1-10-1-2-1-52-1-1-3-3-20-24-1-4-5-2-2-1-2-1-1-5-4-1-10-3-6-1-1-1-15-3-50-3-2-2-5-2-2+100-1-1-2-1-6-2-1-7-8+1-1-1-2-1-1-1-28-3-1-2-13-1-1-2-5-2-2-2-2-5-4-2-12-2-2-6-20-3-10-1-2-8-1-2-1-1-2-4-1-15-2-1-4+201-6-2-1-1-2-2-1-1-3-3+2-4-1-50+2+2-2-4-10-10-4-8-4-1-1-12-6-5-13-1-34-1-4-4-1-2-1-8-1-1-25-4-7-2+97-1-1-21-3-70-8-3-2-1-1-10-1-2-1-1-2-62-1-1-1-1+1-39-19-2-1-1-3-2-4-1-1-8-2+162-2-1-3-1-1-10-1+145+303-2-1-3-1-4-1-2-1-16-2-1-2-65-5-1-2-2-2-4-1-1-12-1-23-6-1-2-2-1-6-22-8-25-1-3-1-3-14-1-2-3-6-5-3-5-2-1-5-1-10-1-4-3-2-15-1-2-5-3-1-1-5-1-1-8-6-2-8-1-3-1-5+199-1-11-16-2-4-1-3-1-5-6-1-21-1-5-4-11-3-1-2-1-2-1-5-1-5-4-5-1-2-1-7-1-1-2-1-2-1-39-5-1-103-2-13-2-1-1-412-246-2-1-123-19-1-1-1-2-2-1-1-8-1-7-1-2-3-1-1-2-9-2-2-1-22-5-3-4-1-1+419-5-2-1-12-1-6-1-1-1-43-3-1-6-3-1-4-4-2-17-2-3-16-2-4-15-2-7-8-2-1-10-1-6-1-1-28-1-3-10-2-2-3-4-2-1-2-8-2-3-2-1-1-2-3-1-18-3-1-1-5-2-1-4-2-1+1-2-5-6-10-1-1+1-1-11-2-3-2-1+9-5-1-2-4-2-58-2-1-3-4-2-2-3-2-8-1-2-34-1+413+344-2-4-1-1-3-3-8-1-2-4-1-7-1-2+1-9-4-2-2-22-3-43-3-1-2-8-1-1-2-1-1-1-2-2-1-2-1-17-15-1-1-13-1-2-14-4-1-1-2-8-6+351-1-1-4-4-83-1-1-1-2-1-4-10-1-1-4-3-10-3-3-3-9-3-40-23-1-2-1-3-2-1-1-1-2-1-2-1-7-1-2-5-5-2-3-1-10-7-14-70-52-5-1-4-1-3-2-1-2-10-36-7-30-2-13-2-10-7-18-2-7-4-1-3-1-1-31-2-1-2-2-8-2-1+200+246-17-1-9-2-4-26-30-2-40-1-1-2-1-1-2-10-1+1-3-21-1-2-4-2-1-20-1-10-4-1-1-20-2-2-2-1+407-16-2-12-36-1-1-8+13+1-1-3+1-2-10-2-1-6+106-1-6-4-9-1-2-2-17+199-14-1-148-2-14-1-1-1-3-26-2-2-1-2-1-1-1-4-19-10-1-3-7-4-2-1-6-2-2-2-1-3-4-1-3-8-6-1-2-6-4-1-12-10-13-2-1-2-4-5-1-5-31-6-2-3-2-7-3-1-1-4-1-18-1-8-1-2-18-2-3-1-2-2-3-4-10-2-10-5-2-1-25-2-5-39-1-2-2-1-1-3-11-1-1-2-1-9-1-1-2-1-6-3-1-4-90-4-11-15-16-12-10-1-1-12-50+495-10-2-4-3-1-1-10-4-2-3-1-20-1-1-1-4-6-2-5-13-1-1-1-6-1-1-4-1-1-6-1-1-8-2-4-11-4-3-2-4+5+90+147-10-5-6-1-3-5-3+119+7-5-1-2-6-5-5-2-2-1-1+100+99-2-2-1-2-4+51+100-1-1-20-3-1-6-1-1-20-1-1-1-2-12+73-2-6-4-6-3-4-3-5+123-3-1-1-2-1-3-10-1-1-6+6-20-1-7-26-5-1-3-4-2-12-1-1-11-2+50-1-2-2-1-1</f>
        <v>1224</v>
      </c>
      <c r="F7" s="38">
        <f>100*5+110+40+82+25+99+36+100+59+100*6+10+14+105+15-2-5-1-1-24-5-1-1-2-4-2-1-3-4-5-1-3-10-3-15-1-1-2-21-4-1-1-1-1-2-1-6-1-3-1-4-1-1-1-3-9-6-1-2-1-2-2+149-1-1-2-1-1-12-5-1-2-2-4-1-1-1-1-1+50-2-1-1-3-3-1-2-1-4-3-3-20-1-25+1-2+2-1-1-3-3-1-1-1-1-2-1-6-4-2-6-1-2-1-32-1-1-7-5-1-1-1-1-2-5-5-1-10-2-2-6-1-10-50-2-3-1+75-3-1-6+147-6-1+1-1-50-1-4-8-1-1-1-9+50-20-1-10-1-1-2-5-50-2-4-2-1-1-1-2+201+75+1-1-2-1-1-1-1-6-1-1-1-50+2-1-1-10-10-1-14-1-1-8-5-12-19-2-1-1-3-2-1-10-10-50-8-1-2-1+101-1-4-22-4-70-1-3-1-2-10-2-40-1-1-1-1-19-11-1-2-1-2-2-10-2+37-1-1-1-10+301-3-6-3-1-4-1-1-21-3-1-1-1-47-5-1-4-12-1-1-30-2-2-1-3-16-6-30-1-1-1-2-3-1-8-1-4-4-7-6-5-1-3-23-1-5-4-10-2-2-4-1-6-6-2-1-1-1-4-3-5-6-27-5-1-1-3-1-9-5-2-1-4-2-7-5-1+1-1-1-1-1-4-2-5-1-1-3-1-1-4-10-111-13-1-3-1-1-1-3-1-444-226-5-1-2-2-8-1-1-2-2-2-6-1-1-7-1-5-1-1-11-1-4-1-2-2-1-10-1-4-3-5-3-2-1-1+2-2+210-5-1-1-1-2-43-3-3-3-1-6-3-3-8-4-2-4-1-10-4-11-2-4-15-1-14-3-2-2-2-1-1-20-1-7-3-6-1-1-4-2-2-1-2-2-4-6-1-8-2-1-1-5-3-1-4-1-2-1+2-1-3-5-1-1-4-1+797-1-10-1-2-1+12-1-1-1-1-3-55-1-1-4-3-1-9-10-2-1-1-210-1-1+199-1-6-1-1-1-1-7-2-1-1+1-10-1-3-1-1-26-30-6-3-1-9-1-2-1-1-3-2-1-17-1-10-6-1-1-22-3-7-1-11+167-7-13-1-1-2-10-2-4-1-1-4-1-5-1-1-3-22-2-4-1-1-2+1-10-19-1-1-1-1-2-2-2-5-1-4-2-1-10-1-1+50-5-4-1-50-1-51-1-3-5-4-1-2-6-3-13-7-6-1-15-6+119-2-1-10-10-18-2-2-1-2-2-28-2-2-2-1-1-6-5-3-1-24-15+2-26-2-2-3+1-5-1-1-2-6-4-20-1-4-20-1-5-2-2+400-18-11-1-1-19-5+2-1-2-1-1-1-5-1-4-2-9-2-2-1-6+199-4-1-144-2-1-1-4-1+205-1-5-15-3-2-1-4-10-15-1-9--1-3-1-1-3-3-2-1-4-2-1+1-7+111-2-5-11-2-20-2-34-4-3-1-6-4-2-19-1-7-8-2-4-1-1-1-4-1-10-3-1-31-2-3-2-27-1-1-2-4-8-2-2-8-1--4-1-1-68-1-3-4-15-12-8-9-7-1-1-1-45+148-1-5-3-1-3-3-1-10-4-3-3-1-25-1-1-2-5-17-8-1-4-6-1-6-1-1-1-1-1-10-4-7-2-1-3-1-4-1-5-3+245+5-5-2-2-5-5-1-2-1-1+100+100+98-10-2-6-1-5-1-1-1-12-1-1-2-10-1-3-2-1-3-1-1-1-3-2-1-2-3-2-2-3-2-4-12-2-2-8-5-1-1-5-1-1-3-3-8-7-2-16-2</f>
        <v>1164</v>
      </c>
      <c r="G7" s="38">
        <f>100+50*4+100+80+21+86+90+23-1-4-1-1-1-2-3-1-2-4-3-3-1-11-3-1-2-1-1-1-1-5-5-2-1+20-1-1+50-2-1-1-3-1-1-2-1-1-1-1-1-1-2+50-1-5-10+198-1-1+1-2-1-1-4-1-1-1-4-1-1-1-16-1-2-1-1+2+1-2-1-4-1-5-2-3-3-4-10-30-1-1-1-3+100-3+1-10-1-4-1-1-5-1-10-5-1-1-15+50-3-6-3-3-1+1-50+1+2-1-1-5-7-3-5-5-12-2-4-1-2-3-1-9-2-15-2-1-11-2-1-32-1-1-2-2-10-11-4-2-1-15-3-2-2-6-2-2-1-1-5+159-3-1-1-1-1-1-19-2-3-12-5-1-1-1-1-1-2-2-3-15-4-20-2-1-4-2-7-1-3-1-1-1-3-1-3-2-2-3+39-2-6-1-2-1-15-2-1-1-5-1-2-3-2-1-1-2-4-1-2-26-10-49-1-7-1-1-3-4-196-90-4-7-1-1-1-7-4-1-11-2-2-4-9-1+129-2-1-1+4-1-3-1-1-2-18-18-1-3-1-1-4-51-2-1-1-4-3-3-3-1-4-1-2-3-1-6-5-2-2-1-1-4-2-5-1-1+1-1-1-1-1-1-1-1-3-2-5-2-1+25-1-1-1-2-2-1-32-3-1-2-1-4-1-5-1-2-1-8+299+199-1-9+1-2-3-1-5-21-2-5-1-1-2-1-10-5-2-1-11-1-3-6+50-6-3-26-1-1-1-5-1-3-10-2-2-4-4-2-8-1-1-3-1-12-14-1-1-1+61-1-1-1-2-3-5-1-5-12-40-12-1-1-3-2-2-10-1-14-5-1-2-1-5-4+70-3-2-10-4-1-1-2-1-2-1-5-2-2-2-1-15-2-8-1-1-8-1-1-1-20-1-1-1-18-1-1-10-19-1-7-1+1-2-10-1-1-3-2-6-2-4-10-3-100-1-10-1-4-8-1-1-2-1-1-11-12-2-2-1-3-1-1-2-2-1-1-8-16-10-1-1-2-8-2-21+45-2-10-2-2-2-10-1-1-8-3-3-3-1-4+298-2-3-46-6-9-9-10-1-1-1+192-1-3-3-2-1-1-1-1-2-2-1-2-5-4-2-1-4-3-1-1-2-3-1-1-3-1-5-5-4-6-1-1-4-3+122+4-50-2-1-5-5-1+1+1-1-1+99-20-1-1-1-1-1-1-4+98-10-4-3-1-1-1-1-1-2-1-2-2-2-1-2-2-1-9-3-5-3-2-2-2-1-5-1-1-3-2</f>
        <v>474</v>
      </c>
      <c r="H7" s="38">
        <f>53+21+32+35+89+100+25+41+81-1-1-22-1-2-1-1-1-1-2-2-1-1-1-1-3-4-1-1-1+49-1-5+1-1-1-1-8-1-2-1-2-1-20+50-1-1-1-1-3-1-4-1-1-1-1+1-50-2-1-5-1-9-1-2-3-7-1-2-2-1-3-50-2-1-1-10-1-1+79-1-3-2-2-1-2-1-4-1-2-10-1-4-1-1-4+50-1-1-2+20-3-1-1-2-2-1-1-1-4-1-2-1-33-1-1-3-1-4-132-5-1-1-3-5-1-2-1--2-1-1-2-2+50-2-2-2-1-1-3-1-1-1-3-1-2-1-5+1-1-1-2-1-1-1-1-25-1-1-2-1+1-3-1-2+198-1-1-1+1-3-2-1-1-5-4-2-2-18-2-1-3-3-1-14-2-1-1-2-3-2-5-1-20-1-2-1-5-2-2+40-1-4-17-4-1-1-2-1-2-1-1-1-15-1-1-5-1-4-2-8-5-1-1-5+1-1-1-1-1-2-1-1-2-24-1-2-5-5-2-3-1-1-1-1-3-1+1-2+33-1-5-3-3-4-2-2-5-1-1-7-1-1-2-1-1+55-1-18-2-1-5-4-1-4+72-7-3-1-1-1-1-1-1-2-3-3+48+50+20-1-1-3-5-1-2-1-6-1-1-1-1-2-7-1-2-1-2-1-1-1-1-5-4</f>
        <v>287</v>
      </c>
      <c r="I7" s="38">
        <f>9-1-1-1-1+1-1-1-2-2+25+98+15+17-2-1-4+199-1+1-30-2-1-1-3-3-1-1-1-3-6-3+238-10-1-1-1-3-1-3-1-1-1-2-1-1-1-1-1-1-2-1-35-3-140-1-1-1-2-4-1-4-1-1-1-1-6-2-1+1-1-1-16-1-2-1-1-1-1-2-1-1-2-1-1-1-1-6-1-1-3-1-2-5-3-2-5-3-2-1-5-1-1-1-1-4-3-6-1-4+1-1-1-2-8-1-1-1-2+1-1-2-1+35-2-4-3-1-2-1-1-2-10-1-1-3-1-1-1-4-1-1+10-1-1-5-1-1-1-1-2-2-2-1</f>
        <v>163</v>
      </c>
      <c r="J7" s="38">
        <f>10+30+3+27-4-1-1-1-1-20-2+1-10-6-1-3-1-1-1-1-1-1-1-1-1+20-2-5-2-1-2-2-2-4-1-2-1-1-1-1-1+1-5+20+8+1-1-1-1-1-2-1-1-2-3-1+19+1+1-1-8+14-1-1-2-8-1-1-1+101-1-2</f>
        <v>124</v>
      </c>
      <c r="K7" s="39">
        <f>5+40+34-7-1-1+50-1-1-1-1+1-10-2-1-1-3-1-1+1-18-1-1-1-1-1-2-1+1-1-1-1-1-1</f>
        <v>69</v>
      </c>
      <c r="L7" s="69">
        <f>49+80+80+78+90+80+85+90+50+90+50+27-42-10-1-2-1-1-1-1-1-1-1-1-7-2+70+227-2-1-1-4-2+99+1-5-5-1-1-1+150-1-1-2-5-4-20-2-1-1+134+1-5-1-2-4-10-1-80-1-3+1-2-3-2-10-1-1-27-20-10-1-1-2-1-1-1-1-5-1-2-1-1-1-5+326-1-16-1-2-4-1-3-6-1-1-1-4-1-1-1-1-1-1-9-5-1-1-5-3-2-4-3-2-1+1-1-2-10-10-66-1-1-264-1-1-1-1-1+133-1-1-2-4-1-1-1-1-1+1-1-1-5-1-1-56-1-1-1-1-2-3-1-5-1-1-4-1-1+4-1-1-10-3-1+1-2-1-2-2-2-9-5-6-4-3-1-1-3+1-1-2-1-1-1-1-1-1-5-5-2-2-1-2-9-1-1-4-2-1-3-15-4-1-1-1-1-1-5-1-2+1-1-1-5-1-2-1-1-4-1-2-2-10-1-5-3-6-1-3-4-1-5-15-1-1-1-1-16-1-5-1-1-1-2-1-1-28-1-10-1-10-1-8-2-1-1-1-4-1-1-1-1-2-2-1-2-1-5-12-1-1-1-5</f>
        <v>768</v>
      </c>
      <c r="M7" s="38">
        <f>80+80+20+59+80+80*5+75+80+80+48+80+80+80+80+80+60+70+83+80+80+1-2-15-2+33-4-3-1-2-21-75-2-2-3-13-1-1-6-1-2-4-2-4-15-4-3-1-19-25-1-2-1-9-3-2+15-1-15-3-4-1-5-1-1-5-12-1-1-1-2-4-1-1-2-4-4-1-1-10-15-1-3-1-1-1-3-1-40+130+422-2-2-1-2+144-5-5-6-2-20-1-2-5-1-2-7-2-40-1-9-1-3-25-2-1-1+1-5-1-2-5-5-2-27-1-10-4-3-3-1-1-195-2-1-4-5-3-1-1-1-2-61+110-6-6+5-3-1-5-1-5-2-2-1-2-2+199-1-20-10-1-1-2-5-11-12-4+301-10-3-50-3-4-5-1+327-1-2-1-1-10-7+1-2-20-8-2-6-2-5-20-1-9+1-5-3-16-3+50-1-10-1-1-6-1-1-2-6-1-2-1-1-5-10-1-1-80-1-2-4-1-1-1-3-11-1+200-1-2-1-1-1-1-3-30-1-1-10-4-4-20-2-1-12-6+1-10-1-8-1-2-1-185-30-6-4-3-246-4+269-2-1-15-1-36-15-1-70-1-10-4-2-1-1-18-2-60-3-3-1-4-1-25-26-16-13-13-3-4-1-1-1-3-1-41-2+269-2-2-1-1-1-2+501-1-2-2-3-2-1-2-1-16-6-1-2-2-6-1-5-1-14-2-1-12-1-2-1-3-3-1-5-1-2-25-1-2-5-1+500-10-5-1-10-6-15-5+5-1-4-20-5-1-2-2-1-4-3-3-50-1+298-3-1-2-1-7-1-1-1-1-5-1-6-1-1-5-1-12-1-6-1-2-1-3-3-1-1-4-4-2-18-1-2-3-3-3-1-1-2-2-4-3-3-1-2-2-3-5-2-1-1-2-1-5-42-1-1-118-1-3-2-472-5-1-2-10-328-4-5+1-6-2-1-1-3-1-1-7-1-2-14-174-2-35-6-1-1-1-2-1-5+208-2-2-1-2-1-20-1-2+2-1-1-1-2-2-3-1-4-1-22-6-1-4-1-33-5-2-5-2-3-13-2-1-2-4-3-2-1-2-2-33-4-3+2-2-2-14-2-2-1-2-5-4-3-5-2-2-2-1-1+1-8-8-1-1-1-12-15-1-1-4-3-3-1-1+14-1-1-1-1-32-1-1-1-1-2-1-3-6-15-5-2-3-2-1-21-2-1-2-4-1-1-2-1-1+1-2-13-6-6-1-3-16-7-3-1-2-3-1-3-57-3-2-10-6-2-26-1-1-2-4-1-2-5-7-1+194-2-2-7-10-2-4-7-1-1-21-6-5-2-1+31-12-3-1-1-30-1-9-20-2-11-1-1-3-1-2-2-1-1-1-2-2-4-2-5-10-3-3-1-10-8-4-1-70-7-1-6-1-2-2-5-22-6-1-31-5-2-2-2-4-5+199-6-20-7-5-6-2-2-10-1-19-2-1-19-1-1-4-1+1+101-1-2-4-1-3-1-6-4-1-11-157-2-5-2-2+199+1-3-2-4-26-1-2-2+2-1-21-2-2-1-1-1-32-1-5-10-10-1-1-2-2-10-1-1-1-1-12-22-2-1-14+1-2-3-10-2-2-5-5-3-24-1-3-4-5-15-4-6-3-2-20-1-12-3-3-1-40-3-12-3-6-3-1-23-1-1-5-2-2-13-13-1-2-1-2-4-2-3-1-2-2-1-2-1-13-13-2-2-1-29-2-6-38-1-18-3-3-3-5-2-13-1-1-1-1-10-1-2-3-1-2-6-1-27-2-1-9-3-2-6-1-2-1-12-2-6-1-14-2-12-20-1-40-2-2-1-8-1-3-1-1+498-5-46-4-2-3-1-3-53-2-5-1-1-1-15-5-32-15-1-1-15-3-3-3-2-5-4-1-5-1-34-1-2-3-4-10-2-1-8-2-5-4-5-1-96-1-4-10+470-2-9-3-2-1-5-4-10-4-10-6-6-3-1-1-21-2-4-1-5-40-10-27+300+95-2-1-3+196-5-1-242-20-1-1-1-20-2-2-1-10-5-1-6-2-2-20-1+17-1-1-2-2-3-2-20-2-2-1-10-14-1-1-8-6-3-1-3-3-3-1-10-8-2-3-3</f>
        <v>764</v>
      </c>
      <c r="N7" s="38">
        <f>80+65+56+80+80+80+54+80+80+80+80+50+80+38+80+80+80+80+80+80+80+80+80+80+80*9+59+80*7+20+60-1+75+80*6+80*4+75+26+70+80+80+2+80*4+2+70-1-15-1+5-1-1-1-3-2-8-63-69-3-2-2-2-1-9-1-1-8-1-1-9-1-23-6-1-2-1+1-15-15-12-3-20-1-1-3-1-2-2-2-1-1-1-6-3-2-4+27-12-1-3-2-15-30-8-10-1-2-3-15-2-1-11-38-2-1-1-4-5+20-1-1-3-1-4-4+1-1-10-1-5-24-5-2-1-3-3-2-1-28-15-13-10-12-1-1-20-27-1-4-1-58+100+414+96-1-1-1-1-1-1-4-2-1-1+50-1-1-1-6-12-2-3-1-13-2-30-1-1-3-19-1-1-1-6-2-8-3-6-60-1+244-1-15-8-6-25-1+1-1-2-4+420-24-1-5-5-10-1-15-1-60-4-1-10-1-1-5-19-14-5-1-3-1-1-15-6-4-1-264-11-1-10-2-2-4-2-8-7-1-1-4-162-1-4-1-9-1-39-34+1+2-1-1-3-3-1-3-3-3-12+4-18-1-1-2-1-4-4-2-3-2-20-1-1-10-1-1-1-6-5-14-10-1-6-4-1-1-15-6-1-50-10-4-5-3-15-5-17-1-2-1-1-1-1-2-1-3-2-1-1-18+99-17-1-1-8+-2-30-2-16-10-12-2-4-5-50-4-19-4-3-1+1-5-4-5-1-2-4-1-1-3-17-2-2-1+198+376-1-7-3-10-2-1-8-6-2-2-6-7+23+398-1-1-2-6-2-1-1-1-30-1-1-1-80-3-6-3-2-2-1-4-3-1-1-3-11-2-3-9-1-1-4-1-9-1-1-2-1-4-35-12-1-1-20-1-6-4-29-20-2-1-1-30-2+1+4+700-10-41-2-4-3-6-1-1-2-394-1-30-9-7-4-11-2-382-6-3-4-19-3-5-115-2-1-45-3-70-4-29-2-3-1-2-4-1-1-1-21-4-2-2-1-90-8-1-1-1-22-2-2-1-3-4-32-3-97-33-14-14-3-2-1-2-2-2-4-5-87-4-3-1-2-1-1-1-1-10-2-8-1+799-10-5-4-3-2-1-5-21-11-1-47-3-1-1+600-16-1-4-10-2-1-2-14-3-4--1-1+1-72-2-2-1-1+679-1-7-1-2-1-1-2-2-2-20-2-19+298-1-25-1-1-13-1-6-2-1-1-1-1-2-20-1-16-2-1-1-4-1-8-1-16-6-42+1-2-1-4-7-3-4-4-10-1-2-4-1-3-6-1-1-80-4-1-1+1-1-7-2-3-4-12-5-1-15-20-1-1-6-1-3-1-2-4-1-32-1-3-6-20-1-1-4-6-3-2-1-1-6-2-7-20-4-4-6-1-13-4-2-4-1+1-2-1-2-4-10-11-18-1-5-1-1-3-4-30-2-1+115-1-1-1-8-10-1-3-1-1-1-7-1-2-13-12-2-1+1-4-1-8-5-3-1-1-8+497-1-1-1-8-25-1-12-2-1-1-76+298-207-1-5-1-4-3-10-828-103-16-1-1-1-1-1-1-26-1-1-2-179-2-5+5-7-4-1-6-1-1-2-4-6-7-4-13-1-2-1-20-254-6-1-2-176-1-4-36-6-1-1-1-2-4-1-3-4-2-2-20-4-1-13-2-2-1-1-2-2-1-17-6-8-3-1-2-2-1-3-1-4-9-1-37-12-3-1-1-3-1-1-8-28-4-1-5-4-1-966-1-20-1-1-7-3-2-4-42-2-20-1-4-8-5-5-1-1-3-66-14-2-17-12-3-3-6-2-8-2-2-2-7-1-6-3-4-1-4-51-2-2-5-3-6-4-11-3-1-1+1-13-8-4-1-12-1-1-1-1-2-1-1-1-6-3-1-15-25-1-1-29-4-3-2-2-3-4-2-1-1-3-4-1-3-3-3-1-4-1-1-50-8-3-8-2-3-12-2-1-3-2-10-19-2-1-2-2-1-1-4-1-2-57-1-2-3-1-2-9-4-22-19-1-2-1-2-1-4-1-4+1-2-23-2-1-2-3-2-19-6-5-40-14-1+500-36-1-2-1-8-1-1-1-1-5-1-1-162-1-1-2-16-17-1-2-17-40-1-6-46-63-1-3-1-19-1-2-2-1-3-1-2-1-1-10-8-1+150+337-2-28-2-33-10-5-1-4-2-1-3-1-14-20-1-1-2-1-1-2-4-30-4-8-7-8-1-1-2-2-20-1-3-3-5-3-3-60-1-9-1-1-3-1-80-1-10-2-20-4-49+4-5-1-3-1-2-1-3-1-2-1-38-2-2+1-2-1-1-2-1-1-1-1-1-2-1+400-7-15-7-1-2-1-1-1-10-1+461-1-5-1-10-70-47-6-1-30-2-1-15-2-26-20-3-60-10-9-13-6-3-2-23-2-8-1-15-3-2-2-20-16-2-1-3-12-2-3-3-3-42-2-10-4-3-2-1-11-1-3-4-3-1+126-1-2-15-3-1-2-20-13-1-10-1-30-171-5-3-7-1-2-5-2+1-3-2-4-30-1-2-8-1-4-1-21-1-1-2-1-2-3-1-3-1-1-1-1-42-4+129+64-8-1-20-2-1-1-10-5-4-3-5-2-80+880-10-31-3-1-1-2-15-2-1-3+51-4-17-6+7-10-15-10-2-3-4-1-10-3-2-5-7-1-6-5-1-6-30-13-13-2-3-1-2-7-47+2-20-1-3-3-1-88-1-2-4-20-1-4-1-4-5-3-115-3-1-2-4-1-1-2-2-1-2-1-5-10-28-1-18-16-1-5-1-4-6-2-4-4-14-2-2-6-5-1-1-2-1-2-4-7-2-2-5-31-2-6+441+90-13-115-4-23-3-5-1-3-20-2-1-2-15-1-1-3-2-2-6-1-13-2-46-1-5-1-32-2-1-1-2-50-1-8-1-10-6-2-4-1-9-2-2-1-4-1-40-3-1-1-4-8-4-2-16-2-1-14-20-2-80-1-45-2-10-3-6-2-2-20-5-1-1-1-1-1+350-6-3-143-2-2-4-1-4-1-1-1-6-30-1-10+343-4-105-5-28-1+4-1-1-1-5-1-3-23-86-5-5-15-2-2-15+2-16-9-5-6-5-5-6-3-6-7-1-6-97+238-1-6-7-2-3-16-8-2-2-6-1-1-1-3-3-3-3-21-5-1-27-14-1-78-1-1-1-1-16-2-10-20-1-1-2-2-17-2-7-5-202-1-4-6-16-10-4-10-11-1+1-1-1-1-15-1-2-3-3-1-1-30-5-55-3-3-17+1-1-4-5-50-1-2-1-1-1-4-15-44-1+384+513-2-5-1-7+82-1-10-5-3-1-127-18-60-3-2-1-1-1-50-5-1-5-10-15-14-1-1-2-24-30-10-5-1-1-1-1-7-60-9-21-2+25-1-4-4-1-30-3-1-2-1-2-3-3-2-21-1-6-40-44-1-2-3-1-20-6-2-2-1-4-4-6-2-6-1-10-36-3-8-4-2-3</f>
        <v>920</v>
      </c>
      <c r="O7" s="38">
        <f>80+80+80+80+80+80+13+80+60+80*11+78+79+80*6+3+81+80*5+54+13+80*3+90+25+22+77+80*8+75+40+1+80*3+20+20+39-3-15-6-2-1-1-7-1-1-4-68-36-2-1-1-1-1-6-1-4-3-12-7-1-3-8-3-1-1-1-28-3-20-3-3-2-8-12-1-5-1-1-2-2-2-6-2-1-1-10-4-6-1+21-3-2-2-5-3-1-30-9-7-1-20-1-4-5-2-1-1-2-1-26-11-23-1-2-4+35+99+55+234-2-6-10-12-3-2-5-4-4+2-1-1-3-1-4-4+45-2-7-1-3-5-6-1-1-2-26-15-25-15-9-5-2-1-10-40-1-1-2-1-2-42-2+198+321-2-1-2-1-4-3-11-1-1-2-1-26-2-15-2-1-1-27-2-1-2-3-2-1-10-2-1-3-1-1-60+236-1-6-4-8-25-1-1-4+1-1-3+624-1-30-4-4-10-4-15-22-2+1-10-1-1-3-6-11-1-1-5-6-4-4-1-1-15-10-4-1-1-5-210-3+1-2-2-11-1-8-3-13-6-1-1-4-148-1-1-4-3-4-25-2-2-3-4-22-12-10-1-2-2-2-4-1-2-5-2-20-1-1-10-2-2-12-4-1-10-20-1-4-1-11-10-21-50-5-13-5-14-6-7-1-5-1-1-1-1-1-1-4-10-1-1+3-11+398-14-2+1-9-2-1-1-2-35-1-21-1-8-10-3-3-80-17-1-2-4-1+1-6-2-2-3-10-6+751-2-2-6-8-3-5-2-1-2-2-1-1-3-9-2-6-1-1-3-60-3-1-80-1-3-5-2-1-1-2-9-2-3-1-1-2-3-1-1-1-4-1+2-2-1-1-2-1-1-7-6-1-3-2-2-35-1-10-2-1-10-3-4-28-17-1-1-12-4+699-2-73-1-6-3-2-1-2-3-6-1-1-249-2-20-14-11-6-1-2-1-246-5-6-2-8-29-1-3-75-1-40-6-80-11-33-1-2-2-8-2-1-3-19-2-3-2-1-70-1-7-1-2-3-17-2-1-1-2-2-27-85-43-3-13-13-3-2-1-1-6-97-1-6+300-3-1-4-2-1-1-10-2-7-3+702-2-12-3-2-3-1-3-6-16-1-3-1-65-2-1-15-1-10-2-1-19-3-4-54-1-1-1-1-2-1-1+53+400-1-5-2-1-2-12-12-8-30-8-2-10-2-1-1+297-1-20-1-10-1-1-1-1-15-43+2-2-2-7-6-5-1-5-2-1-1-2-8-1-2-1-80-4+100+48-4-1-15-2-5-8-1-5-8-1-6-2-2-1-2-13-5-32-2-1-2-1-20+194-2-9-5-2-3-1-1-1-2-1-9-3-6-1-24-2-1-2-25-2+1-2-1-8-8-7-2-1-2-18-1-2-1-1-1-1-1-7-6-13-1-2-1+1-2-1-5-8-4-1-1-6-2-1-1-15-25-21-5-46-1-15-1-1-179-1-5-1-1-2-4-1-3-2-2-1-1-1-19-11-716-102-5-8-2-1-1-20-2-2-3-2-370-2-5-1-8-3-2-1-4-5-3-2-17-1-7-1-1-1-2-6-8-1-40-184-8-2-1-1-2-150-1-1-8-1-1-35-1-2-1-2-2-4-3-1-2-20-2-8-8-1-3+1-1-1+503-20-20-13-1-1-1-2-34-11-7-1-2-11-1-1-11-12-1-4-1-12-5-3-2-6-7-22-1-2-1-7-1-1-4-6-3-2-1-1-1-1-2-1-1-51-16-12-20+1-2-9-2-20-3-1-4-6-4-2-3-5-1-14-1-1-6-3-6-2-1-19-2-2-1-1-1+1-1-3-16-4-1-1-12-5-12-6-7-3-16-25-4-31-1-5-3-1-1-1-1-4-2-1-3-8-1-1-1-46-16-1-1-1-1-9-2-19-3-2-1-4-20-20-1-1-4-1-1-4-2-1-31+167-1-3-15-6-4-12-3-23-17-1-1-1-1-1+1-3-14-1-17-2-7-2-5-1-18-6-9-39-6-36-1-8-1-1-1-1-2-2-1-1-5-119-2-18-4-17-1-2-1-40-1-7-138-44-1-3-2-16-4-1-2-8-1-8+250-1-15-1-17-10-1-7-2-1-7-1-1-10-20-1-1-2-5-10-30-4-1-10-2-22-3-5-4-2-7-4-45-2-1-1-3-3-1-100-5-7-20-4-1-34+1-1-5-2-1-1-3-2-2-52-1-1-2-2-1-25+100-1-1-10-1-4-3-5-9-10-1-2+486-10-10-4-100-11-1-50-5-4-1-40-3-2-3-22-38-3-67-3-6-15-2-2-25-12-2-10-2-10-20-1-63-3-3-15-1-10-1-1-1-2-80-2-1-3-10-3-12-2-1-2-1-1-14-2-1-6-1-2-8-2-1-6-15-6-2-15-2-30-2-2-2-22-2+751+1-3-7-1-3-2-2-19-2-7-3-2-8-1-3-38-8-2-33-4-10-2-3-10-11-2-5-4-2-1-80+250-8-26-2-10-1-2-11-2+245-5-25-9-1-5-10-2-2-1-2-3-10-1-1-3-2-1-2-8-1-1-4-2-17-4-30-4-7-8-1-2-1-65+1-34-2-1-92-1-1-2-3-34-1-5-2-1-11-2-2-126-1-3-2-5-1-2-9-9-2-20-40-1-1-1-1-2-9-4-3-1-5-6-16-5-16-2-2-5-1-1-2-5-7-4-2-3-1-47-1-3+59-2-12-71-5-23-2-2-1-15-2-1-1-20-2-1-1-1-5-1-3-3-1-28-1-1-12-9-1-36-12-3-9-1-36-5-2-1+12-1-3-4-4-1-1-2-1-2-2-1-33-13-3-2-1-2-8-2-2-15-31-1-10-20-13-12-5-4-100-15-1-3-10-8-10-1-20-31-10-1-1-2-2-1+500-8-3-1-47-6-1-2-14-15-1-1-4-162-6-20+297-4--1-1-32-10-24-86-7-5-15-9-9-1-15+100-14-15-6-6-5-5-1-15-1-5-2-5-1-1-7-1-110-5-1-2-5-2-21-7-2-3-4-1-1-1-1-1-2-1-1-5-3-18-15-2-19-1-1-21-1-1-5-1-25-1+500-2-6-3-3-7-3-4-20-2-1-4-4-28-10-9-1-7-1-4+3-5-9-2-1-3-1-10-5+480+296-13-3-8-2-1-3-5-50-1-3-8-1-15-34+2-2-4-1-4+100-1-15-12-1-164-16-2-17-1-1-1-1-3-20-5-2-3-1-20-1-17-10-8-2-5-25-9-2+14-3-12-4-3+300-2-1-1-2-2-3-8-2-1-10-1-6-40-1-39-3-4-3-2-20-2-1-5-8-5-3-1-1-6-4-3-2-10-23-2-5-3-4-1-2</f>
        <v>1563</v>
      </c>
      <c r="P7" s="38">
        <f>70+70+80+80+80*4+55+70+80+70*2+81+62+80*5+75+71+64+80*5+80+40-1-5+30-4-3-2-1-1-29-2-11-1-3-1-1-4-3-3-15-3-8+2-5-8-1-10-1-1-6-2-1-15-1+11-11-15-2-8-1-4-1-1-2-1-14-11-1-6+200-4-10-2-12-6+1-2-1-3-1-4-4-1-4-1-1-2-3-13-5-7-14-5-2-10-39-1-8+391-1-1-3-4-2-13-1-5-1-1-1-18-1-1-1-1-5-1-1-1-2-1-4-1-10+1-6-1-4-1+1-3-23-4-5-5-1-15-4-5-1-1-11-6-4-1-1-5-8-1-2-1-97-1-7-5-1-2-1-1-85-1-5-5-23-2-1-2-1-1-3-1-1-1-1-4-2-1-10-2-6-2-5-8-20-1+302-10-10-3-1-1-30-2-1-17-8-1-1-1-1-1-9-6-2-1-1-1-5-14-5-3-2-3-19+1-20-1-1-11-3-1-1-1-1-2-1-1-2+133-4-2-1-1-30-80+150-1-10-3-4-2-2-2-1-2-3-1-2-1-3-5-3-1-3-30-5-4-13-4-1-1-1-1+296-47-1-1-1-134-20-2-2-1-2-100-6-3+150-1-6-29-1-16-6-15-30-5-2-2-4+1-1-10-2-1-2-42-2-1-4-4-1-1-1-6-12-1-1-51-17-4-3-1-3-1-45-1+300-4-3-1-1-15-4-1+297-1-9-1-2-1-1-3-2-12-1-28-2-6-1-5-2-2-3-1-4-24-3-3-5-2+107-1-10-1-1-4-1-10-8-2-20-1-4-4-1-2-1-4+582-5-2-1-1-14-5+2-2-1-7-6-2-1-2-1-10-1-6-2-1-1-5-1-10-1-4-2-1-1-5-1-2-3-5-2-27-4-2-1-1-1-4-2-15+99-2-2-3-9-2-1-3-1-1-2-1-7-2-1-2-1-1-24-6-4-13-1-1-4-1-2-1-9-1-1-1-2-8-5-2+1-3-2-1-25-1-1-1-10-2-24-5-15-77-2-1-1-4-1-1-8-11-1-308-77-1-6-1-1-1-8-1-150-4-3-1-4-2-6-1-7-6-8-42-5-2-1-1-102-6-3-1-35-1-1-1+70-3-3-1-1-4-2-21-6-1-1-16-3-7-1-1-3-1-2-12-2-8-1-1-349-3-5-3-2-7-2-6-3-1-2-4-4-6-10-2-2-7-1-2-2-1-2-2-2-6-1-2-1-5-2-4-4-3-1-1+4-1-11-1-10-6-3-5-1-5-6-25-3-4-1-11-1-1-5-2-1-3-8-2-15-6-2-3-6-1-7-1-2-4-4-2-12-3-6-1-1-2-2-3-1-18-1-1-2-3--1-20-14-4-3-9-2-5-3-1+1-1-21-4-20-4-20-12-5-3-1-1-2-1-44-1-5-10-1-3-2-20-5-46-1-17-2-3-1-5-2-3-1-9+190-2-8-4-16-10-1-5-1-2-1-2-6-20-2-10-20-10-1-1-8-2-2-3-2-2-6-18-1-1-1-1-1-1-60-5-10-2-31-2-1-1-1-1-1-2+199-42-3-1-1-8-1-1-2-2-1-1-2-1-3-9-1-5-1+40-10-15-3-100-6-1-30-1-10-2-6-9-33-3-6-10-1-2-18-7-7-8-10-4-2-1-2-1-2-1-28-3-3-20-1-3-6-1-1-1+199-5-1-1-3-3-12-7-7-1-1-15-6-1-3-8-3-17-2-1-3-3-4-1-8-8-5-4-1-10-3-2-2-10-1-10-12-27-1-1-3-26-4-1-2-1-2-10-3-1+500-2-1-1-6-3-1-10-10-5-4-6-5-1-4-33+200-32-2-24-2-2-32-1-6-2-1-6-101-1-2-2-5-4-2-4-10-20-2-8-1-6-2-2-21-1-2-1-1-4-1-6-7-1-1-5-2+317-10-27-2-23-2-1-2-12-1-7-2-2-1-2-5-3-9-13-1-5-1-21-1-4-2-2-1-5-2-2-21-2-10-3-3-1-8-7-16-1-10-4-3-1-1-12-5-20-15-5-2-10-2-2-2-10-23-1-1-2-2-1-8-2-2-24+200-2-2-1-1-10-5-1-1-1+201-2-55-1-1-1-7-4-1-2--16-56-1-15-10-15-6-8-1-4-5-6-1-1-3-1-46+152-1-1-3-3-3-5-1-1-3-2-2-2-1-2-5-1-1-16-6-8-1-1-9-3-1-20-3-7-4-2-1-1-1-1-1-1-1-4-5-10-1-2+3-1-4-3-6-5-4-1-2-8-1-2-5-40-1-1-4-1-1-1-1-15-21+50-2-6-5+99-1-1-17-10-2-20-2-15-5-2-10-1-7-30-10-5-3-20-6-2+4-1-4-1-2-1-30-1-2-2-4-4-5-20-2-1+3+1-15-18+197-1-4-2-3-9-2-1-15-1-1-2-3-3-1-3-10-1-1-4-3-12-4-1-1-5-6-2</f>
        <v>504</v>
      </c>
      <c r="Q7" s="65">
        <f>70+10+70+70+60+75+70+75+70+70+59+75+4+17+70+31+70+70*5+60+99+76-1-1+35-2-1-11-7-1-1-2-3-2-5-1-4-1-3-2-1-1-2-2-1+2-8-1-10-1-9-2-3-5-1-2+13-1-1-1-5-1-1-2-2-1-5-6-2-2-1-4-1-1-1-8-1-1-2+1-5-1-3-15-1-2-2-2-1-4-30-6-1-33-1-2-2-34-1-2-1-1-1-5-2-5-1-2-30-2-1-12-1-5-1-1-4+101-4+1-2-1-3-8+1-1-2-1+50-1-1-1-1-1-1+1-10-1-80+149+148-4-7-1-1-5-1-1-1-1-2-10-1-2-4-6-4-1-1-58-6-1-4-1-64-4+43-4-7-1-4-12-2-1-2-2-1-1-14-20-1-1-16-1-2-8-16-7-14-1-4-3-1-4-18-2-1-1-1+80-2-1-4-2-1-11-2-1-1-2-10+81-1-1-1-2-2-7-3-10-1-7-1-1-1+6-5-1-2-1-1-80-2-2-1-1-3-1-4-1-10+40-5-1-1-1-3-3-1-1-1-6-1-1-3-5-3-2-1-15-2-10-25-1-1-100-1-2-1-3-7-13-1-5-1-4-6-38-4-3-1-38-1-1-1-1-1-1+80-5+3-4-7-1-1-1-2-6-6-5-1-4-2-8-2-2-3-2-2-1-2-3-5-2-1-1-1-2-1-5-1-2+1-1-5-8-1-2-1-1-18-5-4-1-1-1-2-3-1-1-3-1-1-1-2-1+8-2-1-4-1-7-9-2+1-7-1-1-10-13-8-1-18-1-16-1-6-1-7-1-5-2-8-8-10-1-3-1-1-10-5-1-1-7-4-2-9-1-1-1-20-2-10-10-2-25-2-1-4-4-9-5-1+29-5-2-1-60-1-6-1-2-9-13-3-1-2-2-7-1-6-2-2-5-20-1-3-1-1-5-1-4-1-2-3-1-7-1-5-2-2-9-2-1-3-12-1-23-1-4-1-5-3-3-1-10-6-4-20-1-2-3+199-6-1-6-2-6-6-1-2-3-1-1-2-2-1+50-20-20-2-2-20-2-1-1-4-4-2-2-2-1-10-7-5-6-1-3-2-1-17-1-14-5-5-3-2-2-1-1-1-9-1-2-7-3-3-1-2-5-5-1-1-2-1-5-1-4+1-8-4-1-2-2-2-1-1-1-14-1-1-1-2-1+197-1-1-14+153-2-2-3-1-2-3-1-6-2-15-1-2-15-3-1-1-1-1-2-4-1-3+1-3-5-1-1-4-3-10-2-10-1+100-2-6-1-6-1-6-2-1-5-1-4-1-1-15-2-3-1-1-4-1-10-3-2-1-5-2-1-5-2-1-3-7-3-2-1-4-5-2</f>
        <v>444</v>
      </c>
      <c r="R7" s="38">
        <f>78+50+60+60+49+44+40+35+75+50+70+33+35-2-2-1-3-2-2-1-1-1-1-1-4-1-1-1-3-1-5-2-1-1+92-1-1-1-3+1-1-1-2-1-10-3-1-3-1-1-3-1-2-3-3-1-1-1-1-1-1+1-1-5-3-1-1+50-2-1-80+49-3-1-2-5-6+20-22-1-24-4+100-3-4-1-1-2-9-4-4-1-5-2-14-3-3-8-15-1-1-1-1-1-3-2-1-1-10-1-1-4-1-7-1-1-50+80-1-1-1-1-15+20-2-1-1-1-2-4-10-1-2-3-1-1-3-2-3-1-2-1-14-7-2-2-28-1-1-3+62-1-8-2-2-1-14-1-2-1+69+1-2-3-1-1-3-2-4-1-5-2-2-3-2-2-3+15-1-1-3-3-1-3+4-4-7-1-1-7-5-2-1-2-1-1-1-4-6-2+1-2-3-3-1-2-1-4-5-2-1-2-1-3-3-2-3-2-2-4-9-40-6-1-7-2-1-1-1-1-2-5-1-7-1-2-2-1-1-6-2-1-1-5-1-1-1-1-2-3-4-2-2-2-1-2-1-2-1-4-2-2-1-1-1-2-14-2+1-16-2-2-1-3-1-2-2-5-1-1-2-5-2+32-2-1-4-1-3-4-2-1-1-1-2-1-1-2-2-1-1-2-3-4-1-1-5-1-3-1-12-1-1-1-3-1-1-19-1-2-1-7-3-1-10-3-2-2-1-1-2+50-2-5-1-1-3-1-1-2-1-3-1-1+3-5-2-1-1-3-1</f>
        <v>260</v>
      </c>
      <c r="S7" s="38">
        <f>35+19-1+2-1-1-1-1-4-2-5-2-2-10-1-5-1-1-1-17+1-1+1+21-10-1-3-1-1-1-1-1-1-1-1+20-10-1-7-1-1+51-2-4-28-10-7+15-1-2-2-1-1+1-7-2+15-3-4-8+15-1-5-2+15-3-1-10-1+34-2-1-1-1-10-2-10-1-5-1-7+55-1-1-20-3-2-3-2-1-1-1-3-1-3-1-2</f>
        <v>10</v>
      </c>
      <c r="T7" s="39">
        <f>9+40-2-1-1-1-1-1-1-1-1-1-10-8-1+2-1+1-20+10-4-6-1+39-5-8-2-3-1-2-1-1+8-12-2-5-1-3-1+15-2-1+1-5-3-1-3-1+15-6-1-1-1+15+15-1-1-1+34-5-10-1-1-11-1-1-1-6-16-1-1-2-5-1-1-3+15-1-1-1-1-5-1+50+41-1-1-2-1-2-3-1-2-1</f>
        <v>82</v>
      </c>
      <c r="U7" s="11">
        <f>SUM(C7:T7)</f>
        <v>10134</v>
      </c>
      <c r="V7" s="62"/>
      <c r="W7" s="10" t="s">
        <v>20</v>
      </c>
      <c r="X7" s="4">
        <v>564</v>
      </c>
      <c r="Y7" s="4">
        <f>X7*3.5</f>
        <v>1974</v>
      </c>
      <c r="Z7" s="4">
        <f>X7*2.5</f>
        <v>1410</v>
      </c>
    </row>
    <row r="8" spans="1:27" ht="19.5" customHeight="1" x14ac:dyDescent="0.25">
      <c r="B8" s="74" t="s">
        <v>20</v>
      </c>
      <c r="C8" s="32">
        <f>97+41+10+51+24+100+101+44-2-2-3-1-1-2-1-1-1-10-1-2-2-1-20-16-1-2-2-2-15-1-1-2-24-3-2-3+1-1-3-4-1-1-1-1+45-30-1-5-8+34+44-10-5-13-13-1-1-1+144-2-1-1-2-3-1-1-1-1-1-2-2-1-1-1-3-2-4-3-1-4-9-1-1-1-4-16-2-1-3-1-1-1-1-2-1-1-1-3-1-1+3-1-1-5-5-1-9-3-1-3-3-2-8-16-10-5-2-7-11-3-6-2-1-1-2-3-4-1-3-1-3-2-16-21-1-1-5-1-2-1-3-1-1-2+123-1-2-1-3-4-1-1-1-2-1-1-1-36-1-1-1-1-1-3-2-1-7-9-17-1-3-2-2-1</f>
        <v>260</v>
      </c>
      <c r="D8" s="12">
        <f>50+50+20+78+100+28+100*6+102+31-1-1-3-2-25-2-2-2+22-4-3+188-5-4-1-5-2-1-1-2-40-1-1-1-1-30-3-1-2-2-2-2-20-1-3-1-1-1-1-40-23-3-1-1-2-1-2-1-1+400-2-30-50-5-4-10-10-2-17-4-1-17-1-3-2-1-5-3-3-3-1-1-1-1+1-15-3-5-11+1-1-6-2-1-1-1-1-1-1-1+1-2-1-1-50-1+1-1-1-1-5-1-3-2-5-1-1+85+52+200-1-15-1-2-2-1-5-22-27-1-1-1-1-2-1-1-2+198-2-2-4-1-2-2-2-1-1-2-18-9-3-8-1-12-2-2-2-3-2+126-2-10-3-2-3-2-1-3-2-3-1-1-2-4-1-5-1-5-8-1-6-1-3-2-10-1-1-2-2-1-1-1-1-1-12-1-3-16+123-1-2-1-3-1-1-1-1-1-1-2-4-1-2+2-1-1-1-3-3-2-1-1-1-10-4+2-4-2-1-1-1-4-6-1-8-1-5+1-30-3+29-2-1-2-4-14-1-2-1-1-1-1-28-39-4-3-2-1+14-3-1-2-1-3-15-1-1-2-1-11-1-1-2-14-1-3-5-2-4-1-12-5-1-1-1-5-1-1-9-2-22-5-2-15-2-3-1-50-2-1-15-1-20-2-8-84-2-24-1-1-18-1-1-8-1-2-2-1-10-10-2-1-1-7-2-3-1-10-9-7-4-1-1-8-1-2-6-1-4-3-3-4-2-8-15-2-2-3-5-19-1-1-5-1-1-2-1-1-3-1-1-2-1-20-1-14-3-4-2-4-5-1-6-1-10-2-3-40-1-1-10-1-4-1-2-2-3-1+298-1-4+200-1-5-16-1-12-20-1-20+2+100-1-3-3-1-1-1-2-1+400-1-152-9-4-2-5-2-2-2-2-1-1-1-2-11-4-4-6-5-2-5-32-3-3-3-3-2-5-8-1-1-2-132-1-3-4-2-6-4-2-1-5-1-1-14-3-12-2-7-2-1-1-3+1-3-7-8-27+4-1-2-2-2-14-3-1-90-1-1-2-1-1-1-7</f>
        <v>947</v>
      </c>
      <c r="E8" s="12">
        <f>82+100*2+40+84+50+90+90+70+100*3+204+109+17+50-19-1-70-2-1+22-2-4-9-1-11-1-1-20-2-2-3-1-1-1-6-20-5-1-1-1-4-1-5-7-3-3-1-1-1-1-2-5-1-2-2-10-17-1-2-1-6-1-3-2-40-3-16-6-1-2-1-1-3-4-42-1-15-1-7-5-5+90-2+3-14-6-2-14+400-2-1-5-1-10-2-1-5-6-1-2-1-1+1-1-1-1+9+1+1-1-15-3-1-10-1-1-1-1+1-1-2-1-1-2-5-1-1-2-6-1-1-12-4-2+129-1-1-5-2-3-50-1+1+2-2-1-4-10-1-5-1-1-5-1-3-1-1+204-2-14-4-2-3-17-1-21-26-1-1-1-1-1-1-1+197-3-1-3-1-2-2-1-1-3-4-2-31-11-2-15-14-2-4-1-1-2-6-3-1-1-9+85-1-10-3-5-1-4-3-9-2-1-1+144-6-3-1-18-6-8-1-1-5-1-1-4-12-9-1-2-2-6-12-1-3-1-1-3-1-1-21-1+342-1-1-3-22-1-12-2-3-5-2-1-3-1-3-1-3-2-1-3-1-8-1-4-5-1-1-1-1-24-6-1-1-4-9-1-2-1-1-6-2-6-80-10-2-4-5-1-1-1-2+1-1-1-2-9-5-1-2-8-2-2-1-6-1-1-4-8-1-16-46-5-1-1-1-2-1+20-5-1-2-2-8-18-1-2-9-1-6-2-6-26-1-1-5-2-2-1-2-2-2-15-1-3-1-2-1-20-6-5-1-3-1-2-5-46-6-5-15-2-1-1-3-1-1-15-2-3-136-1-3-2-10-12-1-104-40-2-14-1-22-1-1-1-1-10-1-1-3-1-1-31-1-1-3-4-16-6-13-1-10-2-1-2-1-12-4-13-2-8-4-11-8-1-2-1-10-4-1-6-1-41-1-2-1-6-3-20+1-10-1-1-4-4-1-2-8-5-2-1-1-20-4-15-2-3-1-8-2-2-1-6-1-12-2-7-1-1-2-1-1-18-1-2-80-1-2-1-2-10-2-1-2-2-2-2-2-1-1-7+118-10-10-1-1-10-1-3-29-20-3-23+374+398-5-2-2+106+344-1-1-3-1-1+99-5-1-9-3-2+192-1-1-204-1-2-11-4-2-1-2-2-1-7-1-1-1-6-6-6-4-7-3-5-60-6-2-10-1-1-1-15-14-2-2-1-2-2-1-1-96-1-2-1-7-5-12-3-3-10-1-2-10-2-1-12-9-1-3-5-1-1-1-4-1-2-2-1-1-3-4-3-6-12-58+6-1-1-1-1-1-3-2-1-11-42-3-2-60-1-1-1-2-2-1</f>
        <v>1078</v>
      </c>
      <c r="F8" s="12">
        <f>82+100*5+35+62+99+100*3+94+103+140+64-1-12-2-1-70-2-2+1-5-11-1-15-2-1-1-2-1-2-2-20-1-1-1-1-2-1-20-2-3-2-1-17-2-3-1-1-40-20-2-3-1-3-1-4-29-1-52-3-2-5-10-2-2+10-10-6-10+349-1-3-1-10-1-5-1-6-2-2+46+1-1-10-3-10-1-12-2-4-1-4-2-1-1-3-3-1-6+50-1-3-1-1-50-1+1-5-1-2-7-1-10-1-1-8-1-1-1-1+243-15-1-3-4-4-2-1-23-1-17-20-4-1-10-1-1-1-2+270+102-5-1-1-1-1-1-2-1-1-2-1-2-26-12-1-8-12-1-1-3-1-3-1-1-2-2-5+85-1-2-10-4-4-2-1-6-1-2-14-6-2-1-5-1-1-11-1-1-1-11-2-2-1-3-3-1-1-9-1-9+341-6-1-3-10-1-12-1-1-1-4-1-1-2-1-5-1-4-1-2-1-2-1-1-2-2-1-3-2-1-1-16-2-4+2+1-6-1-1-2-4-2-2-3-3-1-3-20-1-10-1-7-1-3+1-2-1-50-1-2-4-5-8-1-2-1-1-1-8-31-1-8-1-2-1+22-1-9-3-1-7-2-1-5-1-4-20-1-1-1-1-6-2-4-1-4-1-15-3-4-1-1-1-43-11-9-10-2-1-18-1-9-40-3+1-2-1-1-24-1-60-32-4-11-10-1-7-1-1-1-1-2-10-1-1-1-1-9-4-5-13-6-1-1-10-1-2-10-4-1-20-4-3-1-1-10-1-3-10-5-26-3-1-10-4-3-4-4-1-2-2-5-10-2-3-10-2-5-2-2-1-1-2-16-1-1-1-1-1-7-1-1-1-20-1-1-10-1-4-3-1-2+100-7-10-4-5-10-1-2-21-20-1-16-1-1-1-1-1+100-3-1+100-1-2+100-3-4-1-2-8-1+198-1-3-11-10-4+148-1-1-1-2-2-1-7-2-1-3-4-4-2-3-5-28-8-2-5-1-7-2-1-20-15-2-1-1-3-1-2-1-1-64-2-1-2-3-1-11-2-1-2-1-2-5-3-1-1-15-1-2-17-1-1-1-1-1-1-1-1-1-4-1-4-1-2-7-4-32-1-1-2-1-1-23-14-4-60-37-1-1</f>
        <v>1141</v>
      </c>
      <c r="G8" s="12">
        <f>81+120+62+80+78+59+49+100*4+90+43-2-25-2-1-1+4-2-1-1-1-10-1-1-2-2-30-2-1-10-1-2-3-20-32-2-1-2-1-1-19-35-1-3-3-2+10-5-4-2-1-2-1-2-1-1+1+1-10-5-21-2-2-1-1-3-1-4-1-1+8-2-50-1+1+2-1-1-4-2-5-3-1-5-1-2-4-1-7-1-8-10-1-5-2-1-1-15-2+102-5-2-2-1-2-1-1-1-2-1+152-12-1-1-6-1-1-3-2-2-10-1-1-3-1-3-4-3-2-2-3-1-12-1-7-3-3-6-1-1-1-1-1-1-1-3-4-21-12-1-2-3-1-4-5-1+1-1-2+108-4-1-1-1-6-8+4+1-4-1-1-1-1-10-2-2+1+3-1-1-3-1-2-1-2-1-12-19-1+26-2-2-1-2-5-1-1-3-8-1-9-7-4-1-15-2-1-11-1-1-32-1-6-7-10-2-2-1-15+1-1-8-28-2-24-4-16-5-2-2-1-2-1-13-2-4-2-6-1-8-4-6-4-1-3-1-4-1-5-1-8-5-3-2-12-2-10-3-1-1-1-2-20-2-6-3-1-2-3-1-1-1-3-1-1-10-1-5-1-1-1-1-1-1-3-3-1-2-1-6-10-2-8-4+149+100-1-1+197-1-1-1+298-1-52-1-3+1-1-1-2-2-1-3-2-2-5-3-12-2-3-1-1-8-5-1-1-1-1-48-3-4-1-1-2-1-10-7-2-2-2-1-1-20-1-6-9-15-1-1-2-1-1-1-4-6-1-20-1-30-2-1-4</f>
        <v>731</v>
      </c>
      <c r="H8" s="12">
        <f>75+27+35+84+60+41+56+77-1-10-2-3-1-1-1-10-4-1-4-1-20-8-1-1+15-5-3-3-2-1-2-1-1+1-1-1+14-50+1-2-5-1-1-1-1-2-1-7-10-2+48+1+102-5-4+45-1-1-5-1-2-3-1-1-2-10-4-1+8-4-2-1-1-1-15-4-1-1-3-3-1-1-1-1+2-2-5-1-1-1-2-3-10-1-2-1-1-1-3-5-2-19-1-4-1-1-1-6-20-1-12-12-5-7-4-1-2-1-4-10-1-1-1-1-1-1-1-1-1-2-3-6-2-1-4-1-1-1-1-1-1-1-1-3-6+97-2+101-32-2-1-1-1-4-2-1-5-4-1-1-20-1-1-5-1-1-1+68+1-2-1-4-1-3-9-14-1-3-2-3-5-20-1-4</f>
        <v>349</v>
      </c>
      <c r="I8" s="12">
        <f>35+13+42+87-1-1-1-6-2-1-1+29-1-4-2+29-3-1+20-30+1-2-1-2-15-2-1-6-2+25-1-1+11-1-2-1-1-2-2+21-1-1-1-2+25-3-2-1-1-1-15-2+1-1-1-3-1-1-2-1-2-2-1-5-1-6-1+1-1-1-5-9-5-2-3-1-2-2-1-1-2+40-1-1-2-1-1-2+40-16-1-3-2-1-1-4-2-1+35-3-1-1-2-2-4-6-4-1-1</f>
        <v>202</v>
      </c>
      <c r="J8" s="12">
        <f>42+6+33-1-1-1-10+1-1-1-1-1-1-1-1-1-2+1-4+1-1-1-1-1-2-1-2-1-16-4-1-3-1-1-6-1-2-3-1-1</f>
        <v>7</v>
      </c>
      <c r="K8" s="15">
        <f>18-1+29-10+1-2-1-1-1-3-1-1-1+2-1-5-1-1-2+20-2+40-1+18-14-4-2</f>
        <v>73</v>
      </c>
      <c r="L8" s="32">
        <f>80+1+78+81+81+80+14+80+50+60+80*2+60+80+15+41+98+160+33-55-50-1-2-1-1-1-1-1-1-1-1-1-1-2-1-10-1+1-1-369-3-3-9-1-2-5-28-2-3+1-1-1-1-80-1-4-7+199+75+102-2-2-3-15-2-2-10-1-1-1+109+300-1-1-1-2-48-1-5-1-4-8-3-1-1-2-1-10-2-2-3-1-1-2-1-6-1-1-4-3-2+1-2-2-5-2-1-4-2-1-4-8-1-8-20-1-1-5-7-1-80-3-2-1-3-2-1-6-2-20-1-5-1-1-4-1-1-1-1-1-7-1-1-5-4-1-4-5-24-1-14-4-1-1-3-3-24-1-1-1-1-1-1-12-10-1-1-3-1-1-1-1-2-1-4-2-2-7-5-1-1-1-4</f>
        <v>847</v>
      </c>
      <c r="M8" s="12">
        <f>80+79+72+6+40+6+14+31+3+80+34+1+80*4+24+89+80*2+36+80*7+50+67+20+80*2+160+33+80*5+21+72+55+160+90+87+26-6-1-10-1-55-50-1+18-2-6-1-3+2-2-1-1-1-3-40-1-10-1-1-2-1-1-1-1-2-4-2-10-36-1-1-20-34-2-2+1-20-1-2-1+20-77-3-1-10-6-10-1-2-2-3-1-1-1-44-5-55-1-6-13-5-5-2-2-12-5-1-2-10-2-1-20-8-2-1-10-10-4-1-1+130-1-177-1-1-3-1-10-1-2-2-1-1-15-30-4-10+412-10-2-2-1-1-2-7-2-1-1-2-10-1-80-7-2-1-10+1-1-1+1+1-1-1-30-20-72-1-1-3-5-5-1-2-1-10-3+300+50+225+299-2-2-2-2-4-5-6-16-18-1-1-1-1-3-1-3+74-10-30-2-1-1-1-1-1-2-1-1-6+62-8-3-4-9-1-6+56-6-1-1-10-2-1-1-1-3-2-1-10-1-3-1-2-6-4-4-2-3-2-10-66-4-1-3-1-4-4+2-1-20-2-3-10-1-1-12-1-1-26-22-5-3-16-3-13-1-2-1-2+298-2-10-1-1-1-1-1-5-1-2-2-3-4-25-1-3-2-2-1-16-1+1-3-2-4-8-6-1-4-4-9-20-4-1-1-3-2-2-2-1-3-1+1-1-2-1-10-30-3-38-11-1-10-3-63-1-4-1-2-4-1-27-4-5-1-2+45-2-1-7-3-1-3-2-14-2-3-16-3-2-2-5-1-2-10-4-1-1-1-1-2-3-6-2-1-1-2-1-4-3-14-10-4-8-12-14-1-1-10-24-2-1-7-3-1-4-20-1-44-5-1-1-13-2-11-30-4-33-1-5-3-3-40-2+1-1-2-20-100-8-1-1-6-1-1-14-1+2-1-6-3-10-7-1-35-1-1-2+2-4-11-4+2-5-1-1-320-6-1-8-19-2-6-2-1-2-1-2-6-1-4-4-2-2-1-157-2-2-7-10-1-20-1-10-3-1-5-1-2-1-1-2-1-1-1-2-7-2+1-2-1-3-5-3-5-1-1-1-20-1-130-1-4-7-30-1-1-6-5-2-1-5-1-29+150-4-14-1-5-1-5-20-1-1-10-3-1-5-1-2-4-6-12-1-6-5-3-42-1-20-1-448-1-1-1-3-1-20-1-3-1-2-1-30-6-1-1-1-1-4-1-6-12-2-10-1-2-4-5-80-2-1-5-1-5-1-24-2-5-1-1-1-6-1-72-1-1-10-12-2-3-2-4-1-2-9-12-2-1-1-1+5-23-4-1-1-2-1-8-11-5-10-3-6-5-14-2-20-1-10-1-1-2-2-3-8-2-2-9-15-8-4-1-5-1-2-3-3-26</f>
        <v>264</v>
      </c>
      <c r="N8" s="70">
        <f>80+80+80+80+80+80+20+80+80+45+80+80+80+80+24+1+80+80+80+52+80+80+80+80+24+12+9+17+80*12+80*3+60+50+58+40+10+40+80+80*4+80*3+40+80*3+520+70-13+19-18-60-8-55-50-2-1+24-4-34-2-4-1-2-7-1-2-1-20-2-1-1-1-12-2-3-100-1-1-10-1-1-1-2-4-1-1-2-2-1-5-4-2-9-1-3-4-1-2-1-1-1-1-1-10-10-1-36-4-2-29-5-1-3-3+1-30-3-1-8+30-93-1-1-2-1-2-1-13-20-6-1-1-1-5-3-2-2+398-4-1-1+480-8-1-2-79-1-1-110-1-6-13-17+50-2-3+26-2-6-1-22-2-2-2+182-1-20-7-1-6-3-2-1-15-1-4+98-10-3-30-730-2-1-1-1-1-4-1+8-6-4-1-15-55-5-2-1-2-5-1-5-2-10-4-30-2-1-1-2-5-2-2-7-1-2-15-2-1-1-9-10-2-1-80+1+518-3-35-34-12-2+1-1+1+2-1-1-1-3-3-35-6-20-1-204-5-1-3-1-7-30-1-2-1-2-5-2-1-1-1-6-1-1+384+124+993+116-2-4-2-2-40-6-2-3-3-16-1-11-25-33-1-1-2-1-5-1-25-1-2-1-1-2-5+106-1-1-1-1-4-2-1-27-1-7-2-4-1-1-1-28-1-1+780-22-14-1-1-1-2-6-3-2-2-1-9-2-2-4-5-2-1-6+419-2-8-25-1-1-4-1-3-2-15-798-7-4-3-10-10-1-1-5-1-4-1-1-52-1-12-2-1-1-2-1-6-4-2-1-8-1-1-4-1-20-1-1-3-1-24-32-1-4+350-10-2-1-5-3-24-1-3-2-18-1+74-2-1-2-9-3-2-1-15-2-1-1-30+152-1-3-15-2-1-4-6-1-2-2-1-2-1-6-1-4-1-2-1-2-6+2-2-4+1-8-13-1-36-1-1-5-6-29-2-68-6-1-80-8-1-5-6-25-29-16-9-13-1-2-10-1-6-2-10-1-4-2-2-12-5-3-1-1-2-10-3-2+80-3-1-1-3-12+1-3-1-2-1-3-41-4-2-1-41-1-3-22-1-76-17-2-6-14-2-4-75-2-1-1-8-1-8-32-58-4-1-1-9-4-2-1-2-1+11-5-3-15-5-4-2-1-15-1-2-16-12-4-4-7-7-6-1-5-5-9-1-1-2-1+1+1-1-10-1-2-16-3-1-1-2-1-1-6-1-5-1-11-1-4-5-1-1-10-3-2-1-2-50-1-2-1-13-29-4-1-1-2-1-1-72-8-1-8-37-1-21-3-3-2-2-80-15-1-2-3-29-2-2-21-1-12-3-1-1-54-4-5-5-30-2-250-1-1-1-2-2-8-1-68-180-328-2-19-2-32-2-11-2-10+1-1-1-8-3-10-1-17-20-1-4-4-55-2-1-1-1-1-5-1+1-5-2-6-25-9+1-1-1-8-1-1-2-740-23-2-108-2-46-2-2-1-7-6-1-18-2-4-3-3-1-5-1-4-8-14-6-13+2-1-171-5-1-12-1-13-1-4-20-1-3-2-15-5-3-4-2-1-10-6-10-4-5-10-1-2-1-20-4-1-20-1-5-2-11-3-8-10+247-11-2-13-1-10-4+750-2-4-1-1-1-32-1-2-1-250-3-1-1-1-2-9-1-60-1-2-10-1-2-4-1-1-1-1-5-1-2-1-10-1-5-31-16-35-4-1-1-3-30-1-1-33-1+736+40-1-20-2-1-6-16-1-9-1-7-2-1-1-12-5-1-8-2-15-5-2-3+80+460-51-18-1-20-1-1-768-1-1-11+209-3-1-32-1-2-1-2-1-1-3-11-5-9-2-6-10-7-1-30-1-2-22-2-5-16-1-5-12-4-3-15-4-32-12-12-1-5+2-208-6-4-6-1-6-1-5-1-1-1-20-76-4-7-1-13-2-1-1-1-1-156-1-2-1-4-1-20-20-16-2-7-8-22-3-2-1-10-12-9-1-1-1-8-3+20-1-2-1-42-4-6-2-13-2-1-1-1-10+1-4-3-1-1-4-1-2-8-1-2-5-4-1-40-3-2-1-8-7-2-200-24-20-1-10-4-1-1-3-1-1-1-4-3-2-8-1+3-1-35-2-29-1-1-20-1-3-1-50-2-1-2-2-1-4-1-143-1</f>
        <v>797</v>
      </c>
      <c r="O8" s="12">
        <f>80+80+80+80+80+13+54+80+11+80+32+62+80+80+80+17+58+80+80*4+70+10+78+80*8+79+17+80*11+79+80*9+79+21+29+90+80*6+75+60+88+81+20+80*15+70+236+18-1-22-1-95-1-55-50-2-1+19-2-16-1-2-10-1-2-1-1+1-2-2-1-1-1-3-1-1-14-7-1-1-1-4-1-6-100-2-1-1-2-5-1-1-6-1-2-4-2-3-2-2-7-1-1-1-6-6-2-20-3-1-3-1-15-1-10-36-3-1-21-1+1-2-30-2-2-1-4+1-1-15-4-2-3+15-1-94-2-4-1-3-3-3-20-6-4-2-20-3-1-6-2-2-1-3-6-1-42-1-38-3-125-6-6-19-8-8-2-2-2-3-33-2-2-2-2-3-7-20-4-1-12-6-1-20-21-4-1-1-39-3-25-1026-1-1-1+2-2-1-2-15+1-3-75-2-2-1-4-5-2-2-7-20-2-1-29-3-2-2-1-1-2-8-1-2-1-1-9-1-2-15-12-15-80-1-45-16-10-2-36-2-1-1+2-1-1-1-6-2-35-1-18-62-3-7-5-1-1-1-1-3-1-1-7-2-1-1+168+502+500+52+399-1-3-1-1-34-24-5-3-1-1-13-2-8-1-34-33-3-1-2-2-1-2-2-2-1-1-1-6-1-30-1-30-1-2-3-1-1-2-1+627+498+487-1-1-22-3-1-2-1-37-1-13-7-6-3-1-17-1-1-31-18-1-1-1-15-1-1-3-4-3-3-1-1-1-4-1-2-1-1-15-1-2-25-1-2-5-5-15-51-3-4-3-4-8-8+2-3-2-1-5-3-40-1-1-1-2-12-5-2-2-3-1-3-20-1-1-1-1-1-12-1-20-3-3-41-1-6-13-2-1-2-1-11-1-1-1-1-15-3-2-30-3-1-2-1-2+731-1-2-7-1-1-1-3-1-1-1-4-2-1-9-2-1-8-2-3-2-4-2-2-2-1-1-16-12-1-1-1-43-1-3-3-1-2-2-1-1-1-2-46-3-20-4-11-56-46-1-6-1-8-1-2-58-1-6-1-7-3-2-1-9-5-2-6-8-2-4-6-2-2-1-4+20-1-6-2-1-3-20+1-4-1-4-1-3-6-41-1-1-2-61-2-3-15-1-1-46-1-1-13-1-2-4-1-6-3-1-2-66-2-8-18-6-36-45-4-8-1-1-2-1-3-1-1-15-13-1-2-1-14-2-2-8-18-4-9-14-6-1-5-1-2-2-1-1-1-2-9-3-2-1-4-1-2-6-5-1-11-4-14-1-1-2-1-4-1-8-50-6-3-1-10-2-26-8-1-1-10-90-1-1-8-25-1-21-3-1-4-1-92-15-1-5-16-1-2-2-13-2-1-9-7+2-1-48-4-11-3-38-1-320-1-1+1-1-1-1-1-48-180-1-2-120-1-23-1-1-1-1-2-2-1-14+1-1-1-4-1-1-1-4-10-16-4-25-4-53-1-1-1-3-4-2+2-1-5-4-27-4+2-12-2-1-10-740-25-1-3-108-42-1-2-10-2-3-1-31-2-1-7-1-11-1-1-4-2-6-1-1-19-1-59-2-17-1-1-1-12-4-1-12-1-1-3-3-15-11-1-6-1-8-1+1-1-1-10-11-1-1-5-3-1-1-1-1-8-1-30-3-1-43-3-1-2-30-5-6-5-1-1-1-2-10-10-3-44-24+201-3-1-12-1-3-38-1-1-250-3-1-2-1-12-60-1-1-1-12-4-2-1-5-2-2-4-1-1-47-1-2-19-24-5-2-10-40-2-1-38+148-2-1-3-20-1-1-6-6-12-3-17-3-6-6-2-1-11-13-4-1-4-8-6-10-70+170+275-66-8-3-1-20-1-1-1-600-1-1-1-21-8-3-12+1-6-1-1-4-16-4-5-12-2-10-1-3-8-17-4-2-15-2-4-14-3-15-9-11-1-11-5-180-8-5-4-1-5-1-1-2-1-1-35-1-80-3-1-7-2-1-1-1-1-9-100-1-2-1-1-2-20-25-15-2-12-5-18-3-1-4-2-2-2-1-9-1-5-1-1-7-1-2+19-1-24-1-2-2-6-1-4-1-2-1-12-5-1-1-2-1-4-1-3-8-4-40-2-3-2-5-22-1-2-1-7-1-1-1-2-1-3-15-5-2-4-1-32-2-2-25-4-10-3-1-1-5-80-1-1-3-1-3-2-1-1-2-4-102-1</f>
        <v>596</v>
      </c>
      <c r="P8" s="12">
        <f>70+70+8+36+70+6+70+52+35+15+70+70+70+41+16+24+80*4+70+80+78+57+80*4+40+60+80+70*4+48+49+40+80*5+49+44+84+60+39+60+136-13-1+3-8-25-3-6-3-50-50-3-2+7-12-2-6-1-1+3-2-1-1-1-1-1-1-3-20-1-2-3-1-1-2-3-8-1-5-2-1-20-3-1-1-1-2-1-3-5-24-4-18-1-1-1-1+1-5-3-1-1-2+5-60-2-4-1-3-5-10-2-3-10-5-2-1-1-2-1-1-3-30-24-50-4-10-16-26-2-2-2-10-1-1-2-4+99-29-4-1-2-5-6-1-2-5-20-5-1-3-7-10-437-1-1-1-2-2-9-1-2-2-4-20-1-9-50-3-1-1-1-13-20-6-1-1-2-1-1-2-1-1-2-2-3-1-80-1-1-36-6-2-20-1+1+1+1-2-1-2-30-4-17-1-3-4-3-7-7+259+99-11-6-1-4-7-3-1-17-1-28-1-1-1-5-3+298+299-10-30-3-1-2-3-1-1-3-2+54+60+487-15-1-4-1-2-3-1-11-2-3-2-1-1-1-2-1-1-1-1-1-2-1-8-1-3-1-1-1-3-4-10-43-1-6-4+28-1-1-2-3-20-4-4-2-3-2-2-1-15-1-8-9-1-1+1-10-1-14-1-5-8-1-1-5-1-1-1-1-1-1-2-20-1-2-1-1-5-1-1-1-2-1-1-1-1-8-3-4-2-2-1-2+150-1-1-1-1-13-3-1-32+100-1-1-3-4+162-1-4-1-10-1-7-1-25-15-1-1-24-2-1-1-5-1-1-1-9-3-3-1-1-1-4-1-1-10-4-6+1-1+46-2-3-1-1-1-1-2-5-1-54-4-3-2-2-4-1-2-1-1-32-1-2-2-5-16-33-1-4-4-2+12-15-2-7-1-1-1-3-1-7-3-1-2-9-2-1-3-6-1-2-3-2-2-2-5-16+2-2-3-1-1-4-2-1-1-30-2-2-12-2-1-50-3-1-9-13-2-20-3-1-50-10-1-2-6-1-1-9-7-2-1-2-15-8-1-1-1-14-2-60+1-1-2-40-60-124-3-1-2-1-10-2-1-1-1-3-5-12-2-37-2-1-17-6-7-1-8-380-16-2-48-1-19-3-7-9-3-5-1-1-3-2-7-2-1-10-1-55-5-1-7-11-1-3-5-3-1-10-1-1-5-8-1-3-10-3-12-3-2-2-20-3-1-17-1-2-10-10-3-10-4-18-31+137-2-2-3-1-11-1-50-1-6-1-30-1-2-6+1-1-3-5+297-13-17-2-1-2-30-1-1-7-40-1-1-10-1-4-11-3-1-19-1-1-15-1-4-1-3-6-8-3-20-1-3-70-1-36-2-3-1-1-4-1-2-340-1-14-6-3-9-1-1-2-1-1-1-2-5-3-2-2-2-1-15-2-7-6-3-12-2-15-2-4-1-5-3-72-5-3-6-1-4-2-1-22-50-1-1-1-76-1-1-1-20-20-4-2-10-6-2-2-4-1-1-1-1-5-1-1-2-3+13-2-15-4-3-1-1-1-1-1-6-6-4-1-1-3-1-10-1-2-24-20-1-8+7-1-3-1-1-3-2-1+3-13-3-12-3-9-1-2-3-30-2-2-12-1-1-1-1-1-6-30-2</f>
        <v>124</v>
      </c>
      <c r="Q8" s="12">
        <f>70+5+30+6+70+1+33+22+71+70+140+70+74+14+80+80+75+20+140+26+55+80+56+70+71+15-10-10-1-1-45-1+1-6-1-1-1-1-1-1-1-10-1-2-1-1-2-6-1-1-1-2-1-10-1-1-1-5-5-2-2-3+1-3-1-40-1-5-2-3-1-1-5-1-14-10-2-4-2-5+98-2-5-2+30-5-1-5-5-5-5-127-1-1+1-7-10-6-1-5-2-1-1-2-1-1-1+1-80-15-1-6-1-1+1-3-10-1-5-1-3-1-10-2-1-10+172+10-6-2-2-2-7-10-1-1-1-1-1-4-1+150+180-5-30-1-2+104+59-5-2-2-1-3+140+61-1-1-1-3-1-1-3-6-3-6-2-1-2+4+28-1-8-1-1-10-3-4-4-1-1-5-3-1-1-12-2-1-2-2-1-2-1-1-1-1-4-4-2-24-1-1-8+1-9-10-2-2-1-2-1-1-3-1-1-1-2-2-1-2-1-24-1-25-2-8-2-8-5-6-2-3-7-3-2-2-2-1-1-2-2-3-1-1-2-1-1-1-4-3-2-4-1-1-1-10-2-1-28-1-5-5-5-1-1-22-5-1-3-1-6-3-5-1+2-2-7-60+1-28-64+1-3+1-2-5-7-1-1-5-1-1-1-6-1-1-2-2-80-1-4-7-2-2-1-1-1-3-1-3-22-1-1-2-1-3-3-1-20-1-2-1-1-1-1-2-1-20-2-1-1-3-1-1-3-1-2-17-4-3-20-2-1-6-10-6-3+6-5-2-2-1-10-5-33+1-1-4-2-1-140-2-1-5-1-1-2-1-1-1-1-8-2-3-1-15-2-1-60-2-15-12-1-1-1-1-1-40-1-15-3-4-6-1-4-2-1-2-1-2-1-6-2-2-1-1-2-2-2-1-18-2-2+8-10-24-1-5-1-2-5-5-5-20-6-3-1-10-1</f>
        <v>348</v>
      </c>
      <c r="R8" s="12">
        <f>1+21+70+51+27+60*3+25+30+9+120+70+30+140+30+12+50+70*4+60+49-1-1-1-1-1-1-1-1-4-1-5+1-1-1-4-8-2-3-3-1-2-1+1-1-1-1-2-2-6-80-11-8-1+1-5-1-1-2-3-15+22-1-1-1-6-3-1-3-3-1-2-7-1-6-1-1-1-1-5-1-2-1-4-1-3-5-2-1-1-1-14-1-2+1-2-2-1-1-1-2-2-1-4-4-1-1-18-5-1-1-2-8-2-2-1+1-1-1-1-1-1-2-1-3-2-1-1-15-1-3-5-1-18-3-1-9-2-15-12+1-1-1-1-2-1-5-1-3-6-2-1-4-1-3-1-4-1-9-3-1-1-1-2-1-1-21-2-2-5-1-1-4-1-1-5-2-1-1-3-10-1-2-1-1-2-1-1-20-1-64-1-10-1-8-3-1-8-8-1-1-1-12-1-10-3-2-1-2-2-4-1-3-1-8-1-2-1-2-7-8-1-3-13-16-1-2-7-2-8-1</f>
        <v>474</v>
      </c>
      <c r="S8" s="12">
        <f>15+33-2-1-1-1-1-2-2-5+14-3-2-3-5-1-20-2-3+1-1-3+15-4-2-3-1-5-2-1-1-1+1-1+35-1-6-1+1-1-1-5-4-1-1-1-14+1-1+15-1-6-1-1-6+35-1-3-2-1-1-5-2-1-1-1-1-15-1+41-8-2-5-1-5-2-15+50-1-2-1-2+2-20-1-2+62-8+20-1-1-2-6-3-12-1</f>
        <v>74</v>
      </c>
      <c r="T8" s="15">
        <f>47+15+14-1-1-2-1-1-1-2+1-1-20-4+1-1-1-1-1-1-2-1-1-1-1-4-14-1+1-9-1-2-2-1+15-2-1-1-1-1-1+31-1-10-1-1-1-4-1-2-1-5-7+20-1+49-1-1-1-4-1-2+19-2-1-1-2-1-2-5</f>
        <v>68</v>
      </c>
      <c r="U8" s="11">
        <f t="shared" ref="U8:U26" si="0">SUM(C8:T8)</f>
        <v>8380</v>
      </c>
      <c r="V8" s="62"/>
      <c r="W8" s="10" t="s">
        <v>21</v>
      </c>
      <c r="X8" s="4">
        <v>898</v>
      </c>
      <c r="Y8" s="4">
        <f t="shared" ref="Y8:Y30" si="1">X8*3.5</f>
        <v>3143</v>
      </c>
      <c r="Z8" s="4">
        <f t="shared" ref="Z8:Z30" si="2">X8*2.5</f>
        <v>2245</v>
      </c>
    </row>
    <row r="9" spans="1:27" x14ac:dyDescent="0.25">
      <c r="B9" s="74" t="s">
        <v>21</v>
      </c>
      <c r="C9" s="32">
        <f>21+10+98+25+33-1-1-1-1-1-10-1-4-1+49-1+11-2-13-1-10-12-3-1-3-1-30-3-1+31-1-1-1-1-1-3-4-2-1-1-1-1-1-1-3+5-1-1-1-1-1-6-5-1+50-7-2-5-1-1-2-2-1-5-1-1-4-2-3-1+1-1-1-5-10+20-2-1-1-14-6-3</f>
        <v>130</v>
      </c>
      <c r="D9" s="12">
        <f>8+15+100+100+16+70+10+58-5-1-1-1-3-2-1-3-2-1-1-5+54-2-35-20-1-1-1-1-1-2-1-5+139-3-1-1-15-14-2-1-50-1+114-1-6-15-1-2-3-5-6-1-13-3+1-2-1-1-18-3-1-1-2-50-2-1-8-3-1-2+99-1+100-2-1-2-1-2+96-1-1-1-1-1-5-6-1-1-2-2-1-1-1-5-1-4-2-1-1-3-2+2-2-1-1-2-1-1-2-1-1-4-5-2-5-2-1-4-1-6-39-1-2+13-1-2-1-1-2-1-1-5-1-2-1-1-1-5-1-3-3-5-3-1-3-1-1-4-3-1-4+3-1-5-1-1-1-4-6+212-1-1-120-1-1-3-2-1-1-1-1-8-2-3-2-1-5-1-1-4-9-1-40-6-4-10-1-1+1-1-1-1-1-1-5-21-5-1-1-7-2-3-1-1-1-1-8-1-1-5-1-5+160-2-2-1-1+1-8-13-5-1-1-2-1-200-1-1+1-6-1-1-1-3+100-13+10-1</f>
        <v>361</v>
      </c>
      <c r="E9" s="12">
        <f>15+1+100+17+95+49-7-1-1-1-7-1-4-1-1-2-1-2-1-5-6-2-4-6+200-20-32-1-1-2-1-2-1-2-1-16+339-4-1-1-16-40-4-3-1-15-1-4-1-3-1-3-1-10-1-1-1-1-1-1-15-1-3+1-2-1-1-2+20-1-31-3-2-50-1-1-1-1-9-6-1+291-2-1-1-3-1-2-2-1-1-1-2-1-2-1-2-1-5-1-1-9-3-1-1-1-1-1-8-5-1-1-10-2-1-1-1-2-1-3-3-2-2-2-2-1-3-1-6-1-8-46-1-1+20-1-2-1-1-1-2-11-1-1-1-1-1-2-1-1-3-1-10-2-3-15-1-3-2-3-2-1-1-1-5-1-2-1-4-7-3-1+5-1-6-5-1-1+210-2-1-3-4-13-1-8+142-1-3-1-1-1-1-4-1-2-2-11-1-1-1-3-3-10-5-1-1-3-1-1-4-1-1-2-4-1-80-1-10-3-1-2-10-1-1-1-1-10-7-1-1-4-6-10-8-1-1-2-2-1-1-1-1-1-11-1-1-1-1-1-4-5-10-6+244-1-2-1-1-1+1-12-1-11-1-5-1-5-5-1-1-1-3+100-1-1-35-1-2-2-1-3-39-3-1</f>
        <v>738</v>
      </c>
      <c r="F9" s="12">
        <f>35+100+17+80+27+99+4-1-1-2-1-1-2-2-1-1-3+178-2-5-2-1-3-1-1-5+192-3-1-1-1+1-2-1-35-10-4-5-1-52-1-1-10-1-1-1-2-20-1-1-1-1-1-26-6-2+101-1-1-50-1-1-4-6+150-1+98-1-1-1-3+1-1-3-1-2-1-1-4-1-1-1-5-2-5-1-11-4-2-1-3-1-1-2-3-4-1-1-1-1-5-2-2-2+2-1-2-1-2-1-1-4-7-1-1-3-1-1-3-5-31-1-1+23-1-3-1-3-1-1-5-2-25-2-10-1-1-4-6-1-4-3-2-2-10-1+6-1-6-5-1-1-1-1-3-1-3-2+301-1-1-1-1-3-3-1-2-2-5-1-3-10-5-2-2-3-2-1-1-1-1-1-4-1-1-20-6-5-2-10-6-5-3-1-7-3-12-3-2-1-1-1-2-1-9-1-2-1-3-5-1-30-10+106-2+1-3-6-5-12-1-1-5-1-1-1-1-3-1-1-21-1-2-1-4-2-5+100-17-11-1+49</f>
        <v>795</v>
      </c>
      <c r="G9" s="12">
        <f>19+98+1+32+48+99+17-2-1-5-2-2-1-1+150-20-3-1-1-1-1-1-1+49-2-17-20-1-3-35-1-2-3-25-1-1-1-12-3-1-7-50-3-2+46-1-1-2-2-1-3-1-1-1-3-7-2-1-1-2-4-4-4+4-2-1-2-1-1-1-2-2-2-2-1-1-1-2-2-3-19-1-1-1+24-1-2-1-1-1-2-1-1-2-1-1-29-10-2-1-1-1-1-10-3-2-6-1-3-1+2-3-5-1-3-2+242-2-6-1-3-1-2-1-1-1-1-2-1-2-1-10-2-3-1-1-5-1+1-1-1-21-1-1-7-6-1-1-6-1-1-1-3-4-5-1-10-1-1-1+36-2-3+1-1-3-1-5+100-17-1-1-1-2-1-8-12-4-1+10</f>
        <v>372</v>
      </c>
      <c r="H9" s="12">
        <f>5+15+26+49-1-1+50-2-2-1+24-1-10-1-1-1-2-2-1-11-1-50-2-1+50-1-1-1-2-1-1-1-1-1-2-1-4-1-1-1-3-1-3-1-1-1-1-1-1-6-1-1-5-1-1+101-1-3-1-2-2-1-1-1-1-1-2-2-1-3-1+1-2-1-2-3-1+36-2+1-1-8-1-1+20-1-1-3-1-6+10</f>
        <v>192</v>
      </c>
      <c r="I9" s="12">
        <f>5+34+7+71-1-1-1-1-1-1-1-1-1-5-30-1-1-1-1-1-2-2-1-1-2-8-1-1-1+2-1-1-1-5-6-1-5-5-1+71-1-1-2-2-1-2-1-11-1+25-1-1+20-3-2-7</f>
        <v>105</v>
      </c>
      <c r="J9" s="12">
        <f>5+15+31+29+24-1-1-3-10-1-1-2+2-1-4-1-1-1-1-1</f>
        <v>77</v>
      </c>
      <c r="K9" s="15">
        <f>35+59+33-1-10-1-3+2-1-1-1</f>
        <v>111</v>
      </c>
      <c r="L9" s="32">
        <f>32+50+51+30+80+80+80+49-1-1-1-1-6-1-1-2-2-1-2-8+150-1-1+1-8-3-1-2-1-80-1-3+50-3+44-3-6-2-1-1-1-2-1-5-8-4-2-1-1-1-1-3-1-2-1-1-3-1+4-1-2-2-2-18+2-1-3-2-5-2-1-9-1-1-1-1-1-1-1-1-5-1-1-10-8-1-2-5-1-7-1-1-3-2+1-5-250-2-20-1+1-1-5-1-1</f>
        <v>132</v>
      </c>
      <c r="M9" s="12">
        <f>79+45+80+71+80+40+23+80+90+80+70+80+44-6-1-2-1+445-1-1-1-1-1+16-4-30-1-1-4+5-1-2-14-6-1-1-2+68-2-20-1-1-2-1-3-1-13-1-15-3-1-5-55-1-1+142-6-1-1-2-20-1-5-1-1-1-1-1-12-3-3-2-2-1-1-80-9-1-1-3+1-1-2-5-2-5+50-20+118-1-25-3-5-1-5-2-6-9-1-16-1-1-1-1-1-5-1-1-1-1-4-2-16-1-1-1-12-22-1-1-8-10-1-1-1-15-1-2-1-1-1-1-1-1-2+1-4-35-1-4-1-2-25-1-2-2-2-10-3-2-1-1-10-2-1-3-1-3-3-27-4-1-1+27-64-1-1-2-5-3-6-1-3-2-5-1-1-3-1-1-1-1-1-1-1+1-1-21-10-6-2-14-1-1-2-2-1-1-2-1-1-3+16-12-3-2-1-1-2-1-5-1+99-2-2-1-10-19-23-120-1-1-1-1-2-5-1-1-4-1-5-2-5-3-1-1-2-2-3-3-1-130-12-3-1-30-8-2-1-29-3-1-1-15-1-1-4-3-20-6-3-16-1-1-1-11-1-6-2+191-4-3-1-2-2-15-5-194-3-5+184-1-2-33-2-1+1-2-3-5-5-3-1-350-2+149-5-8-1-2+100-25-2-1-1-4-1-2-1-5+92-10-10-8-1-3</f>
        <v>346</v>
      </c>
      <c r="N9" s="12">
        <f>80*10+29+80+79+50+69+80*5+68+30+5+53-8-1-1-1-5+602-4-7-1-1-15-4-1-2-2-1-1-2-1-6-20-1-2-6-1+175-6-42-2-19-1-4-4-1-2-1-1-2-1-1-1-11-1+521-20-1-2-11-1-2-2-1-5-5-49-1-3-1-18-2-2-8-8-110-30-1-1+4-6-6-3-1-25-6-3-1-6-1-1-31-1-3-1-4-10-1-1-1-4-2-1-1-80-1-1-26-2-1-10+1-1-2-4+2-1-1-1-1-11-15-10-1-2-3-30-1-1-2-1-1-4-50-4-1-2-2+399-2-3-1-10-2+173-9-1-32-1-1-1-1-2-3-3-6-2-1-4-2-1-2-1-2-32-1-2-2-20-1-2-1-32-3-2-2-13-1-2-2-15-1-3-15-3-1-1-1-2-17-1-3-2-1-1-1-11-1-30-2-55-1-200-9-1-3-1-1-52-1-1-7-1-1-1-1-2-2-10-3-12-3-2-25-1-1-4-6-1-12-1-3-1-2-6-58-4-1-10-3-1-25-1-1-3-1-5-2-4-14-1-1-7-4-2-1-2-2-1-4-4-6-3-1-1-1-61-1-5-1-1-40-5-9-4-2-12-1-4-1-4-2-6-3-2+1-5-4-16-1-1-1-4+32-9-5-1-2+3-2-5-1-8-4-3-1-5+1-1-3+100-1-3-1-2-3-2-1-2-1-1-1-30-11+99-2-37-1-4-3-3-1-2-120-2-1-1-7-6-4-10-11-2-3-5-4-1-1-25-1-3-5-1+1-8-3-1-10-1-1-2-1-2-2-9-10-1-1-250-23-4-1-1-1-60-7-2-2-1-1-2-4-2-31-4-13-1-5-22-1-1-6-7-2-3-2-1-3-3-4-17-10-1-1-6-44-1-15-8-2-3-1-1-3-9-9-3-1-1-10-1-19-1-1-2-20-1-1-5-1-2-1-23-12-24-4-237-4-5+750-3-2-10-4-6-3-51-8-1-1-1-2-309+1-11-7-1-5-5-1-1-2-1-1-1-4+1-1-250-4-1-3-2-1-1-32-1-2-31-1-1-1+755-70-1-2-2-1-1-4-2-1+2-13+5-20-19-1-20-2-4-2</f>
        <v>949</v>
      </c>
      <c r="O9" s="12">
        <f>80*3+34+80+84+84+80*6+80*12+30+70+22-10-6-2-4-1-1-1-3+398-2-2-1-4-2-1-4-1+7-5-1-20-1-1-2-1-18+530-8-1-1-17-18-1-1-6-2-1-1-2-2-1-3-1-1-12-1+128-59-7+1-1-1-1-1+1-2-1-2-10-75-1-30-2-4-42-1-6-8-2-3-125-40-1-4-9-6-2-2-1-3-2-25-12-1-15-1-2-9-80-1-3-2-35-2-9-1-2-2-2-80-1-37-3-1-5-1-1+2-1-1-1-5-15-10-4-30-10-1+279-10-10+10-1-1-3+210-4-1-3-100-1-2-2-1-1-4+77-1-1-6-2-9-1-1-22-1-1-1-2-1-1-1-1-5-1+1-6-1-22-1-1-20-3-1-1-12-1-5-1-1-2-15-2-2-9-1-2-15-1-1-2-4-1-1-1-1-1-2-6-1-2-2-2-1-24-1-1+1-14-19-500-2-4-1-1-65-2-12-9-2-2-12-1-6-1-2-20-2-2+1-2-10-1-2-2-6-1-6-2-9-1-1-1-8-45-1-10+8-27-1-1-11-1-1-4-13-3-3-3-2-1-1-1-9-3-1-3-2-7-1-2-40-1-1-40-7-5-8-1-1-1-3-1-1-7-2-1-2-7-6-1-2-5+22-6-1-6-1-3-10-1-5-2-3-2-1+408-3-1-1-10-1-2-1-1-3-8-2-1-15-14-2-1-45-2-1-2-1-1-1-1-1-1-1-1-1-11-5-1-1-8-27-4-5-2-1-28-2-1-10-25-3-2-2-4-2-4-1-1-250-1-1-8-1-1-1-60-2-1-1-3-1-2-1-12-47-15-4-20-1-1-21-1-1-3-6-3-3-23-17-1-1-2-22-5-1-15-8-3-1-28-5-2-23-4-2-2-1-13-1-20-10-3-2-1-12-2-4-32-5-3-199-4-5+699-9-40-3-1-41-16-2-1-4-2-1+1-5-7-5-8-5-1+3-3-2-5-1-1-120-16-1-1+306-1-1-1-6-1-1-25-1+200-40-1-2-10-1-2-8-2-1+2-8+1-15-19-10-1-1-37-6-1</f>
        <v>1156</v>
      </c>
      <c r="P9" s="12">
        <f>70+18+70+20+30+80+80+80+29+80+58-6-1-6-1-1+399-2-1-4+2-10-1-30-4-1-1-2-3-1-1+200+100-4-9-9-18-1-2-1-1-10-1-2-2-1-1-6-1+100-48-4+1-1-2-3-1-29-1-17-2-30-50-14-1+100-12-1-2-1-3-29-6-1-10-1-2-1-1-15-1-1-2-1-80-1-1-1-15-1-3-1-1-1-2-4-5-10-1-3-1-10-25-1+260+35-1-2-10-18-1-1-1-1-1-3-1-1-1-1-1-18-1-15-3-9-6-2-1-7-2-1-2-3-1-1-1-1-1-1-1-1-3-16-1-6-24-250-1-10-1-1-31-2-1-1-2-4-2-10-2-15-6-1-9-3-1-1-1-4-33-1-3-10+32-7-1-2-1-1-1-3-3-1-1-1-2-1-1-1-1-1-3-2-1-2-4-2-1-10-1-1-1-1-20-1-2-2-2-6-2-1-5-3-15-1-1-7-1-4-1-2-1+18-1-1-2-2-2+1-1-2-5-1-5-1-1-2-8-15-13-3+330-1-34-3-1-2-7-3-2-61-1-2-7-2-30-1-3-3-1-1-3-1-2-2-1-1-50-7-1-1-1-30-1+3-2-1-8-1-5-7-4-10-1-1-1-2-3-1-1-1-1-11-1-9-1-1-17-5-8-1-2-1-1-2-23-1-2-1-7-1-2-4-1-10-3-1-5-16-5-2-97-1-5+172-3-10-25-2-1-1-1+69+1+84-4-2-1-1+1-1-2-1-1-50-1-4-2+140-3-1-1-1-1-15-25-10-1-8-2-4-5-1-14-9-1-30-6+199</f>
        <v>665</v>
      </c>
      <c r="Q9" s="12">
        <f>7+70+70+38+70+10+32+70+31+50+29+36+70+70+7+150+1-10-1-1-3-1-7-1-1-2-3-1-1-1-1-1-1-8-2-1-1-5-1-4-2-11-1-10-1-2+50-1-5-5-7-1-1-1+1-80-5-1-2-1-3-1-2-1-1-1-1-9-1-8-1-3-1-1-6-1-8-1-1-10-1-4-1-1-1-1-1-1-1-1-3-1+1-6-5-50-2-1-1-19-2-2-1-2-2-5-4-5+1-1-5-4-2-2-1-1-1-1-2-1-1-3-1-6-10-1-3-1-5-1-1-3-2-1-2+8-2-1-1-5-1-1-1-2-1-10-6+42-1-12-1-3-2-2-3-12-2-3-1-3-2-1-1-1-2-1-1-6-1-1-17-2-4-7-1-1-3-5-1-1-15-1-5-1-2-7-1-2-11-3-30-1-5+51-1-1-11-2-1-1-1+1-4-1-1-2-1-1-1-4+75-3-1-1-1-5-1-2-1-5-1-1-5-1-4-1</f>
        <v>314</v>
      </c>
      <c r="R9" s="12">
        <f>39+32+11+60+30+48+49+13+58+50-1-1-1-1-1-2-1-1-1-1-1-2+24-3-3-2-4-1-5-80-3-2-1-1-1-2-1-2-2-1-5-3-2-2-4-1-1-1-1-1-1-1-1-3-3-1-6-1-2-3-10-3+1-3-1-3-1-6-1-1-1-3-1-3-1-3-2-2-1-1-5-2-2-1-8-1-2-30-1-2-1-5-2-1-1-17-5-1-2-2-2-2-2-1-1-1-15-1+101-1-7-2-1-1-2-1-1-1-12+25-1-2-2</f>
        <v>173</v>
      </c>
      <c r="S9" s="12">
        <f>50+35+46-1-4-2-2-1-3+1-3-20-10-10-1-1-1-1-1-3-5-2+2-2-1-1-1-4-3-2-1+9-2-1-1-1-1-1-1-1-6-5-1-3-1-1+26-1-3-2-3-1</f>
        <v>47</v>
      </c>
      <c r="T9" s="15">
        <f>11-1-1-2-2-1-1-1-1-1+35-5+2-10-1-1-2-1-1+100-2-1-1-1-2-1-3-1-1-1-1-1-5</f>
        <v>95</v>
      </c>
      <c r="U9" s="11">
        <f t="shared" si="0"/>
        <v>6758</v>
      </c>
      <c r="V9" s="62"/>
      <c r="W9" s="10" t="s">
        <v>22</v>
      </c>
      <c r="X9" s="4">
        <v>1025</v>
      </c>
      <c r="Y9" s="4">
        <f t="shared" si="1"/>
        <v>3587.5</v>
      </c>
      <c r="Z9" s="4">
        <f t="shared" si="2"/>
        <v>2562.5</v>
      </c>
    </row>
    <row r="10" spans="1:27" x14ac:dyDescent="0.25">
      <c r="B10" s="74" t="s">
        <v>22</v>
      </c>
      <c r="C10" s="32">
        <f>30+48+38-1-1+28-4-1-12-2-1-1-5-1-3-30-3-1-1-1+31-1-1-1-1-3-4-1+28+1-10-3-3-1-1-3-6-1-1-1-1-1+4-1-2-2-1-3-2-1-1-1-1-3-3-1-1+3-1-5-2-1-1+1-1-5-3-1-1-4-3-4-5-29-1-1-1-2-2-3-1</f>
        <v>0</v>
      </c>
      <c r="D10" s="12">
        <f>100+69+20+25-1-2-2-1-1-1-2-28-3-3-2-1-2-9-2-1+92-2-5+1-1-1-2-50-4-5-3+90-2-1-1-1-1-1-3-1-2+149-2-1-1-1-3-2-1-1-2-8-5-1-6+107+99-2-2+100-4-1-1-3-2-1-1-7-2-2-1-2+2-1-1-2-4-1-2-2+17-2-1-1-2-1-1-4-3-2-1-2-1-4-2-1-1-5-1-2-2-1-1-1-1-1-1-4-3-4-1-1-1-1-1-2-5-1-1-40-1-10-1-1-2-1-1-1-3-4-1-1-2-1-1-5-1-1-1+1-1-1-11-12-1-1-5-1-3-5-4-6-1-1-1-5-1-1-1-1-4-1-2-2-8-55-36-1-1-1</f>
        <v>324</v>
      </c>
      <c r="E10" s="12">
        <f>100*3+61-5-2-3-4-1-3-3-2-1-2-1-2-1-4-4-1-1-1-45-5-1-2-1-1-2-6+92-1-1-5-1-1-5-1+1-1-50-1-10-2+90-1-5-1-1-3-1-3-2-20-1-2+150-1-3-1-3-2-1-6-1-1-1-2-2-2-1-6-5-9-7-5+100-2-2-2-2+1-1+100-3-1-1-1-2-1-2-1-1-2-6-9-4-1-1-1-3-1-1-3-1-4-1-1-1+25-2-1-1-3-1-1-1-3-13-1-1-4-1-2-1-2-7-10-1-5-1-1-1-1-1-5-5-1-4-1-2-1-1-3-10-1-1-4-1-2-3-1-1-1-2-1-1-1-2-5-1-3-1-1-1-1-2-80-1-10-2-3-12-2-1-6-3+1-1-1-2-4-4-1-1-10-9-1-1-5-3-13-1-12-1-5-3-2-3-9-4-1-1-1-1-4-5-2-3-1-1-1-1-1-1-1-1-4-7-63-1-1</f>
        <v>123</v>
      </c>
      <c r="F10" s="12">
        <f>100+99+50+100+25-2-5-1-1-1-10-1-1-1-4-1-2-2-2-1-4-1-25-3-3-1-1-1-2-1-2+90-1-2-1-3-2-1-2-1-1-50-2-1-10-3-1-1-1-1-4-4-1-1-2-1+34-7-3+65+116-1-2-2-1-1-1-3-1-5-10-4-1+100-2-2+144-1-6-1-1-2-2-1-1-6-1-3-7-2-1-1-3-1+2-1-4-2-1+26-2-1-1-1-1-1-10-3-2-9-1-1-1-1-2-1-2-2-10-6-1-1-1-1-1-5-3-1-1-1-1-1-1-3-1-3-5-1-3-1-1-1-4-20-10-1-2-6-1-3-6-1-1-3-4-6-74-2-1-1-1+1-7-11-1-1-12-3-5-5-2-7-5-1-1-4-1-3-11-1-1-1-1-1-1-5-1-1-1-1-1-1-1-4-1-1-1-38-1-37-3-1-1</f>
        <v>253</v>
      </c>
      <c r="G10" s="12">
        <f>99+21-3-1-1-2-5-2-2-1-1-1-1-1-23-2-1-1-1-6-15+92-2-4-1-1-4-50-3-5-1-3-1-1-2-2-3-3+67+120-2-1-1-3-1-7-1+50-1-1+1-2-2-1-1-2-3+100-1-1-3-1-1+3-1-2-1-1-1-1+25-2-6-2-1-2-1-2-1-4-1-5-1-1-1-1-2-1-1-4-2-1-1-1-2-2-1-10-5-5-1-1-1-2-1-3-1-5-1-1-1-5-1+1-2-7-2-3-1-1-1-1-1-1-1-1-1-1-1-1-1+1-1-1-2-2-23-30-2-1</f>
        <v>199</v>
      </c>
      <c r="H10" s="12">
        <f>8-1-2-1-1-1-2+92-1-1-2-50-1-2-1-3+33-1-3+65-2-1-1-2-4-1-2+25-2+28-1-1-2-1-10-1+2+1-6-1-1-1-10-8-2+1-1-1-1-1-1-1-1-2-1+3-1-2-1-1-1-1-5-4-1-1</f>
        <v>97</v>
      </c>
      <c r="I10" s="12">
        <f>60+22+7-1-1-1-3-1-2-30-1-2-1-1-1-1-2-2-1+45-1+18-2-1+2-1-3-1-1-1-5-3-2-1-1-1-1-1-1-1-3</f>
        <v>72</v>
      </c>
      <c r="J10" s="12">
        <f>24-1-10-1-1-1+18+25-1-2-1+1-1-3-1-1-1</f>
        <v>43</v>
      </c>
      <c r="K10" s="15">
        <f>56+18-10-1-1-3-1+1-3-1-1-1</f>
        <v>53</v>
      </c>
      <c r="L10" s="32">
        <f>20+80+61+41+100+85+90+57-5-1-1-1-15-6-2-1-1-1-80-2-1-5-10-1-1-1-1-5-8-3-2-34+100-7-1+196-1+5-1-2-1+1-1-5-2-3-1-1-5-1-7-1-1-1-1-1-3-1-1-5-1-1-1-10-1-1</f>
        <v>579</v>
      </c>
      <c r="M10" s="12">
        <f>80+84+40+60+28-2+80*3+90-5-2-1-4-3+3-1-2-6-2-35-1-1-5-1-1-1-1-1-1+1-2-1+78-20-4-1-2-1-1-1-80-1+1-1-4-1-5-1-1-2-5-4-1-1-1-3+295-20-1-1+64-1-1-4-2-3-12-1-1-22-2-5-2-1-3+1+224-3-1+117-1-1-1-2-1-2-11+1-2+354-4-4-1-1-1-1-2-1-1+52-1-1-1-10-2-2-1-3-8-2-1-2-2-1-5-1-1-1-2-13-4-1-1-1-2-5-1-3-3-3-1-1-2-5-1-3-3-2-6-130-4-30-4-1-1-5-8-2-1-21-1-30-5-3-1-1-1-5+1-9-1-15-55-1-1-1-4-2-1-1-1-2-5-5-1-1-6-3-1-1-170-19-5-1-1</f>
        <v>796</v>
      </c>
      <c r="N10" s="12">
        <f>80*6+67+15-1+80*4+69+30+40-30-1-4-1-6-1-2-1-1-8-2+8-2-4-1-1-2-1-12-1-2-1-27-1-1-2+1-5-4-1-2-1-1-6-1-1-1-34+297+1-30-4-8-1-1+1-1-1-4-2-3-80-1-1-1-1-4-1-5-2-1-15-2+89-1-1-2-34-1-1-5-3-1-2-1-1-2+147-1-3-1+200-3-2-3-3-1-4-20+343-2-3-2-1-2+319-8-1-1-1-1-13-2-20+213-1-32-2-4-2-3+300-1-13-3-2+290-7-2-10-1-2-1-3-13-1-1-2-1-1-5-1-1-12-1-6-4-10-1-2-4-1-1-2-1-1-1-1-5-3-1-1-7-1-3-4-2-1-1-3-1+54-1-2-3-1-3-7-4-2-1-1-1-1-20-3-2-1-9-11-1-1-2-1-4-2-1-4-10-5-2-1-4-2-1-5-2-1-2-1-1-2-6-1-1-4-1-3-9-1-8+3-2-1-5-2-1-2-5-3-1-3-12-1-2-1-24-1-250-6-60-3-6-1-1-3-6-10-1-27-1-1-5-2-1-2-1-6-14-5+2-1-16-2-1-1-1-1-30-17-1-5-2-1-1-8-1-12-1-1-3-20-5-1-1-1-2-1-4-1-5-4-1-1-20-8+1-1-1-1-3-2-1-1-6-2-6-6-224-44-1-1</f>
        <v>1478</v>
      </c>
      <c r="O10" s="12">
        <f>80*6+18+15+16-1+80*3+90-30-5-6-2-1-7-2-1-7-1+7-2-1-2-1-1-26-2-3-1-43-2-30-2-1-1-2-1-8-1-1-2-1-20-1-2-2+394-30-12-1-1-1-1-2-5-1-2-80-1-4-1-3-2-1-15-1-4+179-16-1+401-2-1-13-1-1-1-2-2-2-2-1+149-5+149-3-4-3-2-5-20-2-1+1-3-1-1-1-2-1-2-1-1-1-19-20-1-11-2+640-12+433-2-1-7-1-10-5-2-1-1-5-1-3-3-2-2-1-4-11-1-2-1-1+1-3-1-1-1+139-1-2-4-6-7-1-3-1-5-2-3-2+52-1-6-1-1-3-7-3-3-4-9-1-2-3-2-1-9-2-1-2-1-2-1-2-1-1-4-2-7-2-1-1-2-2-1-1-1-5-1-1-2-6-7-1-1-1-2-3-1-4-1-2-1-1-1-3-11-1-1-4-1-2-1-4-3-3-2-2-1-1-4-1-250-2-1-11-60-3-7-1-3-1-4-1-1-1-3-1-10-10-13-15-1-2-5-1-1-4-8-26-1-5+1-2-1-16-3-1-15-10-3-5-1-1-1-8-1-1-11-1-10-7-2-1-1-1-1-2-1-5-5-2-8-17-9-2-1-1-2-2-11-9-6-3-4-12-215-45-1-1-1-5-1-1-1-10-1</f>
        <v>1617</v>
      </c>
      <c r="P10" s="12">
        <f>28+70+70+32-4+40-30-1-8-5-2-2-2-4+57+2+152-1-2-1-1-19-2-30-1-1-1-1-2-10+209-29-5-5-1-1-1-1-1-3-80-2-1-2-1-5+90-6-10-7-1-1-1-1-1-1+160+142-6-6+117-1-1-1-1-1+2-2-1-1-3-1-1-1-1-8-15-9-1-1-1-4+81-4-1-2-1-2-2-8-1+297-1-2-2-9-1-1-1-1+198-1-2-4-3-1-1-4-1-8-1-1-2+47-3-1-1-2-1-1-7-3-2-2-1-8-1-1-2-5-1-1-1-2-1-1-6-1-5-1-2-4-1-4-5-1-2-1-1-3-1-1-1-1-1-6-2-1-3-2-5-1-3-1-1-1-6-1-50-5-4-30-1-1-3-1-1-1-7-7-17-1-1-1-1-30-1-30-3-1-1-2-9-5-2-1-1-11-3-1-12-9-2-2-3-8-4-1-2-6-1-1-1-1-8-1-1-1-3-9-4-1-2-1-4-2-118-27-1-2-12-1-1-1-1</f>
        <v>752</v>
      </c>
      <c r="Q10" s="12">
        <f>78+38+100+43+35-4-1-2-1-2-15-1+1-10-1-2-1-3-6+78-1-2-1-1-80-1-3-5-1-1-2-1-1-6+117-1-1-1-1+2-1-1-1-6-1-2-10-1-4-4+296-1+24-1+18-5-1+82-1-12-1-1+1-2-1-1-1-1+4-1-6-1-1-1-4-1-1-1-1-3-2-3-2-2-1-2-2-1-1-1-1-3-1-1-1-2-3-2-1-8-2-2-1-1-1-1-5-2-3-1-1-1-1-1-4-1-3+1-1-9-9-1-1-2-4-1-1-4-2-2-2-7-7-16+30-4-1-2-48-6-4-6-3-4-1</f>
        <v>489</v>
      </c>
      <c r="R10" s="12">
        <f>49+38+120+24-1+30-1-1-2-10-1-1-80-1-2-1-1-1-1-3+10-2-5-1-2-2-3-5+31-7+67-3-2-1+100-1-2+4-1-2-1-1-1-1-1-2-1-2-1-1-1-2-1-1-1-1-3-2-1+1-1-1-1-1-1-5-1-1-1-5-10-16-4-1-2-2-1-7-4</f>
        <v>238</v>
      </c>
      <c r="S10" s="12">
        <f>29+2-1-1+28-20-1-10-1-4-1-1-1-1+2-2-1-2-1-1-1-1-1-1-1-1-1-1+55-1-1</f>
        <v>57</v>
      </c>
      <c r="T10" s="15">
        <f>30+3+19-1-1+15-1-20-1-1-1-3-1-1+2-4-1-2-1-1+14-1-17</f>
        <v>25</v>
      </c>
      <c r="U10" s="11">
        <f>SUM(C10:T10)</f>
        <v>7195</v>
      </c>
      <c r="V10" s="62"/>
      <c r="W10" s="10" t="s">
        <v>23</v>
      </c>
      <c r="X10" s="4">
        <v>1022</v>
      </c>
      <c r="Y10" s="4">
        <f t="shared" si="1"/>
        <v>3577</v>
      </c>
      <c r="Z10" s="4">
        <f t="shared" si="2"/>
        <v>2555</v>
      </c>
    </row>
    <row r="11" spans="1:27" ht="21.75" customHeight="1" x14ac:dyDescent="0.25">
      <c r="B11" s="74" t="s">
        <v>23</v>
      </c>
      <c r="C11" s="32">
        <f>100+44+21-1-1-3-1-3-1-1-10-1-1+1-2-4-1-5-1-1-1-2-1-30-2-1-1-1-1-2-1-4-2-1-3-3-1-2-5-1-1-2-1-2+100-3-1+5-1-5-5-1-1-3-5-1+30-1-1-3-1-1-1-9-1-3-1-1-1-1-2-5-2-1-1</f>
        <v>131</v>
      </c>
      <c r="D11" s="12">
        <f>100+100*3+80+30+68-2-15-1-4-3-5+30-2-1-1-1-20-6-4-1-5+1-7-5-1-2-1-7-1-1-1-1-1-1-1-1-1-2-1-4-1-5+1-1-3-1-1-40-35-50-1-26-1-1-1-5-2-1-1-4-1-1-6-10-1-1-1-2+1-2-8-1-2-5-3-1-5-2-1-1-5-5-1-2-1-2-1-2-2-2-1-2-4-3-2-2-2-1-2-9-1-2-5-2-26-1-1-4-1-10+1-1-24-2-11+1-1-1-1+50-1+200+9-2-1-1-1-4-2-1-3-1-1-12-1-1-1-5-5-1-10-51-10-1-1-5-1-4-3-5+2-1-1-1-10-1-5-3-2-70-1-6-2-1-3-3-4-1-1-35-1-3-1-1-1-1-1-1-1-1-2-1-5-2-4-1-2+100-1+100-1-1-2-7-6-5-1+20-1-1-2-4-2+150-5-1-3-2-9-2-2-1+149-1-5-8-1-1-5-3-2-4-1-2-1-1-2+180-5-2-1-4-1-6-5+1-3-1-2-4-1-1-1-1-1</f>
        <v>635</v>
      </c>
      <c r="E11" s="12">
        <f>51+87-1-27-1-5-2-1-4-4-6-1+269-2-1-3-1-1-1-6-1-1-1-1-20-1-1-2-1-1-1+1-7-10-2-2-3-7-2-1-2-1-1-1-1+97-3-1-4-1-2-6+100-2+1-1-1-1-1-5-1+1-1+60-1-5-1-1-1-14-55-50-1-2-1-25-1-5-3-1-1-1-1-6-1-2-1-1-1-2-3-5-2-1-5-3-1-1-8-22-1-3-1-1-3-5-5-1-2-5-9-1-1-1-3-3-2-2-2-1-21-1-2-1-5-1-3-1-1-2-1-6-28-1-3-2-7-1-5-45-2-2-2-1-3-30-5-30+1+30-25-3-3+368-1-1-2-1-8-50-3-2-1-1-1-1+14-1-2-4-1-3-1-2-3-1-1-20-1-1-2-1-1-15-5-1-15-1-1-81-10-1-2-1-15-1-1-7-1-1-4+5-1-20-2-1-1-5-7-2-68+60-42-6-1-5-5-1+176+231-2-1-1-1-49-1-1-4-1-2-5-1-1-3-2-2-4-3-1-3-1-2-2+1-1-1-2-9+199+9-1-1-1-1-3-5-1-1-1-9-1-1-2-2-4-1-1-5-18-2-1-14-2-2-1+199-1-2-1-1-7-3-1-5-2-6-2-5-10-6-1-1-2-9-1-2-2-1-2-10-2-3-2-1</f>
        <v>537</v>
      </c>
      <c r="F11" s="12">
        <f>50+10*2+30+62-1-1-1-1-21-2-4-2-7-1-3+269-6-1-1-3-15-1-1-1-2-1-2+1-2-3-13-10-3-1-5-1-2-1+150-2-1-5+102-1-1-1-1-1+36-2-2-1-1-9-54-2-50-2-1-6-1-1-1-3-1-4-14-1-1-1-10-1-3-2-1-1-3-1-1-4-1-10-2-1-2-3-1-2-4-1-1-5-11-1-3-1-2-1-1-1-2-5-1-1-2-1-4-1-3-1-1-1-1-3-20-1-3-1-1-1-47-2-1-1-18-36-2-1-21-12-1-11+1-2-2+298-3-1-1-1-1-2+16-1-2-2-1-1-1-1-1+1-36-1-1-25-4-2-1-1-5-10-5-1-11-81-10-1-1-15-2-1-2-3-4-3+4-1-1-2-25-1-5-7-3-50-1-4-1-3-3-1-8-6-48-1-1-1-1-2-10-2-5-4-5-5-2+199-1-1-2-1-1-7-5-1-2-1-1-4-1+172-1-2-2-2-1-1-7+200+1-1-2-1-2-2-12-1-1-2-2-1-1-5-13-2-2-7-9-3-3+198-1-1-4-2-2-5-1-7-1-4+1-1-1-11-1-1-7-2-2-3-1-2-9-1-1-3-2-1</f>
        <v>582</v>
      </c>
      <c r="G11" s="12">
        <f>59-1-1-11-1-2-2-5-5+37-5-1-1-1+98-1-3+21-5-1-2-1+1-8-5-1-2-2-1+50-1+1-3+60-2-2-3+18-1-1-36-23-50-1-3-3-1-1-1-1-3-1-4-1-1-1-1-1-1-1+1-2-1-3-2-1-12-2-2-1-1-1-3-5-2-1-1-2-1-19-2-1-1-1-2-2-1-1-5-1-1-32-9-9+1+100-34-1-1-4+100-2-5-50-1+25-1-1-1-4-1-1-1-1-10-1-10-15-1-80+70-28-9-1-1-2-4-1-1-4-19+70-21-1-1-10-1-2-2-1-1-5+100-2-1-1-2-1-2-1-1-41-7+114-2-1-1-1-12-1-2-1+80-1-3-7-1-1-1-8-1-1-1-2-1-1-4-2-6-2-1-1-1-3-2-4+80-1-1-1</f>
        <v>261</v>
      </c>
      <c r="H11" s="12">
        <f>49+68-3-2-2-2-1-5-1+1-5-2+20-1+30-1-1-1-40-8-50-1-1-5-1-1-2-1-1-1-1-2-4-1-1-1-1-2-3-1-2-1-1-4-1-3+1-1+149-48-1-1-1-1+1-1-1-1-1-7-7-3-1-20-5-2-20-2-1-8-16-1-1+68-4-15-1-1-3-9+29+2-1-2-9-1-1-1-8-1-1-4-1-3-7-1-1-4-1-1-1-2-2-1</f>
        <v>12</v>
      </c>
      <c r="I11" s="12">
        <f>30+29-1-1-1+1-1+18-1-1-8-30-1-1-1-1-6-1-3-2-2-1-4-1-1-1-2-1-5+1+98-1-2-16-1+5-1-1-1-1-1-1-1-3-5-1-1-2-2-2-3-2+30-1-1-5-1-1-9-1-3-1-1-2-1-1-2-2-3-3</f>
        <v>48</v>
      </c>
      <c r="J11" s="12">
        <f>48+20+47-1-2-5-1-1-10-1-1-3-1-2-1-1-1-1-1-1-1-2+2-3-1-2-2-20-30-2-1-6-5-2-1-1-1-1-2</f>
        <v>0</v>
      </c>
      <c r="K11" s="15">
        <f>43+5-2-10-1-1-1-3-1+2-2-1+20</f>
        <v>48</v>
      </c>
      <c r="L11" s="32">
        <f>70+30+90*2+71+80+99+60+32+44+43+43-1-1-2-1-1-1-5-5-2-1-1-1-80-1-1-1-1-1-1-4-5-8-3-2-2-1-2-1-1-5-1-1-81+1-1-1-1-5-2-1-5-9-1-1-12-3-4-2-12-7-5-1-1-10-1-3-3-7-2-1-1</f>
        <v>426</v>
      </c>
      <c r="M11" s="12">
        <f>59+50+45+80*7+34+20+65-2-1-1-6-2-1-2-5-1-1-1-1-20-10-4-4-1-2-15-1-5-20-20-4-1-1-1-4-5-4-5-1-10-6-2+100-3+26-1-1-2-20-6-1-3-2-1-1-1-7-1-1-1-1-1+140-1-1-80-10-2-1-44+1+1-1-1-1-30-19-1-4-20-1-1-1-1-2-9-2-1-28-1-1-1-1-1-2-6-1-2-1-1-2-4-50-8-1+300-1-2-15-2-1-1-12-22-1-1-2-1-11-2-1-1-1-3-1-4-1-2-1-1-1-2-1-3-24-4-1-1-2-26-3-12-1-4-2-5-2-1-10+1-15-1-8-1-1-1+33-2-1-1-2-12-1-1-1-5-10-7-5-66-35-1-2-2-3-2-1-1-1+2-1-3-1-2-1-2-2-1-5-3-70-2-2-3-3-1-18-3-1-1-3-1-2-2-1-1-5-120-5-1-41-1-1-1-12+100-30-2-3-1-5-1-6-1-1-1-2-3-9-1-2-1-1-1-7+164-1-3-4-1-1-9-1-1+150-1-5-2-2-1-4-1-1+302-12-1-7-5-6-1-4-2-27-1-10-3-21-13-1-5-1-44-3-3-5-1-4-4+100-31-1-1-1-1-1-1</f>
        <v>641</v>
      </c>
      <c r="N11" s="12">
        <f>1+39+19+80*8+63+79+30+21+50+50+55-20-1-36-7-4-1-1-4-1-1-4-10-1-1-4-1-50-40+99-2-1+22-1-1-4-5-1-3-5-6-30-1-9-1-10-1-20-20-4-2-1-1-1-1-2-1-1-1-2-4-10-1-2-5-1-1-1-10-10-13-4-1+100-9-1-1-7-1+345-1-1-1-2-25-2-1-1-6+50-1-1+346-1-1-1-2-1-4-2-1-1+356-1-3-2-10-3-80-1-1-1-7-1-55-1+1+1-1-2-1-1-35-22-10-4-20-1-1+1+80-2-3-1-1-3-5-1-9-3-1-58-8-2-1-2-1-1-1-16-1-4-2-1+6-2-10-1-50-1-12-8-5-1-1-1-2-1-1-3-20-3-3-2-1-2-20-32-1-2-3-1-3-14-2-4-2-1-1-2-1-1+493-1-2-5-3-3-3-1-1-3+1-3-1-1-2-2-1-1-47-12-5-1-2-2-1-4-1-1-6-1-1-48-3-9-1-1-2-2-24-2-2-13-2-1-15+1-1-1-12-2-1+1-8-4-7-1-1+2-1-1-1-6-1-1-2-3-2-1-1-1-1-1-10-1-14-2-3-20-2-1-1-2-2-3-76-1-3-40-5-3-2-1-1-15-5-2-2-215-1-1-60-4-2-4-2-3-1-1-5-1-12-1-1-1-1-1-2-1-5-8-1-5-70-3-1-15-5-2-1-3-2-1-3-18-1-9-1-2-2-2-39-3-1-41-3-1-4-3-1-11-1-1-1-1-10-2-1-2-3-3-10-130-6-5-1-1-157-2-1-2-2-2-17+179-40-2-1-1-3-1-1-1-6-5-1-1-2-7-1-30-4-4-7-4-1-2-2-6-18-2-1-1-5-1-11+109+5-2-1-1-1-1-21-3-9-3-2-1-2-2-1-1-1+99-4-5-18-2-1-4-3-16-3-1-2-1-8-2+597-2-12-7-5-11-4-2-16-6-1-1-44-2-2-1-26-3-1-39-18-3-134-1-14-2-1-4-1-1-2-23-26+402-2-45-2-6-2-1</f>
        <v>1034</v>
      </c>
      <c r="O11" s="12">
        <f>80+80+80+25+30+39+80+80*4+73+23+37+29+13+20+14-14-1-47-14-8-1-6-1-1-4-13+1-4-45-20+298-3-1-18-2+22-1-5-1-1-4-2-2-34-20-20-2-4-1-1-2-1-10-1-1-1-1-1-1-4+3-1-1-10-10-2-3-4-1-10-6-3+256-1-1-2-1-25-2-1-7+100-2-1+194-1-1-1-1-2-1+1-5-1-2-1-5-1-2-1-2-80-2-7-1-28+80-1-35-10+339+28-11-4-18+92-1-1-4-3-10-5-6-1-10+10-1-2-2-1-2-1-1-20-7-1-1-1-1-2-1-1-1-3-3+125-1-1-1-15-1-1-5-2-2-1-1-1-9-2-50-2-20-2+400-1-1-2-1-3-2-3-20-12-2-2-3-1-4-4-10+75-2-2-1-1-3-2-1-1-1-1-12-10-13-1-3-1-3-10-1-2-3-4-2-1-6-1-5-17-1-2-1-1-2-2-46-1-8-2-2-1-8-37-2-1-20-1-7+1+1-3-1-9-1-3-4-1-1-1-1-1-1-7-2-1-10-1-13-7-1-2-25-1-5-10-1-2-104-1-2-1-1-40-21-10-3-7-1-1-210-1-70-1-2-1-3-6-2-1-3-1-1-12-19-1-5+1-7-5-100-10-1-2-1-10-2-1-15-1-2-6-1-8-2-1-1-1-36-2-1-1-2-1-1-1-1-1-1-1-8-2-5-2-4-5-60-5-4-144-4-1-13-40-1-2-1-2-3-4+99-3-5-5-1-1-12-7-20-16-5-4-6-1-1-1-1-3-2-9-1-1-2-1-10+30-2-1-1-2-9-2-30-1-7-2-3-1-2+79-2-1-5-3-1-5+600-10-2-4-2-3-1-1-1-22-1-1-1-12-1-12-3-5-2-7-1-1-3-22-6-1-34-3-14+250-2-2-48-20-4-98-7-2-2-2-2-15-24+250-1-18-1-6-1-1-1-5-1-3</f>
        <v>1278</v>
      </c>
      <c r="P11" s="12">
        <f>60+30+1+19+20+70+80+38+35+70+30-4-1-2-18-3-3-3-1-1-4-1-20-2+100-1-1+21-2-6-1-3-4-1-1-20-20-1-1-5-1-5-1-5-3-1-2-1+236-1-1+150-1-1-29-1-5-4-1-3-1-1-2-1-4+140-1-3-2-2-4-80-1-27-30-2-5-4-4-4-1-2-15-1-1-8-2-1-1-2-1-1-1-3-1-1-1+248-6-1-1+14-3-4-2-50-1-1+51-1-1-1-1-2-1-1-1-15-8-1-2-2-2-1-8-2-1-5-1-3-3-2-10-6-1-2-1-1-1-10-1-1-2-2-1-1-2-22-7-1-3-4-1-6-23-1-2-1-1-2-1-2-1-3-14-2-2-13-7-2+1-1-1-5-10-1-1-1-2-1-1-1+29-2-2-3-2-1+1-3-12-3-1-10-3-84-20-14-10-3-2-115-35-1-1-4-1-7-4-1-1-5-4-1-1-5-2-5-100-11-5-1-2-8-1-8-3-5-3-4-33-1-1-2-4-1-10-134+168+30-160-38+293-5-2-2-80-1-3-5-2-2-3-2-3-1+60-1-2-8-2-1-1-2-5-1-2-2-15-3-1-1-2-2-1-1-2-3+401+20-10-1-1-13-112-3-5-6-1-1-4-2-14-21-1-4-10-2-18-5-65-1-4-2-4-11+200-5-6-1-5-1-1</f>
        <v>465</v>
      </c>
      <c r="Q11" s="12">
        <f>20+39+20+65+70+60+71+56-3-2-9-2-2-2-1-1-1+29-1-2-2-3-5-3-5-5-1-1-5-3-1-1-1+59-2-2-3-2-2-1-2+60-1-4-4-80-9-1-10-1-1-4-5-5-10-1-2-3-1-1-1-1-2-1-20-2-1-10-3-1-1-1-1-3+74-3-1-4-2-3-6-1-1-7-2-2-5-4-2-1-2-3+1-2-4-1-2-2-1-7-2-15-2-30-1-15-2-4-1-1-1-7-3-50-2-5-7-1-1-1-60-1-1-5-1-2-1-2-3-3-2-13-44+72-1-3-2-15+100-1-4-3-1-1-4-1-1-1-3+110-2-40-21-1-3-1+98-1-4-1-2-2-1-1+81-12-1-3-1-4-1+1-1-2-1-8-4-1-23-2-1-3-2-1-1-5+60-1-6-1-2-4-3</f>
        <v>307</v>
      </c>
      <c r="R11" s="12">
        <f>40+50+39+40+19-1-2-1-1-2-1-1-1-1-4-1+19-1-1-4-1+30-1+36-1-80-8-1-5-1-2-1-3-1-1+2-1-20-2-2-1-5-1-1-1-2-5+74-1-1-7-1-1+1-2-1-1-1-4+1-1+1-1-1-14-1-3-8-9-3-1-1-3-5-1-2-8-23-1-1-3-1-1-12-1-2-3-1-1-2+20-2+30+1-1-1-1-1-2-2-9-5-1+19-1+82-12-1-1-2-1-2-4-3-1-11-1-2+30-1-1</f>
        <v>162</v>
      </c>
      <c r="S11" s="12">
        <f>35+21+5+17-2+10-1-20-1-3-1-1-20-1-1-1-1-1-3-1+2-2-1-2-6-2-1-5+30-1+30-1-2-6-1+9-1-1</f>
        <v>69</v>
      </c>
      <c r="T11" s="44">
        <f>21+22-1+9-1-20-1-1-3-2+2-2-1-1-1-1-1-1+28+30-4-9+10-1-1-3-3-1-1</f>
        <v>62</v>
      </c>
      <c r="U11" s="11">
        <f t="shared" si="0"/>
        <v>6698</v>
      </c>
      <c r="V11" s="62"/>
      <c r="W11" s="10" t="s">
        <v>24</v>
      </c>
      <c r="X11" s="4">
        <v>1010</v>
      </c>
      <c r="Y11" s="4">
        <f t="shared" si="1"/>
        <v>3535</v>
      </c>
      <c r="Z11" s="4">
        <f t="shared" si="2"/>
        <v>2525</v>
      </c>
    </row>
    <row r="12" spans="1:27" x14ac:dyDescent="0.25">
      <c r="B12" s="74" t="s">
        <v>24</v>
      </c>
      <c r="C12" s="32">
        <f>62+70+71-1-1-5-1+20-1-1-4-1-1-1-1-2-1+1-2-9-3-2-3-30-2-5-1-3-1-1-1-10-1-1-1-1-4-1-3-2-2-7-3-1-2-2-1-2-6-6-1-2-1-2-4-1-1-1-1-1-1-2-2-4-60+3-1-2+98-4-1-1-3-1-13-1-1-2-1-2-1-2-1-5-1-8-1-1-1-2-1-1-1-1-1+1+1-1+145-1-2-2-1-2-3-1-2-1-2-1-1-1-2-1-2-1-1-2-2-1-6+4-1-1-2-1-5+40-1-4-5-1-1-2-1-1-1-1-1-1+22-1-1-1-2-2-1-1-1-1-1-1-1</f>
        <v>170</v>
      </c>
      <c r="D12" s="12">
        <f>100+100+12-1-1-25-2-2-6-3-40-1-1+302-1-1-1-10-1-10-3-1-3-2-4-1-1-1-2-1-1-1-2-1-1-1-2-1-1+219-1-2-1-1-1-1-1-1-1+55-15-1-2-4-5-2-2-3-1+1+1-1-5-2-2-30-1-2-1-1+119-3-3-2-1-50-2-2-1-1-5-5-5-28-1+1-3-12-7-5-2-2-10-9-1-2-1-1-1-1-3-1-20-1-1-1-1-7-1-3-1-2-1-1-2-3-1-2-1-1-5-1-7-1-1-3-5-2-1-1-1-1-1-1-2-1-6-1-11-6-2-1-1-1+97-3-2-1-1-9-3-2-1-1-1-1-2-1-7-1-1-4-1-16-24-1-4-1-1-2-8-1-4-1-1-10-2-2-5-5-1-1+14-2-50-1-5-3-9-7-1-2-16-3-7-1-3-1-1-23-1-2-1-1-1-20-2-1-1-1-2-1-3-1-2-1-1-1-1-2-4-1-10-5-1-2-1-2-1-12-10-1+37-1-1-20-3-1-1-10+155-1-8-1-3-7-6-2-2-2-1+2+289-6-1-3-1-2-5+6-4+1-10-6-4-1-5-3-2-2-2-2-1-1-2-1-1-1-1-13-2-1-4-1-2-2-2-1+20-2-1-1-2-185-1-4-1-1-1-2-2-2-7-1-34-1-1-2-1-24-1-100-1-6-1-6-2-5-2-1-1-1-1-3-2-1-1-5+150-1-2-1-1-10-12-1-4-1-1-5-2-2-1-1-13-1-1-1-5-1-2-1+198-4-1-1-1-1-1-1-1-4-1+71-1-1-2-7-1-1-1-2-2</f>
        <v>393</v>
      </c>
      <c r="E12" s="12">
        <f>70+49-70-2-1-1+299-7-7-40-3-1+99-1-2-4-1-1-2-10-1-2-1-1-2-4-1-10-1-2-1-1-1-1-1-1-1-1-2-12-5-3-3-1-2+1-1+267-11-10-2-1-1-3-3+1-2+29+177-1-15-3-1-1-2-4-1-1+4-10-1-2-5-1+15-2-1-1-1-1-2-5-1-2-3-44-2-3-2-3-1-4-37-45-1-4-1+240-2-1-4-3-3-2-1-50-2-1-1-1-4-10-10-2-1-5-5-1-34-1-1+3-8-34-14-1-12-3-1-3-5-2-1-2-1-1-15-1-1-3-1-1-2-15-1-14-2-1-1-1-15-1-1-6-2-2-1-1-1-3-3-1-1-2-2-4-1-3-1-1-7-8-5-2-3-2-4-1-7-1-1-1-1-1-1-9-1-1-3-7-13-3-1-5-1-1-1-5+156-1-1-2-1-1-2-1-15-1-5-2-1-1-5-2-1-3-5-2-4-4-4-10-27-17-23-4-1-3-2-4-7-1-100-17-1-15-1-1-3-3-1-1-1-3+21-3-1-2-1-30-5-1-3-1-7-25-1-2-5-60-1-8-2-2-50-1+13+177-1-4-1-1-2-10-19-2-1-1-1-6-5-4-1-3-1-3-14-2-1-1-1-1-3-3-4-3-1-9-2-1-20-3-5-1-3-1-2-10-1-1-1-10-1-27+479-3-1-2-4-2-1-24+3-2-4-1+1-1-6-29-1-4-3-2-1-2-1+113-42-1-1-1-8-4-2-2-1-2-1-3+46-6-1-10+95-185-1-9-5-1-2-1-3-3-2-1-6-1-1-5-6-2-9+1-39-1-1-2-1-2-5-2-8-35-1-1-3-5-4-100-7-1-1-1-6-10-1-5+2-1-20-1-1-2-1-1-1-1-6-1-1-1--7-10+148-1-1-2-26-16-4-4-1-2-2-1-2-1-5-1-2-8-2+1-1-11-2-4-1-1-1-2-1+1-1+75-3-1-1-1-1-1-2-1-1-1-2-2-2-10-10-2-2-2-3-3-4-1-7-3-2-3-1-1-4-1-10-1+347-340-4-2-2-1-1-1-1+67-1-1-1-2-1-16-1-1-1-1-1-2-1-2-1-2</f>
        <v>92</v>
      </c>
      <c r="F12" s="12">
        <f>23+34+407-2-3-2-70-2-1-1-1-18-40-1-1-1-1-1-1-6-2-5-4-5-6-1-1-1-2+2-1-2-1-1-2-4-1-1-9-5-3+444-1-2-2-1-2-1+51-10-2-3-28-15-3-1-2-2-1-2-1-2-1-30-2-1-1-1-32-1-1-3+243-3-2-1-6-1-1-50-3-1-10-10-1-1-1-10-1-1-1-1+2-4-2-15-3+1-8-1-1-1-5-1-1-15-3-1-3-1-1-20-1-18-2-1-1-1-1-1-9-1-2-14-4-1-1-4-1-6-1-2-1-6-1-1-1-11-2-5-1-1-2-1-3-2-1-1-1-7-8-2-4-1+100-1-1-1-1-1-10-1-2-1-2-2-4-2-1-1-2-1-6-2-1-1-4-2-2-13-39-23-16-4-1-1-4-4-4-10-1-3-1-2-2-1-2-1-1-29-5-1+26-3-1-2-1-5-1-7-20-1-1-2-1-8-6-1-1-3-54-4-2-60+94-1-1-3-2-4-1-10-2-23-2-1-5-1-1-6-7-1-4-3-1-1-11-2-1-4-2-1-2-1-1-1-3+7-4-10-10-1-1-10-1-1-1-1-6-1-1-2-6+242-2-2-5-1-1-2-1-10+2+1-2-10-11-4-1-1-5-1-2-2-1-1-1-1+232-14-5-1-4-1-2-2-1-2-1-2-3+95-115-1-3-3-1-1-4-3-1-1-2-3-4-1-28-2-1-1-3-2-4-19-3-1-1-1-40-10-4+1-1-1-8-1-10-5+3-5-5-1-1-2-2-2-1-3-3-5+146-22-9-3-3-2-1-1-1-1-1-5-1-8-1+2-1-6-4-1-1-1-1-1-1-1-1-4-1-1-1-250-1-1-1-1-1-7+210-111-5-2-1-20-1-1-1-12-1-1-2-5</f>
        <v>176</v>
      </c>
      <c r="G12" s="12">
        <f>9-1-5-3+199-5-40-20-4-1-1-2-1-5-2-2-5-1-1-1-5-1-1+178-1-1-3-3+25-3-2-1-2-1-1-1+1-1-1-5-1-2-16-2-3-1-10+184-1-1-3-50-5-5-10-1+1-2-10-2-1-3-1-1-1-2-1-2-18-15-1-1-3-3-6-10-2-2-1-6-2-3-1-2-1-2-1-1-6-2-3-9-1-1-2+50-1-1-1-1-1-1-1-1-11-4-2-19-11-8-13-1-4-1-2-4-1-2-1-1-1-6-6-1+25-1-1-1-5-11-4-1-15-1-1-17-4-18-1-1-3-1-1-2-1-3-1-1-5-1-2-2-10-1-1-1-16+39-1-2-5-1-2-1-3-4-1-1+115-1-2-2-1-2-2+1-2-6-7-2-1-1-1+115-9-1-1-1-1-3-1-3-1+36-3-80-1-8-1-1-2-1-1-1-1-2-12-4-1-4-3-1-1-2-20-1-4-1-2-8-5-2-1-2-1-1-1+40-1-1-7-5-1-1-1-1-1-1-2-1-1-1-3+37-3-1-1-1-12-21-1+1-1-1-100-1-1-1+95+49-95-49-3-13+1</f>
        <v>1</v>
      </c>
      <c r="H12" s="12">
        <f>8-8+120-2-2-4-1-1+73-1-2-1+2-1-2-1-1-1-1-2-2-50-2-2-1+51-1-1-3-9-1-1-2-1-10-1-1-1-2-1-1-1-1-5+102-1-2-1-2-1-6-3-6-4-4-1-1-3+1-1-5-15-1-1-3-1-2-1-1-1-6-1-2-2-2-1-5-8-1-2-1-2-1-1-1-1-4-15-2+40-2-1-1+10-4-1-3-1-1-1-1-1-25-2-1-1-1-1-1-1-6-1-2-1+39-1-8-3-1-1-1-4-1+1-1-1-1-1-2-1+43-1-2-1</f>
        <v>143</v>
      </c>
      <c r="I12" s="12">
        <f>12-1-1+60-3-1-1-1+30+1-1-1+51-30-2-2+1-6-1-2-2-1-1-1-2-1-4-2-1-1-2-11-1-72+2-1-1+115-1-2-4-30-6-1-13-1-2-10-5-2-1-2-1-2-1-8-1-1+81-1-2-1-1-15-1-1+30+1-1-3-2-1-1-2-1</f>
        <v>100</v>
      </c>
      <c r="J12" s="12">
        <f>12+20-1+2-10-3-1-1-1-1-1+18-2-1+2-1-4-1-1-3+39-1-1-1-3-1-1+6-1-1-1-1-1-1</f>
        <v>53</v>
      </c>
      <c r="K12" s="15">
        <f>63+1-10-3-1-1-1-1+2-1-1-1-2-10+5-1-1-1-1</f>
        <v>35</v>
      </c>
      <c r="L12" s="32">
        <f>80+74+93+40+100+20+80+80+10-1-1-2-2-1-2-5-1-1-1-80+30-3-1-1-2-10-2-1-1-1-1-1-8-2-2-2-5-2-1+97-1-57-2-1-6-1-2-1-1-10-2-1-2-2-1+10-1-1-2-1-2-1-2+20-5-5-1-8-1-1-5-4+1-1-1-1-1-1-1-125-1-2-3-8-2-1-5-1-2-1-1-1-1-1-1-1+1-23-1-2</f>
        <v>274</v>
      </c>
      <c r="M12" s="12">
        <f>40+58+34+80*4+40+80+17+35+80*2+90+80+90+10-10-1-2-40-2-4-1-5-1-1-10-1-10-3-2-1-2-1-1-1-3-20-8-2-2-1-2-5+217-1-5-1-1-2-1-1-2-3-1-1-10-30-3-7-1-1-20-1-1-10-4+100+90-7-1-3-15-1-1-1+1+1-17-1-50-4-5-2-6-8-2-1-1-1-6-18-6-80+257-1-47-1-3-1-1-1-1-3-30-1-1-2-1-72-3-1-1-1-14-2-2-6-1-1-15-36-2-9-1-2-1-1-15-3-1-1-1-4-1-1-1-1-1-2-2-2-1-1-6-1-1+6-1-1-12-1-2-3-5-1-3-2-3-3-1-2-1-2-1-12-1-2-1-1-12+199-2-2-1-1-2-6-1-6-1-4-1-1-1-2-1-25-1--1-1-2-2-2-2-1-3-3-1-16-3-1-5-2-2-3-2-2-7-7-1-2-3-13-4-1-1-1-1-15-8-3-1-1-4-3-1+40-1-1-70-2-2-9-10-20-18-4-1-5-3-1+100-2-1-1-1-2-1-2-2-3-1-2-1-2-11-2-1-6+1+2+32-1-1-1-3-10-1-2-2-3-10-3-2-36-1-4-5-1-2-1-3-2-1-30-20+5-1-3-3-4-1-1-1+1-2-8-1-1-11-1-1-1-2-1-1-8-3-2-6-1-1-1-1-5-245-1-6-1-1-11-1-5-14-2-2-3-4-27-2-3-10-1-4-1-5-2-100-3-1-15+1-12-3-6-4+99-1-1-1-1-1-14-17-1-5+50-1-1-1-5-2-31-1-15-3-2-1-5-4-1-4-1-23-1-1-2-1-1-1-1+10-1-1-7-1-80-1+41-41-8-1+326-105-3-105-4-1-1-1-20-1-4-1-3-2-1-1</f>
        <v>131</v>
      </c>
      <c r="N12" s="12">
        <f>50+8+86+80+80*2+78+79+12+80*9+36+-70+49+80*5+70+90+47-14-1-60-2-12-40-1-1-1-1-1-1-2-1-1-2-1-2-2-20-3-1-2-3-5-6-1-1-7-1-3-1-1-1-1-2-20-1-4-3-1-65-6-1-3-1+583-3-2-65-7-1-2-3+46-1-8-2-1-1-5-1-6-1+1+1-5-2-10-1-1-1-3-3+298-11-1-1-1-1-1-1-8-1+1-2-15-1-3-4-10-2+47-45-9-7-10-25-1-1-5-1-1-4+3-17-1-3-1+398-6-2+5+1-26-4-1-60-5+287-1-10-10-1-38-2-1-2-2-1-3-3-20-60-80-1-2-2-2-47-1-3-1-11+1-3-2-2-1-1-1-1-1-1-2-35-1-1-90-3-4+1-34-4-1-2-1-1-2-30-2-2+1-3-3-2-45-1-1-46-40-8-5-1-1-1-2-4-1-6-1-29-21-1-1-2-6-4-1-1-2-1-1-2-1-1-17-2-1-1-40-1-30-1+1-1-1-1-5-13-9-2-1-3-2-5-1-1-1-4-2-2-10-2-4-3-1-1-1-2-12-1-20-6-2-2-1-6-20-1-1-1-2-1-1-1-2-1-20+234-1-2-1-12-1-2-6-5-1-3-3-2-1-1-2-1-3-1-2-1-5+1-1-1-2-1-1-10-36-3-1-6-23-1-1-1-1-1-2-1-1-3-1-2-20-27-6-1-2-5-1-1-1-8-5-8-1+1-1-6-2-2-1-1-32-2-6-1-1-4-9-14-1-7-1-1-1-10-34-1-1-7-1-1-8-1-1-8-1-3-4-5-7-4-1-1+26-6-1-2-2-2+1-1-100-1-2-16-1-1-20-33-2-1-1-1-4-2-1-1-1-1-5-1-28-3-3-1-8-1-40-3+400-1-5-2-2-1-1-6-1-9-2-1-5-1-2-2-7-2-5+5-1-1-3-1-2-1-2-1-1-2-17-6-1-2-6-4-1-12-4-1-1-465-12-2-2-2-3+1-1-2-2-4-20-1-1-2-10-1-3-40-10-1-1-55-1-2-6-20-8-1-2-16-2-1-1-1-100-27-2-1-6-1-13-2-2-1-3+1-9-5-8-1-1-3-1-11-1-1-1+500-1-1-1-15-1-3-1-1-1-1-5-44-1-2-1+2-1-5-5-2-10-3-2-3-3-3-2-1-1-1-1-1-33-245-4-1-4-1-1-2-18-10-1-1-1-1-1-4-1-1-2-2-3-1-1-2-2-6-1-1-10-36-2-1-42-4-1-1-3-3-15-1-1-7-8-1-1-2-1-2-1-2-100-10-1-4-18-17-1-2-6-3+464-1-1-1-12-1-3-1-2-22-1-1-1-1-10+136-1-1-5-5-36-1-73-3-2-3-2-5-1-2-1-1-5-5-3-3-2-7-1-1-4+8-1-6-1-3-8-1-1-202-50-292-1-1-1-1-1-15-5-1-8+370-4-2-2-1-10-2-6-9-1-1-2-1-1-5-28-2-2-1-1-4</f>
        <v>476</v>
      </c>
      <c r="O12" s="12">
        <f>10+80*12+5+79+80*4+68+20+80*9+80+80+85+60-2-1-95-1-2-1-5-30-1-1-1-2-2-1-2-2-1-1-2-1-1-4-5-1-2-1-15-2-2-8-1-2-1-5-9-1-1-2-20-2-3-3-2-10-3-4-4-1-12-1-2-1-10-12-5-1-4-1-1-4-3-4-4-1+3-2-1+89-1-5-10-3-7-2-1-3-1-6-1-3-6-1-10+349-40-1-2-1-6-6-25-1-1-4+3-19-3-1-3-1-1+1-4+1-2-12-50-9+402-1-9-20-28-2-2-8-1-1-1-1-16-73-1-80+196--3-1-2-1-2-27-1-1-1-2-2-1-1-3-35-11-1-1-1-148-2-44-1-2-2-20-2+1-3-2-40-46-34-4-6-1-5-5-1-1-2-1-1-1-10-77-1-2-1-1-6-20-1-4-1-1-2-2-19-2-1-20-1-2-1-15-1-12-4-2-2-2-2-13-1-3-1-2-5-4-8-3-1-4-1-2-1-9-2-20-1-2-1-1-1-6-13+100-1-1-1-1-1-1-1-1-9-2-9-1-1-1-1-3-3-2-1-1-1-1-3-1-2-4-1-1-18-7-1-1-43-9-1-5-2-1-2-1-2-1-1-1-1-5-13-27-5-1-1-1-12-3-6-6-15-6-1-2-58-6-2-3-22-3-4-1-1-7-33-1-5-1-2-1-2-3-1-1-1-16-5-2-1-1-1+30-1-2-1-1-1-1-30-1-7-1-1-26-4-2-1-3-10-2-28-1-1-8-80-1-3+402-25-2-9-2-1-12-13-2-7-2-1-1-3-7-2-5+5-1-2-4-4-4-3-1-2-14-1-1-1-2-2-2-13-1-1-1-465-1-1-12+41-1-1-1-1-1-4-25-1-1-1-4-1-2-10-3-99-10-53-1-5-2-3-12-2-1-3-2-2-16-1-1-200-20-2-1-5-1-8-4-6-1-2-2-5-1+1-1-9-5-8-5-1-7-2-3+100-3-15-1-2-1-1-1-36-3-5-3-2-1-25-2-1-1-2-1-2-3-2-1-10-1+178-2-2-1-23+206-245-3-1-1-1-30-1-1-5-2-2-6-1-2-1-1-2-1-1-6-1-20-34-2-34-1-1-1-10-2-1-1-1-2-5-1-2-1-2-4-1-3-30-1-4-1-2-25-18-1-26-5+480-1-2-13-1-3-35-1-10+19-3-1-1-4-5-36-1-67-3-2-3-1-1-2-1-1-1-1-5-1-2-1-1-1-3-1-1-7-1-1-1-1-1+9-1-1-1-12-1-2-105+50-1+2-241-1-10-2-1-12+478-3-2-1-1-1-1-4-1-25-1-4-4-16-2-2-1-1-1-2-8-1-1-2</f>
        <v>741</v>
      </c>
      <c r="P12" s="12">
        <f>70*3+30+20+15+7+70*4+39+25+80+70*3+10+76+57-14-1-25-1-3-30-1-1-1-1-1-7-5-1-9-1-1-3-1-3-20-3-1-1-5-2-1-3-1-1-5-12-5+215-1-1-1-2-1-5-1-10-5-1-4-1-2-2-2+108-15-29-8-1-2+178-4-1-1-2+1-1-12-3-1-40-5-1-16-2-3-1-1-8-32-80+86-1-1-2-2-1-3-1-1-1-2-2-30-5-1-1-76-1-2-4-2-1-2-15-27-11-2-3-1-2-1-1-2-5-29-2-10-1-1-4-12-4-1+3-1-1-6-1-1-2-1-2-3-3-3-8-2-1-1-4-3-3-4-2-15-1-1-1-5-10+91-1-1-1-5-1-12-1-2-4+132-1-2-1-2-6-1-32-1-1-9-20-1-2-3-1-2-4-13-1-6-8-1-1-1-6-3-4-1-4-1-44-3-4-1-1-3-8-1-1-15-1+1-2-1-1-2-2-4-1-2-3-1-1-1-2-2+46-2-2-2-2-5-1-28-2-1-6-1-10-2-3-3-1-10-8-6-27-4+87-12-1-1-1-3-2-1-1-1-5+5-1-3-1-1-1-1-1-10-2-4+16-2+17-1-1-1-25-1-4-1-5-1-30-38-1-4-1-7-2-1-2-1-150-6-1-4-1-7-2+1-10-2-8-1-2-10-1-1-1-19-2-3-1-10-3-1-1-3-3-1-1-1+93-15+2-1-245-1-3-15-1-6-1-4-1-9-3-14-1-5-1-2-13-2-6-3-4-4-10-1-26-1-1-4-27-1+4-19-3-6-1+72-1-6-14-3-1-16-1-1-5+85-1-1-4-4-1-15-3-1-2-2-1-1-1-3+67-2-1-1-1-1-1+3-2-1-4-98-1-4-1-1-2-1-8+400-105-1-2-105-4-1-1-1-1-1-2-1-1-3+1-10+11-1-2-4-1-2-2</f>
        <v>178</v>
      </c>
      <c r="Q12" s="12">
        <f>6+61+70+70+47+25+15+70+70+69+71-10-1-40-2-8-3-2-7-2-1-1-1-2-1-2-1-1-3-2+75-2-1-1-3-1-8+1-3-2+142-3+98+1-3-1-12-2-2-1-1-1-1-1-2-1-1-5-7-2-80-1-5-1-1-10-12-2-1-1-2-1-12-6-2-1-1-1-17-1-5-3-3-1-4-2-2-5-2-2-10-2-1-1-6+39-3-1-8-1-2-1-1-3-24-5-1-1-1-8-7-7-1-3-2-1-1-2-4-1-1-1-4-1-1-1-5-1-15-2-1-3-1-1-4-1-1-2-1-1-5-3-2+2-1-20-1-5-1-6-1-1-2-1-3-1-20-6-2-1-1-3-2-2-1-4-1-5-1-2-2-1-1-2-1-1-3-1-10-74-2-4-2-1-1-1-1-1-4-2-11-3-2-3-2-1-5-1-1-1+1-3-18-1-2-1-1-5-2-1+98-1-1-4-6-1-1-2-2-2-1-2-3-1-1-1-31-31-1-2-2-5-1-6-2-1-3-1-3</f>
        <v>129</v>
      </c>
      <c r="R12" s="12">
        <f>39+60+70+10+69+13-30-1-2-1-2-4+74-1+30+1-1+70-1-1-3-5-1-80-5-1-1-3-3-5-3-1-2-1-1-1-2-1-1-1-1-1-5-2-1-1-6-2+39-1-1-8-1-14-3-1-3-1-1-2-1-1-4-1-3-1-1-1-1-2-1-3-1-1-1-1-1-3-1-1-3+1-3-1-5-1-4-2-7-1-3-2-1-1-1-1-1-2-16-14-1-3-1-1-5-18-1-1-1-1-1-1-3-3-1-1-1-3-1-1-2-1+1-1-20-9-3+35-1-1-1-4</f>
        <v>101</v>
      </c>
      <c r="S12" s="12">
        <f>15+16+5+18-3-4-2-20-3-1-1-2-1+17-1-6-1-2-1-1-1-2+5-1-3-6-6-3-1-1+28-1-1+2-4-1-1+19-2-4-1-1+21</f>
        <v>57</v>
      </c>
      <c r="T12" s="15">
        <f>47-1-20-1-2-1-1-1-1+16-1-2-1-2-1-1-1+5-1-1-1+5-2+20-3-1-6-1+20-1-1-1-1-2+11</f>
        <v>65</v>
      </c>
      <c r="U12" s="11">
        <f>SUM(C12:T12)</f>
        <v>3315</v>
      </c>
      <c r="V12" s="62"/>
      <c r="W12" s="10" t="s">
        <v>25</v>
      </c>
      <c r="X12" s="4">
        <v>776</v>
      </c>
      <c r="Y12" s="4">
        <f t="shared" si="1"/>
        <v>2716</v>
      </c>
      <c r="Z12" s="4">
        <f t="shared" si="2"/>
        <v>1940</v>
      </c>
    </row>
    <row r="13" spans="1:27" x14ac:dyDescent="0.25">
      <c r="B13" s="74" t="s">
        <v>25</v>
      </c>
      <c r="C13" s="32">
        <f>20+78+20+10+15-2-1-1-1+40-1-1-10-1-1-1+15-12-3+48-1-30-4-1-3-2-1-1-10-6-3-1-1-3-5+1-1-2+1-1-1-2-3-1-1-3-3-6-4-1-1-3-20-2-1-1-1-1-1-1-3-5-1-1-1-2-4+93-6-1-1-3-1-1-1-4-1+40-2+50-30-2-1-1</f>
        <v>191</v>
      </c>
      <c r="D13" s="12">
        <f>80+100+198+51-22-7-2-2-1+50-1-15-1-1-1-2-2-2-3-27-2-1-1+102-1-1-6-5-1-10+117-13-3+100-1-1-5+1+99-50-1-1-4-3-2-1-6-1-1-4-10-1-12-1-4-6-1-2-1-8-1-5-6-2-19-2-3-1-1-5-4-3-20-5-2-1-2+1-1-2+49+1-1-1-8-3-2-3-4-1-2-1-1-5-1-21-4-1-2-1+1-4-1-1-1-4-1-2-1-2-2-1-2-2-1-4+29-2-1-5-1-1-3-7-1-1-1-3-1-1-5-3-1-1-1-10-1-1-5-2-3-1+3-2-1-1-5-5-1-1-9-3-2-4-10-1-8-1-5-2-1-9-1-5+150-3-1-1-2-3-1-2-1-1-1-1-1-1-1-7-1-2-2-1-1-1-28-2-1-1-1-2-3-2-3-3+50-1-2-3+50-30-2-5-2-1-4-1-1-1-3-1</f>
        <v>519</v>
      </c>
      <c r="E13" s="12">
        <f>5+100*3-1-22-1-1-4-3+40-1-1-2-1-6-1-2+100-1-25-1+99-1-1-2-1-1+49-2-1-1-1-1-4-18-8-1-3-1+245-1-1-1-1-1-8-2-2-1-1-15-3+1+100+48-1-1-1+50-50-6-1-1-3-6-5-1-22-1-1-9-15-1-34-2-4-2-2-10-1-1-2-1-4-10-12-1-1-3-7-8-2-9-6-2-1-1-1-7-8-9-2-20-5-3-2-2-2+119+1-9-2-1+1-2-1-2-3-2-7-1-1-2-1-6-2-3-1-2-1-10-2-43-9-2-10-5-2-11-2-1-2-1-4-1-2-1-3-3-2+26-6-1-2-2-8-2-3-4-6-1-3-23-4-2-2-1-2-2-15-39-1-7-14-10-1-1-2-1-1-2-2-3-1-2-6+9-4-1-1-2-3-1-2-1-30-1-2-2-35-11-1-1-1-1-1-5-2-1-1-2+399-3-5-1-5-2-3-1-2-1-4-3-1-1-2-2-1-2-4+1-4-2-1-1-6-9-5-1-36+50-3-2-1-1-1-5+140-2-3-1-2-2-14-3-1-4-1-8-30-4-1-2-6-4+50-1-1-1-1-3-6-1-1-6-1-3-2-1</f>
        <v>668</v>
      </c>
      <c r="F13" s="12">
        <f>75+31+75+43-1-2-1-1-6-1-2-2-1-1+99-20+100-1-1-1-3-1+48-4+204-2-3-1-9-1-1-2-1-7-1-1-20-1-3-1-10-2+94+200-50-2-1-1-1-2-6-5-24-2-10-20-15-2-2-2-2-10-3-1-7-1-10-3-1-12-1-1-3-1-13-8-1-1-1-1-7-6-1-1-1-1+147-10-6-7-6-5-2-2-1-1+1-1-1-2-1+1-1-2-1-2-1-1-1-1-1-1-1-1-3-3-3-3-1-6-3-1-43-1-2-2-10-5-2-12-1-1-1-2-2-2-3+27-1-2-2-2-3-2-14-4-1-2-2-2-10-21-1-2-11-2-1-2-4-2-1-2-2-1-2-5-11+7-1-4-1-1-1-1-1-1-1-2-1-15-1-3-1-23-4-1-1-1-1-1-2-2-4+196-1-2-1-4-1-5-1-1-1-2-3-1-2-1-1-1-1-8-1-1-1-2-1-1-1-1-3+48-24-1-4-2-4-1-15-2-1-1-2-1+163-1-6-3-2-1-4-1-8-1-10-2-12-1-10-1-2-1-1-5-3-1+36-1-13-1-13-2-1-1-1-1-1</f>
        <v>656</v>
      </c>
      <c r="G13" s="12">
        <f>100+20+58-4-2-1-1-2+99-1-10-1+100-1-2-4-3+21-2-2-1-9-1-2-1-1-1+128-2-2-4-1-3-25-1-4-1-50-2-1-3-5-1-1-6-2-3-5-3-10-2-4-5-1-2-1-9-10-1-2-1-1-1-1-1-3-1-1-5-1-3+1-1+49+1-1-1-1-1-2-2-2-1-3-1-1-2-18-1-1-2-2-1-1-5-1-1-2-2-1-2-2-1+22-1-1-1-2-1-2-4-2-4-2-1-1-1-10-3-2-1-1-15-1-1-2-2-1-1-7-1-1-1-2-1-1-5-1-1-6-1-3-1-1-2-1-1-2-1-1+148-3-1-4-1-2-4-2-1-1-2-1-28-2-1-3-1-3-1-1+80-6+25-10-1-5-2-6-1-2-3-2-5-2-1-5-1-1-2-2-1</f>
        <v>323</v>
      </c>
      <c r="H13" s="12">
        <f>30+33+10+20+77-1-1-5+10-1+39-1-1+29-11-50-1-2-1-4-8-2-2-5-1-1-1-1-10-20-2+1+1-1-2-2-6-1-1-1-2-1-1+2-2-2-1-1-5-1-1-1-1-1-2-1-2-1-1-1-2-1-1-6-2-2+2-1-1-1-1-1-3-1+97-1-1-1-4+40-1-1-2+36-1-1</f>
        <v>217</v>
      </c>
      <c r="I13" s="12">
        <f>30+30+20+38+15-1-1-1-1-5-30-1-2-25-1-4-4-1+1+1-1-1-1-1-1+3-2-1-1-3-2-2-1-4-1-1-3-1-1-3-4-26+35-3-1-20-1+40-1+36-1-1</f>
        <v>83</v>
      </c>
      <c r="J13" s="12">
        <f>49+20+15+10-1-3-10-1-1+2-4-1-2-3-1-20-4-1</f>
        <v>44</v>
      </c>
      <c r="K13" s="15">
        <f>35+59+10+15-10-1-1+2-1</f>
        <v>108</v>
      </c>
      <c r="L13" s="32">
        <f>32+70+75+10+25+45+50+70+90+44-1-1-1-2-3-1-50-2-5-1+99-8-3-5+100-1-80-3-1-1-6-10-2-1+145-5+1-2+1-50-3-2-1-5-34+4-1-3-1-1-1+1-1-100-1-11-14-1-5-1-4-1-1-4-1-2-60-3-10-1-1-4-2-1-30-1-2-4-1+1</f>
        <v>299</v>
      </c>
      <c r="M13" s="12">
        <f>1+3+25+80*3+37+19+197+57-2-2+209-18-8-1-1-1-6-2-1+1-1+99-1-20-2-3+40-4-1-4-1-50-2-18-1-1-2-10-1-3-2-1-15-1-5-16+100-2-12-3+100-10+100+98-1-1-80-75+49-1-1-8-1-1-1-1-1-20-1+50-8-15-2-1-1-3-3-1-3-4-2-1-18-1-8-1-4-1-6+166-10-5-1-1+384-3-1-2-1-1-4-1-12-1-2-1-4+1-8-2+1-2-2-1-1-4-6-1-2-2-10-1-4-1-1-1-22-2-4-11-4-1-1-1-8-1-144-1-1+47-1-1-1-2-3-22-2-1-3-1-17-2-1-2-10-2-3-1-3-2-2-2-2-1-2-3-1-1-1-1-1-1+4-3-50-1-1-1-28-1-2-4-2-4-2-1-1-2-3-24-2-5-3-1-1-3-15-1-1-1-5-2-2-1-2-9-2-29-1-3-6-1-1+2-1-2-280-1-10-25-2-1-1-1-2-1-21-2-1-3-6-1-3-9-6-1-5-1-30-1-1-8-1-6-10-9-2-4+132-2-1-2-1-1-2-2-2-2-3-10-2</f>
        <v>539</v>
      </c>
      <c r="N13" s="12">
        <f>10+64+10+6+78+6+12-20+360-25-2-16+100-2-1-45-1-1-21+200+135-1+350-1-20-6-1-12-1-5-1-1-1-1-32-2-2+302-1-50-1-2-15-1+1+1-1-3-10-2-1+351-1-4-1-1-2-8-20-9-4-1-18+117+421+280-1-2-1-31-3-2-1+200-9-10-1-3-2-1-80-5-75+1-4-2-22-1-1-1-6-25-1-2-12-8-45-3-13-4-5-1-1-1-3-4-1-7-3-2-20-3-1-3-1-1-11-4-2-1-1-3-1-4-1-3+200-9+486-20-4-3-2-1-1-1-5-6-10-1-1-1-20-20-2-1-1-4-12+1-1-1-10-1-1+1-8-2-2-48-7-13-3-4-1-2-25-1-30-10-1-60-1-9-6-1-1-1-1-1-37-1-6-1-6-2-1-5-2-23-1-2-8-1-1-1-1-2-3-2-3-2-1-7-227-4-5+32-5-1-1-2-1-1-3-4-40-10-15-3-5-1-2-50-1-43-4-1-3-7-1-40-1-3-7-2-1-2-4-3-6-1-5-1-2-2-6-1-2-2-2-4+1-1-32-1-17-2-1-50-1-2-1-5-1-51-4-5-1-10-23-1-1-1-3-1-7-2-24-2-4-2-1-1-150-3-1-1-2-2-1-1-29-1-4-1-6-1-1-4-11-1-1-1-15-1+69-2-9-2-1-2-3-3-6-1-1-4-2-1-2-6-31-4-3-3-6-3-4-6-1-1-5-2-1+2-1-1-4-21-584-1-2-10-1-1-139-3-2-1-4-1-10+100+176-1-1-6-3-1-8-1-1-1-2-8-22-1-10-1-2-2-31+698-1-1-1-12-1-5-10-2-1-5-2-3-36-1-10-22-1+240-1-1-1-1+107-4-1-3-8-1-2-1-1-1-8-1-4-1-22-3-10-9</f>
        <v>1546</v>
      </c>
      <c r="O13" s="12">
        <f>80*3+49+84+86+85+85+86+85+74+30+6+80*3+82+2+7-14+358-19-4-16-2-3-1-1-1-3-1+372-1+347-1-20-8-14+40+20-3-2-2-2-27-4-1+140-4-50-1-12-1-2-1-1-2-10-3-2-1-1+110-3-6-5-1-1-15-12-12-5-1-6-2+390+30-2-1-1-3-1-35-1-2-1-20+47-2-80-1-20-65-1-2-11-1-7-2-1-1-1-25-1-10-6-1-1-2-2-1-8-9-40-1-12-8-3-1-1-1-2-6-1-7-1-3+150-20-1-4+349-10-6-2-40-1-1-1-2-1-2-1-1-7-20-1-1+60-13-2-1-1-11-1-5-10-20+60-1-1-3-4-6+1-1-9-3-1+2+1-1-12-5-6-1-49-3-1-1-9-1-5-8-1-6-1-2-22-1-1-10-60-4-1-1-1-34-6-1-1-2-1-1-5-4-2-32-2-1-3-20-2-2-3-1-2-1-2-2-4-1-3-14-1-106-6-5+26-1-1-6-9-2-1-12-4-26-2-5-3-1-1-10-3-10-45-4-5-40-1-3-10-5-1-1-7-3-14-1-1-2-1-1-2-2-5-2-31-1-12-50-1-3-1-2-63-1-1-1-1-2-25-5-1-4-5-17-33-1-1-4-10-1-170-6-5-12-4-1-1-2-1-11-1-2-3-10-1-2-1-3-6-2-2-4-1-3-8-1-6-2-2-25-2-47-2-2-2-4-6-1-1-1-1-1-1+2-5-1-11-472-1-1-3-4-1-100-2-4-2-1-2-3-10-3-2+168-2-21-1-5-1-2-3-2-10-1-1-4-9-1-27-1-1-8-37+501-5-5-1-1-1-5-2-2-45-10-28-1-2-1+298+3-2-2-2-15-1-2-2-12-10-1-12-1-14-2-11-6-10-6-1</f>
        <v>1408</v>
      </c>
      <c r="P13" s="12">
        <f>70+70+70+36+40+36+199+14-4+179-7-8-1-1-1-1-1-1-15-2-2+99-1-20-9-9-9+40-2-1-1-16-2-1-1-1-50-4-2-1-1-1-5-1-1+270-1+1-1-1-1-9-6-6-2-1-15-1-1-1-5-1-15-1+200+48-1-5-2+118-3-80-10-1-75+82-6-2-2-1-2-20-6-10-6-15-3-2-5-4-7-11-3-7-3-1-10-4-1-1-1-1-3-1+294-5-1-4-2-8-5-10-15-1-3-1-3+1-1-1-9-1-1-2+1-3-1-4-2-25-5-1-6-1-4-5-14-30-10-60-1-2-1-2-2-1-1-16-4-1-6-1-1-5-2-14-2-2-1-1-1-5-1-1-2-1-1-1-4-3-2-27-1-1-5+26-3-1-4-1-3-3-15-2-5-1-2-1-1-4-21-6-1-3-20-5-2-1-2-4-1-1-5-3-1-2-9-1-1-1-5-1-39-1-1-2-18-1-5-2-7-1-9-1-3-1-64-3-1-1-2-2-1-4-2-1-3-1-2-3-9-1-1-1-1+90-7-2-1-1-3-3-2-2-20-1-2-5-2-1-2-2-6-6-2-2-1+4-4-1-11-244-1+2-2-1-1-29-2-1-2-3-1-1-1-1-2-3-1-10-1-1-1-25-1-1+97-2-24+448-1-7-4-1-4-4-17-25-1-1-15-8-2-1-8-2-6-5-1-1-3-20-5-1</f>
        <v>673</v>
      </c>
      <c r="Q13" s="12">
        <f>50+60+30+50+50+53+73+40+19+45+18+30+41-3+15-1-1-1-5+40+100-1-6-7-1-2-1-1-3-1+150-1-1-3-7-80-5-10-1-3-1-5-1-2-12-1-5-1-2-3-1-3-2-5-4-1-1-10-2-6-3-10-1+1+49+1-3-4-1-1-1-3-7-10-40-1-1-6-1-1-1-1-5-1-1-5-1-1-2-3-6+5-5-1-3-2-1-3-2-5-2-2-1-1-1-1-1-1-1-4-1-1-1-1-1-8-3-7-1-3-7-2-1-34-4-1-1-1-3-5-2-1-1-1-1-1-1-1-1-17-1-1-1-1+2-3-92-2-5-1-1-1-5-1-7-5-1-21-5-2-2-8-2-6-10-4-1-1-1-2</f>
        <v>245</v>
      </c>
      <c r="R13" s="12">
        <f>50+50+19+10+9+33-1+14+40-9-2-1+20-2-3-1-1+100-20-1-4-1+8-80+20-1-3-3-2-1-1-5-1-2-1-5-1-1-1-5+69-1+1+43+1-11-1-2-1-3-1-10-1-1-1-1-1-1-6-1-3+4-1-3-4-3-1-3-3-1-2-1-1-1-1-2-1-2-1-1-1-4-1-4-1-1-1-3-5-1-3-40-1-1-1-1-6-4-1-1-3-3-2-1-2-10</f>
        <v>152</v>
      </c>
      <c r="S13" s="12">
        <f>5+11+2+29+12+15-1-4-3-20+20-1-1-1-1-1-1-10-1-1-1+2-2-2-2-2-1-1-3-1-1-5-3-5-1-20+49</f>
        <v>49</v>
      </c>
      <c r="T13" s="15">
        <f>30+19-1+14-2-1-1-20-2-1-1-5-1-1+2-1-1-1-1-3-1-5+35-1-1-4-2-2</f>
        <v>41</v>
      </c>
      <c r="U13" s="11">
        <f t="shared" si="0"/>
        <v>7761</v>
      </c>
      <c r="V13" s="62"/>
      <c r="W13" s="10" t="s">
        <v>26</v>
      </c>
      <c r="X13" s="4">
        <v>638</v>
      </c>
      <c r="Y13" s="4">
        <f t="shared" si="1"/>
        <v>2233</v>
      </c>
      <c r="Z13" s="4">
        <f t="shared" si="2"/>
        <v>1595</v>
      </c>
    </row>
    <row r="14" spans="1:27" x14ac:dyDescent="0.25">
      <c r="B14" s="74" t="s">
        <v>26</v>
      </c>
      <c r="C14" s="32">
        <f>57+28+33-3-2-1-3-1+20-15+1-3-2-2-1-1-1-2-2-1-2-4-1-1-2-1-1-1-1-2-1-1-1-7-1-5+80-2-11-3-2-1-2-1-5-4-1-1-1</f>
        <v>113</v>
      </c>
      <c r="D14" s="12">
        <f>66+61-1-7-1-2+49+87-2+70-7-1-6-5-2-4-1-1-1-14-34-6-3+99-5-1-2-30-1-3-5-10-1-2-2-1-1-4-1-2-1-10-2-6-2-1-3-1-1-1+102-1-3-6-1-1-2-10-2-2-1-1-2-6-1+2-2-21-1-2-8-1-1-1-1-1-3-3-3-1-10-1-1-1-2-6-8-4-2-1-1-5-8+253-1-1-1-1-3-2-1-4-23-1-25-3-2-5-4-5-2-2-2-1-5-4</f>
        <v>356</v>
      </c>
      <c r="E14" s="12">
        <f>68-8-2+195+40+39-1-10-14-2-3-1-1-1-2-2-1-1-1-1-1-3-17-52-1-1+5-3-1+1-2-5-2-2-1+197-30-1-6-2-2-1-1-2-1-1-3-1-1-3-1-25-2-8-2-3-3-3-1+1+101-1-1-1-1-1-1-3-9-2-40-3-2-1-2-22-1-1-1-43-1-11-3-1-4-1-1-1-1-1-3-2-3-1-1-1-1-8-2-3-8-10-3-2-1-1-1-1-1-1-3-1-3-8-1-4-1-2-4-1-1-1-5-8-1-1+335-1-1-1+114-1-1-3+1-5-2-1-3-7-3-3-5-2-8-24-2-1-1-3-3-10-14-1-1-1-1-5-2-9-1-3-2-1-1-3-1-1-1-10-1-3</f>
        <v>439</v>
      </c>
      <c r="F14" s="12">
        <f>87-1-2+298+20-1-8-2-1-1-1-1-1-1-3-10-32-3-1+1-1-1-1-30-7-6-8-2-1-1-2-4-2-1-1-2-1-1-2-1-30-1-1-14-1-2+198-1+3-2-1-3-3-1-1-11-1-2-45-2-2-1-1-1-1-2-10-1+2-2-43-6-1-1-12-1-1-2-2-1-1-1-7-1-1-1-2-10-3-1-1-1-1-1-1-2-8-1-1-5-1-1-5-6+342+108-3-1-1-1-3-2-1-2-1-2-1-2-8-2-4-1-3-30-6-1-1-5-5-2-11-3-1-1-8-2-1-1-10-3</f>
        <v>510</v>
      </c>
      <c r="G14" s="12">
        <f>42-2+49+63+69-1-1-1-1-6-16-3-1+20-25-4-2-3-5-6-1-1-2-9-1-20-5-1+52-1-2-7-4-1-1-3-1-3-9-1+3-18-2-1-2-1-3-1-3-5-4-1-1-1-2-1-2-2-1-1+151-1-3-1-1-1-4-4-1-23-1-25-3-10-2-1-2-1-6-1-1-2-2-1</f>
        <v>150</v>
      </c>
      <c r="H14" s="12">
        <f>60-2+46-1-1-1-1-8-5+20-20-2-1-1-8-1-10-1-1+52-2-4-2-1-10-1-2-6-9-3-1-1-1-1-2-2-1-1-6-1-1-1-1+80-2-2-2-1-1-2-3-1-1-1-1</f>
        <v>117</v>
      </c>
      <c r="I14" s="12">
        <f>77-2+13+4-1-15-1-10-1-1-2-10-1+2-8-1-3-1+30-1-3-1-4-1-3-1</f>
        <v>55</v>
      </c>
      <c r="J14" s="12">
        <f>12-1+42-1-5-4-1-1-1-1-3-1-1</f>
        <v>34</v>
      </c>
      <c r="K14" s="15">
        <f>18+38+45+80-5-2-5-1-3-2-1-1+1-1-2-1</f>
        <v>158</v>
      </c>
      <c r="L14" s="32">
        <f>73+108+90+39+72-1-1-1-1-1-4-1-20+19-3-1-1+49-3-8-2-1-2-1-1-1+2-2-5-1-1-1-9-1-5-1-1-1-6-1-5-55-4-1-1</f>
        <v>297</v>
      </c>
      <c r="M14" s="12">
        <f>80+80+80+80+70+80+64-1-2+65-1-4-2-1+8-8-1-1-1-15-6-15-10-5-61-3-1-1-4-3+195-24-30-5-7-1-1-5-1-2-1-1-1-25-12-2-2-2-1+200-3-1-5-22-1-2-5-25-2-1-35-1-1+1-2-22-2-2-1-2-1-3-1-1-1-1-2-1-1-5-1-1-1-3-5-1-9-10-1-1-4-3-18-1-1-3-19-24-12-1-1-2-5-1-1-5+119-10-1-1-1-2-3-1-2-44-24-1-2-8-21-1-24-3-6-3-1-4-5-12-24-3-1-1-2-1-1-1-2-25-2-3</f>
        <v>321</v>
      </c>
      <c r="N14" s="12">
        <f>80*9+32+66-1+80*10+63-1-2-3-1-1-1-10-2-2-1-1-1-1+4-9-6-1-1-1-15-1-4-20-1-7-1-14-162-1-6-1-1+3-1-3-2-4-26-1-1-1-40+99-1-3+1-15-13-1-1-3-6-4-1-1-1-1-1-13-2-1-1-3-25-12-2-20-2+198-1-1-2-1-4-1-2-5-32-2-35-2-8-1-1-2-5-1-1-1-1-3-176-1-2-3-33-37-2-6-5-2-1-3-1-8-1-1-1-3-2+1-1-1-1-1-1-1-2-7-3-10-1-1-1-1-18-1-2-2-1-9-2-1-10-1-1-2-8-8-1-2-1-1-1-1-90-4-10-11-4-150-1-2-1-2-2-25-2-4-6-3-5-12-1-4+500-1-3-2-1-1-10-8-2-1-4-14-4-150-27-1-1-10-8-3-31-1-1-27-30-3-10-20-3-7-6-1-1-1-5-1-21-1-74-2-1-1-3-1-1-2-6-2-4-16-7-1-15</f>
        <v>594</v>
      </c>
      <c r="O14" s="12">
        <f>80*10+3+80*7+56-10-1-2-7-1-3-1-2-3-1-1+4-3-1-8-1-1-1-1-2-1-3-1-5-1-21-148-9-1-2-1-1-9-1-1-1+1-2-2+294-18-40-1-1-1-1-1-15-3-2-10-9-1-1-2-2-1-2-16-2-2-2-1-30-3-12-1-9-1-1-1-1+202+1-1-3-1-1-1-5-3-5-12-1-2-1-18-1-1-5-3-1-1-150-4+1-1-62-34-2-5-5-1-3-1-5-1-28-3-3-1-1-2-2-16-3-2-2-3-1-2-18-1-1-4-4-2-10-1-1-1-1-6+1-3-2-1-1-1-1-1-78-1-1-3-9-14-1-170-2-1-4-1-3-10-1-6-1-2-3-5-1-3-2-8-1-2+500-7-1-1-2-1-1-1-1-1-10-6-1-1-3-7-17-1-3-1-120-35-1-6-2-31-1-1-35-30-3-40-15-1-3-3-9-1-1-8-5-17-1-1-1-1-55-8-1-3-8-2-3-5-24-1-7-20</f>
        <v>593</v>
      </c>
      <c r="P14" s="12">
        <f>58+140+125+60+80+75-1-4-1+16-1-6-1-4+1-1-20-1-5-1-1-1-14-85-1-6-2-1-1-3-1-1-5-25+198-1-1-5-1-1-6-2-1-1-16-2-1-1-20-12-6-2+242-1-3-5-3-3-2-3-9-1-1-1-3-2-5-2-1-1-102-3-1-1-13-16-2-1-6-7-2-1-2-1-2-1-1-1-1-6-1-2-1-10-1-1-5-1-1-33-1-1-1-2-3-64-1-4-2-3-3-1-1+242-8-1-1-2-1-1-1-2-1-2-2-1-5-13-2-1-60-6-1-1-4-1-6-3-1-10-12-3-1-1-3-6-4-13-1-1-1-36-1-5-1-1-2-2-1-10-1-2-8-2-6</f>
        <v>345</v>
      </c>
      <c r="Q14" s="12">
        <f>50+69+62+70+20+70-1-1-3-1-2-10-1-1-5-33-1-20-1-3-1-10-1-10-1+152-1-2-4-1-1-1-1-1-38+1-6-1-2+1-1-1-2-3-3-7-1-1-9-1-2-34-1-4-3-1-4+41-1-1-2-3-1-15-3-8-1-2-6-2-12-1-1-1-1-1-1-2</f>
        <v>228</v>
      </c>
      <c r="R14" s="12">
        <f>47+60+17+70+31+60-6-10-1-3-2-15-2-1-10-1-1-2-1-1-10-14-1-1+2-1-1-4-2-2-1-2-1-1-1-6-3-4-8-1-1-6-2-1</f>
        <v>157</v>
      </c>
      <c r="S14" s="12">
        <f>11+2+28+9-3-2-2-1-1-5-1-4-1-1-1-1-10-5+1-1-1-1-1-2+30-4+39-3-1-1</f>
        <v>67</v>
      </c>
      <c r="T14" s="15">
        <f>35-5-1-1-1-1-1-2+1-1+32+41-2</f>
        <v>94</v>
      </c>
      <c r="U14" s="11">
        <f t="shared" si="0"/>
        <v>4628</v>
      </c>
      <c r="V14" s="62"/>
      <c r="W14" s="10" t="s">
        <v>27</v>
      </c>
      <c r="X14" s="4">
        <v>1381</v>
      </c>
      <c r="Y14" s="4">
        <f t="shared" si="1"/>
        <v>4833.5</v>
      </c>
      <c r="Z14" s="4">
        <f t="shared" si="2"/>
        <v>3452.5</v>
      </c>
    </row>
    <row r="15" spans="1:27" x14ac:dyDescent="0.25">
      <c r="B15" s="74" t="s">
        <v>27</v>
      </c>
      <c r="C15" s="32">
        <f>53+20+73+50+68-1-10-1-15-1-1-2-2-2+31-1-1-1-1+31-1-2-3-1-1-1-1-1-1-1</f>
        <v>274</v>
      </c>
      <c r="D15" s="12">
        <f>100*4+80+99+98+99+74+59-4-1-1-6-1-1-1-1-10-1-2-1-30-3-5-1-1-1-2-1-1-5-2-1-2-6-1-1-3-1-1-1-1-1-1-1-2-1-1-1-3-3-1-1-1-1-1-1-2-3-1-1-3-1-1-3-3-1-5-1-1-1-4-1-1-5-1-2-1-2-1-1-1-3-5-4-2-2-2-1-1-1-1-1-5-1-2-1-1-1-1-4-3-3-1-1-5-6-2-1-1-1</f>
        <v>679</v>
      </c>
      <c r="E15" s="12">
        <f>100*4+38+98+84+70+64-4-5+1-6-1-1-3-1-1-2-1-1-1-1-10-1-2-1+1-1-1-1-30-6-5-2-1-2-2-2-1-5-4-1-3-1-1-1-1-3-1-1-1-1-1-5+297-1-6-1-1-2-1-1-1-1-1-2-1-1-1-2-1-7-1-3-1-2-1-1-4-8-1-10-1-4-1-1-2-10-1-1-5-1-1-3-2-1-1-1-1-2-1-3-7-2-1-1-5-1-1-1-5+1-1-1-1-1-5-1-7-3-1-2-2-2-1-1-1-1-1-5-1-1-1-1-1-1-4-1-3-1-1-1</f>
        <v>744</v>
      </c>
      <c r="F15" s="12">
        <f>100*5+20+50+58-4-1-1-3-6-1-1-3-1-1-1-1-2-1-1-1-1-1-2-2+1-1-1-1-30-6-1-3-1-2-7-1-1-3-1-3+397-1-3-1-1-1-2-3-2-3-1-1-1-1-1-1-1-1-1-2-1-2-3-1-1-4-8-1-1-8-4-2-12-1-1-1-6-1-1-3-9-2-1-1-1-1-1-1-10-3-1-2-1-3-15-3-1-7-3-1-5-2-1-1-4-1-1-1</f>
        <v>756</v>
      </c>
      <c r="G15" s="12">
        <f>100+2+24+98+80-2-3-3-1-1-1-1-1-1-20-1-1+1-1-1-1-25-3-3-5-2-2-1-6-2-1-3-1+99-2-1+100-1-1-2-3-1-2-7-1-1-1-3-2-1-1-1-3-1-1-3-1-3-2-6-2-2-1-3-3-1-2-1-1-1-2-2-5-1-1-3-5-3-1-1-1-1-1-1-1-1-2-1-4-1-2-1-1</f>
        <v>301</v>
      </c>
      <c r="H15" s="12">
        <f>54+55+40+70+21-2-20-2-5-1-2-2-2-1-2-1+31-1-1-2-1-3-1-5-1-1-1-1-1-1-1-2-3-2-2-4-1-1-1-3-2-1-2-1-1-1-1-1-2-1-1</f>
        <v>177</v>
      </c>
      <c r="I15" s="12">
        <f>48+26-1-1-1-1-15-1-1-2-2-1-1-2+61-1-4-3-1-2-2-1-1-8-1-1-1</f>
        <v>80</v>
      </c>
      <c r="J15" s="12">
        <f>48+22-5-1-1-1-1-2+1-1-2-3</f>
        <v>54</v>
      </c>
      <c r="K15" s="15">
        <f>36-1-5-1-1-2-1+1-1</f>
        <v>25</v>
      </c>
      <c r="L15" s="32">
        <f>60+80+79+79+61+53-1+1-1-20-1-1-3-22+2-5-2-1</f>
        <v>358</v>
      </c>
      <c r="M15" s="12">
        <f>70+70+80+80+90+78-1-1-1-1-1-1-1-30-2-5-24-2-1-5-1-1-2+160-2-1-5-5-2-2-1-2-7-3-1-1-2-1-1-1-1-1-4</f>
        <v>505</v>
      </c>
      <c r="N15" s="12">
        <f>90+90+80+70+80+85+69+85+85+90+80+64-2-1-1-1-1-1-1+1-40-3-1+1-2-15-26-1-2-1-1-1-1-1-5-1+200-1-3-2-1-1-1-3-1-4-1-8-3-1+79-1-1-1-2-12-2-1-10-1-1-2-1-2-1-4-1-3-2-1-2-2-1-1-1-5-1-1-1-3-1-1-1-1-1-1-1-5-1-1-14-2-2</f>
        <v>1011</v>
      </c>
      <c r="O15" s="12">
        <f>80*8+70+80*3+70+73-1-2-1-2-1-1-1-1-40-1-1-1-15-18-1-2-1-1-5-1-1-2-1+75-1-5-4-1-1-1-1-1-10-2-1-1-2-1-1-8-14-1-5-2-1-1-3-1-1-2-3-1-2-2-1-1-1-4-1-1-4-1-1-1-2-1-2-1-1-11-1</f>
        <v>952</v>
      </c>
      <c r="P15" s="12">
        <f>70+70+49+49+70+71-1-1-1-1-1-1-25-5-5-1-2-1-2-3-1-1+101-1-1-1-2-1-1-1-3-1-1-2-2-1-2-2-3-1-1-2-4-1-3-1-2-2-1-1-1-1-2-1-2-3-1-1-1-1-4-1-1-6-1-1</f>
        <v>356</v>
      </c>
      <c r="Q15" s="12">
        <f>70+65+64+70+45-2-1-1-1-20-1-2-3-1-2-1-1-1-1-1-2-1-2-1-2-1-1-1-1-3</f>
        <v>260</v>
      </c>
      <c r="R15" s="12">
        <f>70+19+20+60+62-1-15-1-1-2-1-1-1-1-1-1-2-1-1-1-2-2-1-1-2</f>
        <v>192</v>
      </c>
      <c r="S15" s="12">
        <f>20+30+3-5-1-2+1-1-1</f>
        <v>44</v>
      </c>
      <c r="T15" s="15">
        <f>30+9-1-5-1-1+1</f>
        <v>32</v>
      </c>
      <c r="U15" s="11">
        <f t="shared" si="0"/>
        <v>6800</v>
      </c>
      <c r="V15" s="62"/>
      <c r="W15" s="10" t="s">
        <v>28</v>
      </c>
      <c r="X15" s="4">
        <v>1416</v>
      </c>
      <c r="Y15" s="4">
        <f t="shared" si="1"/>
        <v>4956</v>
      </c>
      <c r="Z15" s="4">
        <f t="shared" si="2"/>
        <v>3540</v>
      </c>
    </row>
    <row r="16" spans="1:27" x14ac:dyDescent="0.25">
      <c r="B16" s="74" t="s">
        <v>28</v>
      </c>
      <c r="C16" s="32">
        <f>54+20+28-1-1-10-10-1-2-1+1-1-1-2-2-1+30-1-1-2</f>
        <v>96</v>
      </c>
      <c r="D16" s="12">
        <f>100+60-6-1-2-2-6-2-1-1-8-3+153-1-3-20-3-2-2-1-3-1-3-2-1-1-1-7-1-1-1-2-1-3-2-3-1-3-3-1-5-1-1-2-2-1-1+2-1-1-1-3--15-2-1-3-1-1-25+198-13-4-1-2-2-2</f>
        <v>347</v>
      </c>
      <c r="E16" s="12">
        <f>40+91+59-2-1-1-11-1-2-4-1-1-4-1-1-1-10+81+150-1+1-2-3-25-6-1-1-2-1-1-1-1-6-10-1-3-2-1-1-1-1-1-1-1-80-7-1-4-1-1-1-1-1-3-8-1-1-1-1-1-1-1-2-2-2-1-1-1-4-1+3-1-4-1-1-1-1-2-1-4-6-70-4-2-3-3-1-21-18-1-2-26+396-2-11-2-2-1-2-2-2-1</f>
        <v>379</v>
      </c>
      <c r="F16" s="12">
        <f>84+60+63-4-1-1-16-5-1-1-1-4-2-2-10+240-1-1+1-2-25-1-6-1-2-25-10-1-1-1-1-1+1-3-2-1-1-1-2-1-2-20-10-4-1-6-2-1-1-2-1-1-8-1-1-2-2-1-2-1-1+3-1-3-3-1-1-7-30-1-4-1-7-1-22+200+80-1-1-6-2-1-2-2-1-2-1-2-2-1-2-2</f>
        <v>414</v>
      </c>
      <c r="G16" s="12">
        <f>87-10-3-2-7-1-1-2-1-3+100-1-20-3-1-10-3-2-2-2-2-3-1-3-1-10-7-1-1+1-3-3-1-1-2-1-1-4-1+2-1-1-1-1-1-1-11-1-8-1-5-1-13+120-1-1-3-1-2-2-1-1-2</f>
        <v>130</v>
      </c>
      <c r="H16" s="12">
        <f>47-4-11-1-2+51-15-2-1-2-1-1-1-3-1-1-5-2-1-1-1-1-14+40-1-1-1-1-1-2</f>
        <v>60</v>
      </c>
      <c r="I16" s="12">
        <f>31+74+51-1-1-1-1-10-1-1-1-2-1+1-1-2-2-2-1-1-1</f>
        <v>127</v>
      </c>
      <c r="J16" s="12">
        <f>33-5-1-1-1-1-1+1-1-1+10-1</f>
        <v>31</v>
      </c>
      <c r="K16" s="15">
        <f>18+27-5-1-1+1-1</f>
        <v>38</v>
      </c>
      <c r="L16" s="32">
        <f>52+80+62-5+14-1-1-15-1-1-3-1-1-1-8+3-2-2-1-1+30-10-1</f>
        <v>186</v>
      </c>
      <c r="M16" s="12">
        <f>90+12+80+80+62+80+20+75-2-3-6-2-14+100-1-3-25-5-1-1-1-18-5-1-10-1-1-1-2-2-12-2-30-1-1-2-1-2-1-2-1-1-2-1-2-2-2-3-1-1-2+2-6-1-3-12-5-35-2-3-5-2-38+99-3-1-3-1-2-7-2-1-14-1</f>
        <v>376</v>
      </c>
      <c r="N16" s="12">
        <f>80*8+22+80*2+90+63-1-1-2-1-8-2-16-1-1-1-1+166-1-6+82-1-2-30-1-1-1-3-15-1-1-1-8-1-1-1-1-12-2-1-5-1-1-1-2-1-3-2-6-10-1-80-1-1-2-1-1+80-5-5-2-1-38-1--1-2-1-3-4-17-3-2-3+1-1-1-1-2-2-3-10-4-1+4-1-1-1-3-1+3-5-2-1-1-1-1-1-20-3-23-5-4-13-49-15-3-1-12-3-112+97-6-1-1-7-2-1-15-2-1-3-1-1-3-5-9-1-20-4</f>
        <v>687</v>
      </c>
      <c r="O16" s="12">
        <f>80*7+60+20+60+6+59+43+80+15+51-1-1-1-1-7-18-1-1-1-4-2+134-1-1-12+109-1-1-3-30+1-1-15-1-8-1-1-1-1-19-1-12-5-1-2-10-1-1-2-4-5-20-1-1+20-7-1-1-1-20-1-1-1-1-2-4-1-1-3-4-18-1-2-3-1-1-5-5-2-2-1-1-10-5-3-1-5-1-3-10+3-1-2-1-1-1-3-27-1-2-1-1-1-6-1-10-4-1-1-20-5-3-1-38-2-18-1-72+97-6-4-7-2-1-22-2-3-5-1-1-8-1-20-2-6</f>
        <v>672</v>
      </c>
      <c r="P16" s="12">
        <f>70*7+41+5+45+32-2-2-1-4-1-2-2-1-1-4-2-1-6-3-1+1-1-2-20-1-5-15-24-1-15-1-1-3+1-3-1-1-1-1-1-3-7-1-5-2-1-10-1-1-2-3-1-6-6-2-1-9-7-1-2-1-2-4-1-2+2-1-1-3-1-7-1-3-8-5-3-2-1-6-2-45-1+60-2-2-28-7-1-2-1-4</f>
        <v>329</v>
      </c>
      <c r="Q16" s="12">
        <f>1+51+30+45+29-2-2-1-1+76-5+75-20-3-1-4-4-5-2-1-1-1-1-3-1+2-2-1-4-2-1-1-1-1-1-1-2-4-1-1-1-2-1-3-1-1-18+5-1-4-3</f>
        <v>198</v>
      </c>
      <c r="R16" s="12">
        <f>50+52+39+40+17-1-3-1-15-1-2-1-2-1-1-1-1-1-2-1-1-1-2-6-1-1-4-1-1-1-1-2</f>
        <v>142</v>
      </c>
      <c r="S16" s="12">
        <f>10+20+4-2-1-5-3-1-1-1+1-1-1-1-1-1-1-1-8+30</f>
        <v>36</v>
      </c>
      <c r="T16" s="15">
        <f>9+26-6-5-1-1+1-1+30</f>
        <v>52</v>
      </c>
      <c r="U16" s="11">
        <f t="shared" si="0"/>
        <v>4300</v>
      </c>
      <c r="V16" s="62"/>
      <c r="W16" s="10" t="s">
        <v>29</v>
      </c>
      <c r="X16" s="4">
        <v>1250</v>
      </c>
      <c r="Y16" s="4">
        <f t="shared" si="1"/>
        <v>4375</v>
      </c>
      <c r="Z16" s="4">
        <f t="shared" si="2"/>
        <v>3125</v>
      </c>
    </row>
    <row r="17" spans="1:26" x14ac:dyDescent="0.25">
      <c r="B17" s="74" t="s">
        <v>29</v>
      </c>
      <c r="C17" s="32">
        <f>100*3+50+62+81+19-1-1-8-1-1-1-1-1-3-10-4-1-1-1-1-1-5-2-1-2-2-2-1-1-1-1-1-2-1-1-2-1-1-2-6-1-1-1-2-1-2-1-1-4-1-1-1-14-1</f>
        <v>408</v>
      </c>
      <c r="D17" s="12">
        <f>100*3+76-2-2-1-1-2-2-2-1-1-4-1-1-1-1-1-1+1-2-3-1-4-1-1-1-1-14-5-2-1-1-3-20-2-1-1-3-2+1-3-50-1-1-2-1-1-1-2-3-4-2-2-2-5-2-1-1-1-2-3-11-5+98-2-1-3-5-1+38-2-1-2-1-1-1-13-5-3-1-1-5-5-1-1-1-2-8-2-3-1-1-3-1-1-6-3-1-1-1-3-2-8-1-19-4-1-1-1-4-2-4-5-1-2-1-1-40-10-1-1-4-2-1+396-1-1-12-14-2-1-2-3-1-10-1-25-1-2-1-1-1-1-1-1-2-2-1-17-1</f>
        <v>397</v>
      </c>
      <c r="E17" s="12">
        <f>100*4+98+23+56-4-2-1-1-1-1-1-1-1-1-1-1-8-1-1-1-1-2-1-1-2-1-2-3-2+2-3-1-2-1-2+1-2-1-12-2-1-26-5-1-1-1-1-1-4-8-25-2-16-2-1-1-2-1-6-1-3-5-6-1+6-1-80+2-7-7-1-2-1-1-1-1-1-2-1-2-4-1-2-2-2-5-4-1-3+133-2-6-3-1+136-1-1-1-2-1-1-1-1-3-2-1-1-14-1-10-3-1-1-3-3-1-1-3-1-5-3-1-1-1-1-1-1-1-1-1-2-2-2-1-1-1-2-1-2-7-1-2-8-2-1-1-2-3-1-1-1-3-8-1-1-1-10-24-10-2-5-1-1-1-1-1-2-9-3-3-1-2-1-1-1-1-4-1-2-1-2-80-10-1-4-1-2+1-1-1-4-1-1+201-1+101-1-7-15-1-3-11-251-1-26-1-2-1-1-40-1-3-1-1-3-1-1-3-2-4-33-1-1-1</f>
        <v>80</v>
      </c>
      <c r="F17" s="12">
        <f>100*4+99+80+102+83+102+59+99-2-1-1-1-1-1-1-1-2-1-1-1-1-1-1-1-1+1-1-6-2-2-5-3-1-2-14-5+1-1-1-1-4-3-25-4-5-2-6-3-1+2-4-30-6-5-1-1-1-1-1-2-2-3-1-4-1-3-1-3-2-1-1-3-3-1-6-2-3-40-2-3-4-3-1-2-1-3-1-3-1-5-3-1-1-1-3-5-2-1-1-1-1-2-1-1-1-2-1-1-1-6-3-1-2-5-4-1-1-1-2-1-1-1-2-1-8-1-6-6-23-15-1-1-1-5-3-1-5-1-1-1-2-10-1-1-1-3-1-1-1-1-20-10-3-3-3-1-1-1-1+100-3-1-11-1-3-4-20-1-1-25-1-1-1-1-1-1-1-23-2-1-1-2-1-1-1-1-13-37-1-1</f>
        <v>483</v>
      </c>
      <c r="G17" s="12">
        <f>105+50+42-3-1-1-1-1-1-1-3-2-1-1-1-2-1-1-1-5-5-1-1-1-3-20-2-11-3-3-3-5-1-1-1+2-10-1-4-15-5-1-1-1-1-1-4-1-6-2-5-4-1-7-3-1-1-1-2+73-1-1+70-1-1-1-1-4-1-1-1-1-3-5-1-5-2-1-2-1-2-1-2-2-1-1-1-1-1-1-2-2-1-1-1-3-1-2-2-1-12-2-5-1-3-2-2-8-1-1-1-1-1-1-1-1-1-1-10-5-4-1+271-1-3-1-1-3-3-1-1-7-6-25-1-1-1-1-2-2-2-1-1-1-1-9-1-30-1-1</f>
        <v>211</v>
      </c>
      <c r="H17" s="12">
        <f>19+90+50+27-1-1-1-2-1-1-5-2-15-2-2-1-3-5-1-1-1-4-1-1-1-1-1-2-1-1-1-2-2+1-2-1+19-1-1-1-1-3-1-1-1-1-1-1-8-4-1-1-1-2-1-2-1-1-1-1-1-1-1-1+69+2-1-8-1-5-3-4-1-1-1-3-4</f>
        <v>138</v>
      </c>
      <c r="I17" s="12">
        <f>30+89+45-1-1-1-10-1-1-8-1-1-1-1-3-1-1-1-1-2-1-1-1-1-1-3-1-1-2-1-1-1-4</f>
        <v>109</v>
      </c>
      <c r="J17" s="12">
        <f>30-5-1-1-1-1-1+1-1-1-1+21-1-1</f>
        <v>37</v>
      </c>
      <c r="K17" s="15">
        <f>19+28-2-4-1-5-1-1-1-1-1-1+1-1+20</f>
        <v>49</v>
      </c>
      <c r="L17" s="32">
        <f>3+70+60+31-1-1-1-15-1-1-1-3+49-1-1+2-11-1-2-2-2-1-2-2-2-3</f>
        <v>161</v>
      </c>
      <c r="M17" s="12">
        <f>46+80+79+90+21+44-1-2-4-1-1-1-1-1-1-1-1-5-1-1-10-2-1-1-25-2-1-2-1-5-5-6-3-1-1-1-232-10-2-1-1-1+1-5+70-1-1-1-1-1-1-3-1-2-1-1-1-1-4-2-1-2-3-1-9-5-1-1-1-1-2-1-1-1-30+297-130-2-2-1-6-3-1-8-3-1-3-9-1-3-5-10-14-3</f>
        <v>100</v>
      </c>
      <c r="N17" s="12">
        <f>80*4+40+67+21+53+58-1-1-1-5-1-4-1-1-1-1-2-2-2+1-2-2-1-2-1-1-1-1-2-2-1-1-5-1-3-2+1-1-1-30-3-1-1-11-4-4-1-2-2-15-5-1-1-10+2-6-1-3-1-1-1-1-125-1-1-1-3-10-2-1-10-3-2-1-1-1-5-1-2-2-1-2-1+151-1-2-1-2-1-3+123-1-1-1-7-1-1-3-1-1-3-4-1-3-1-1-3-14-5-2-2-22-21-1-5-2-3-1-6-1-1-2-5-1-9-1-4-2-1-1-12-1-1-2-2-1-1-1-250-1-1-60+200-2-4-2+200-9-3-1-1-2-30-4-1-1-2+9-1-1-1-5-15-2-6-2-1-2-9-2-8-1-1-19</f>
        <v>286</v>
      </c>
      <c r="O17" s="12">
        <f>80*5+41+70+10+39+30+39-1-1-1-2-4-1-2-1-2-4-2-1-3+2-4-2-6-1-1-1-1-5-1-1-1-1-1-1-1-30-1-2-1+1-2-3-10-8-1-4-1-15-3+2-7-5-1-1-1-65-1-1-1-3-10-2-1-5-5+272-1-1-1-2-1-1-2-1-1-1-3-3-3-5-1-1-1-1+4-1-1-2-1-1-1-1-4-3-2-2-3+2-1-1-2-18-5-15-10-1-5-1-1-1-5-4-1-4-1-1-2-1-4-3-1-1-4-1-1-1+3-1-1-250-60-1-1-2-1+195-1-6-1-1-1-2-33-2-1-1-2-5-1-2-1-2-1-1-2-1-5-2-13-1-10-1</f>
        <v>303</v>
      </c>
      <c r="P17" s="12">
        <f>80+37+70+21+49+36-3-1-1-1-1-2-1-2+1-2-1-1-1-1-5-20-1-1-3-4-2-5-5-1-2-1-8-1-25-2-1-2-3-1-3-1-1-3+50+66-2-1-1-2-1-3-1-1-1-1-1-2-1-1-2-2-1-1-4-1-5-5-1-1-5-6-1-3-2-1-1-1-1-1-50-30-1+96-1-1-1-13-1-4-4-1-1-1-1-1-4-2-1-1-2-5-6-7-3-12</f>
        <v>169</v>
      </c>
      <c r="Q17" s="12">
        <f>49+70+53-1-1-3-1-2-1-1-1-3-20-2-1-4-3-5-5-1-3-1-3-1-2+25-1+25-1-1-3-1-1-1-2-1-1-2-3-2-2-2-1-1-4-1-2+53-3-11-1-3-1-1-2-3-1-3-2-1-2-6</f>
        <v>137</v>
      </c>
      <c r="R17" s="12">
        <f>20+50+58-1-1-15-2-1-2-10-1-1-1-1+2-1-1-2-1-2-2-1-1-3-1-1-7</f>
        <v>71</v>
      </c>
      <c r="S17" s="12">
        <f>10+9+31+6-5-1-1+1-1-3</f>
        <v>46</v>
      </c>
      <c r="T17" s="15">
        <f>20+11+19+23-5-1-3-1+1-1</f>
        <v>63</v>
      </c>
      <c r="U17" s="11">
        <f t="shared" si="0"/>
        <v>3248</v>
      </c>
      <c r="V17" s="62"/>
      <c r="W17" s="10" t="s">
        <v>30</v>
      </c>
      <c r="X17" s="4">
        <v>1119</v>
      </c>
      <c r="Y17" s="4">
        <f t="shared" si="1"/>
        <v>3916.5</v>
      </c>
      <c r="Z17" s="4">
        <f t="shared" si="2"/>
        <v>2797.5</v>
      </c>
    </row>
    <row r="18" spans="1:26" x14ac:dyDescent="0.25">
      <c r="B18" s="74" t="s">
        <v>30</v>
      </c>
      <c r="C18" s="32">
        <f>49+30-1-4-2-1-1-10-3-2-15-3-1-12-1+3-5-1-2-1-1-1-15+128-10-6+2-1-2-1-1-1-4-1-1-1-1+26-1-1-1</f>
        <v>123</v>
      </c>
      <c r="D18" s="12">
        <f>100*2+60+53-1-1-8-6-1-1-2-1-1+1-1-1-1-1-1-1-12-3-1-2-1-1-30-3-1-1-1-2-1-16-1-1+21-11+5-2-4-2-3-1-5-3-1-4-1-5-1-2-20-2-1-8-1-3-33-2-1-1-1-4-2-5-2-1-1-1-5-1-1-3-3-2-6-5-1-6-2-2-2-1+391-1+1-2-3-1-1-2-4-1-1-5-1-2-3-2-3-2-3-6-1-2-1-1-1-1-1-1-2-4-1-1-1</f>
        <v>392</v>
      </c>
      <c r="E18" s="12">
        <f>77+57-1-1-40-1-19-1-1-1-5-1-1-3-1-2-1-14-3-1-10-2-1+1-6-4-6-1-1-7+125-10-20-22-1+66+200-4-5-2-7-1+6-2-11-7-6-3-2-1-1-1-3-1-1-1-1-2-2-8-1-1-3-28-1-1-3-2-1-6-1-2-1-1-1-57-1-1-1-2-1-1-1-2-2-8-1-1-1-10-2-2-1-3-1-1-1-1-3-4-5-1-2-1-1-3-1-3-1-13-10+496-1-1-2-11-1-1-2-1-2-1-1-2-2-1-6-1-1-11+1-2-1-3-3-2-2-1-9-1-20-21-1-1-5-1-4-3-1-3-2-2-1-1-4-9-2-2-1-1-2-2-1-3-1-7-4-1</f>
        <v>388</v>
      </c>
      <c r="F18" s="12">
        <f>100+100+30+83-1-1-26-1-1-1-1-1-5-1-1-1-1-1-1-1-1-5-1-1-1-1-19+1-1-5-2-1-30-2-6-2-1-2-1-1-1+242-31+4-1-3-6-2+7-1-3-1-10-1-3-2-3-1-1-1-3-5-13-6-2-16-1-2-56-2-1-1-12-1-4-10-1-1-1-6-2-5-1-3-1-3-1-1-6-11-1-3-7-1-1-1-5-2-1-1+398-1-1-1-3+6-1-1-2-3-1-5-1-1-1-5-2-1-3-1-1-2-3-13-1-2-1-2-1-2-4-15-2-1-1-2</f>
        <v>484</v>
      </c>
      <c r="G18" s="12">
        <f>40+77-1-12-3-5+62-1-5-1-1-1-1-1-1-24-1-2-1-25-3-1-1-1-2-20+20-1-3-2-2+4-1-2-5-1-2-2-1-1-6-4-1-4-8-1-1-1-25-1-1-1-5-2-1-2-2+200-11-1-1-1-4-3-1-1-1-1-1-1-1-3-1-1-2-2-1-1-3-1-3-1+51-1-5-1-1+16</f>
        <v>212</v>
      </c>
      <c r="H18" s="12">
        <f>60+63+67-1-1-101-20-2-3-1-1+19-3-1-1-2+2-8-1-1-2-1-1-1-1-1-1-1-1-10-1-1-1-1-1-1-2-1-1-3-2-2+127-2-1-5-1-1-1-1-1-5-3-1-3-1</f>
        <v>128</v>
      </c>
      <c r="I18" s="12">
        <f>32-4-1-15-1-1+20-6-1-1-1-1+2-1-1-1-2-15-1-1+49+23-1-2-7</f>
        <v>62</v>
      </c>
      <c r="J18" s="12">
        <f>15+4-1-1-2-5+16+4+1-1-1-2+51-1</f>
        <v>77</v>
      </c>
      <c r="K18" s="15">
        <f>29-5-3+1-1-1+50-1</f>
        <v>69</v>
      </c>
      <c r="L18" s="32">
        <f>14+50+52+19+46+40+36-2-1-8-2-1-20-1+97-4+3+2-3-3-9-1-47-1-2-3-1-1-1-2+70-1</f>
        <v>315</v>
      </c>
      <c r="M18" s="12">
        <f>40+80+80+1+11+77+36-1-2-2-26-1-2-5+139-1-1-2-1-1-1-11-2-1-22-1-1-30-1-5-5-1-1-1-11-1-2-9-2+346+4-1-1-6-4-3-2-1-5-3-1-1-2-1-5-2-1-22-5+1-1-1-10-1-134-2-1-1-1-2-1-2-2-1-1-1-1+9-1-2-3-1-3-1-1-1+1-2-1-3-1-2-2-1-29-2-1-25-1-6-35-2-1-1-1-2-3-1-1-3-7+209-1-1-6-2-2-1-1-2+34</f>
        <v>524</v>
      </c>
      <c r="N18" s="12">
        <f>30+80+80+80+80+80+17+80+39-8+296-2+296-46-1-1-1-8-1-1-1-1-1-2-3-1-1-1-3-2-2-1-1-30-2+1-1-8-2-27-40-1-15-1-10-1-2-1-1+499-31-20-3-1-1-11-5+6-3-1-18-1-4-8+1-5-1-1-2-1-1-6+1-1-2-1-1-1-2-1-4-1-5+2-2-8-20-1-9-1-20-1-1-1-1-1-1-2-125-1-2-1-9-14-1-7-2-6-2-1-1-1-3-1-3-3-2-41-4-1-1-7+21-1-1-1-3-4-1-11-1-1-1-13-2-9-2-3-2-4-3-31+262-1-3-3-140-10-9-49-2-3-8-1-1-12-1-1-10-4-3-3-2-1-1-12-1-6-2-7-7-4-1-1-1-9+8-1+1-2-1-25-5-2-2-4-2-1-1</f>
        <v>819</v>
      </c>
      <c r="O18" s="12">
        <f>61+80+80+58+80+80+16+80+80+80+40+21-12-2-2-24-2-29-3-1-1+150-1-1+358-1-1-2-1-1-3-1-1-1-1-1-6-1-2-35+1-1-17-40-1-1-1-15-1-2-10-19-1-3-1-1-1-38-9-4-1-2-9-8+50+7-1+291-1-1-1-1-1-2-10-3-1-1-5-2-6-1-2-1-5-1-3-1-5-1-6-19-1-20-2-1-1-1-1-82-1-2-11-12-1-1-1-1-1-9-7-3-3-1-1-1-1-1-7+10-1-1-1-3-12-2-6-1-2-1-3-1-1-1-6-1-2-1-1-1-1-47-3-2-3-3-1-1-100-8-3-2-1-1-13-1-13-1-2-5-5-2-3-1-2-38-12-1-6-3-2-10-2-9+269-1-2-1-23-8-1-1-1-2-2-4-2-3-1-1</f>
        <v>907</v>
      </c>
      <c r="P18" s="12">
        <f>61+70+70+10+140+41+65+80+28-2-1-32-22-1-1-1-2-1-1-2-1-1-1-14-1-7-9-25-1-1-5-1-10+100+147-13-1-3+1-1-3+4-1-2-1-1-5-7-1-3-3-1-1-1-1-2-1-1-5-11-1-20-1-2-36-1-1-2-1-7-6-1-4-5-1-2-3-1-3+10-3-5-1-3-1-1-1-1-2-3-2-1-1-2-1-1-5-1+139-1-3-1-30-2-2-3-2-2-3-1-2-1-1-1-2-1-8-1-8-1-1-28-2-1-3-8-2-2</f>
        <v>498</v>
      </c>
      <c r="Q18" s="12">
        <f>47+4+59+120+63-14-1-4-1-1-6-1-1-1-20-2-3-1-1-5+38+50+2-4-5-1-2-1-1-2-1-13-2-1-1-3-2-1-1-1-1+5-1-2-1-1-1-3-2-1-1-4-17-2-3-1-6-1-2-1-1-3-4-1+60-3-4-1-2-3-2</f>
        <v>269</v>
      </c>
      <c r="R18" s="12">
        <f>30+70+25+25+26-2-1-3-1-2-15-2-1+20-9-3+1-1-5-1-1-1-1-12-1-2-2-1-1-1-1-5-1-1-1-2+29-1</f>
        <v>145</v>
      </c>
      <c r="S18" s="12">
        <f>30+23-2+5-1-2-5-1-1-1-5-4+10</f>
        <v>46</v>
      </c>
      <c r="T18" s="15">
        <f>19+30-2+5-5-1+1-1-1-2+10</f>
        <v>53</v>
      </c>
      <c r="U18" s="11">
        <f>SUM(C18:T18)</f>
        <v>5511</v>
      </c>
      <c r="V18" s="62"/>
      <c r="W18" s="10" t="s">
        <v>31</v>
      </c>
      <c r="X18" s="4">
        <v>1714</v>
      </c>
      <c r="Y18" s="4">
        <f t="shared" si="1"/>
        <v>5999</v>
      </c>
      <c r="Z18" s="4">
        <f t="shared" si="2"/>
        <v>4285</v>
      </c>
    </row>
    <row r="19" spans="1:26" x14ac:dyDescent="0.25">
      <c r="B19" s="74" t="s">
        <v>31</v>
      </c>
      <c r="C19" s="32">
        <f>31+30+70+35-2-1-1-1-5-2-1-15+1-1-1-2-2-1-1-2-1-10-4-1-1-1-1-1-2-1-1-17+3-1-1-8-1-1-2-1-1-1-1-1-3-2-1-2-5+66-1-1-1-1-1-1-1-1+50</f>
        <v>167</v>
      </c>
      <c r="D19" s="12">
        <f>100+60+51+55-1-2-2-1-3-2-1-5-1-2-2-1-2-1-4-1-5-1-5-1-1-2-30-1-3-1-1-1-3-1-1-5-2-2-10-1-4-5-1-2-7-1-1-2-1-1-3-1-2-1-8-18-10-3-4-1-1-2-1-1+128+1-2-1+93-2-1-4-1-1-2-2-20-2-3-2-1-2-17-21-1-4-3-1-2-2-1-8-1-1-2-6-1-3-1-2-5-1-9-1-1-1-1-1-1-1+214-5-1-5-2-2-10-2-1-10-2-2-4-1-1-1-1-1-1-1-5-4-3-1-1-1-2-1-25-5-5-36-1-1-10-2-3+169-16-1-1</f>
        <v>360</v>
      </c>
      <c r="E19" s="12">
        <f>100+60+79+40+67-2-3-1-3-1-1-1-1-2-1-4-2-1-1-1-1-1-3-1-4-2-2-2-1-5-1-1-1-1-3-1-5-1+1-1-5-1-5-7-2-1-4-1-1-1-30-6-1-10-2-2-1-1-7-1-3-5-2-2-1-1-1-9-2-1-1-6-1-1-1-1-3-1-1-3-1-1-1-12-13-3-40-4-9-2-5-1-1-5-1-1-1-1-2+298-1-4-1+1-1-6-4-3-3-3-1-10-1-2-33-1-1-4-4-2-4-1-1-2-35-2-41-15-1-6-7-2-1-2-1-1-1-2-2-1-10-1-2-1-1-1-3-10-1-1-1-1-2-1-2-8-3-4-3-10-1-3-3-1-1-1-1-5-4-1+120-13-2-1-3-5-1-1+312-1-1-3-1-1-11-1-6-6-10-1-1-2-4-2-1-2-1-1-2-1-2-1-1-4-10-2-3-5-2-9-4-2-1-7-5-6-60-4-1-1-1-1-1-3-2+1-6</f>
        <v>249</v>
      </c>
      <c r="F19" s="12">
        <f>100+160+101+62+79+68-2-2-2-3-2-3-1-1-4-1-1-1-3-1-1-1-2-2-1-4-2-2-1-1-1+1-9-1-3-2-2-1-1-1-30-7-6-1-1-1-2-4-2-3-2-1-1-3-1-1-1-1-2-1-6-1-2-2-1-1-1-3-1-1-2-2-15-8-8-30-1-3-2-2-1-3-1-1-6+30-1-1-1-4-2-1-1-1-3-2-1-1-1-2-2-5-3-20-1-1-2-10-1-13-1-15-3-6-2-2-1-1-1-2-1-1-1-3-4-1-1-4-1-1-1-6-1-1-1-2-4-7-12-2-2-2-1+216-2-1-1-5-1-4-4-1-8-1-2-2-1-3-1-1-1-2-1-1-3-3-2-4-18-2-3-7-1-5-3-1-2-2-2-1-9-36-1-1-1-1-1-1-3-10-1+176</f>
        <v>412</v>
      </c>
      <c r="G19" s="12">
        <f>70+31+50+55-8-2-1-4-1-1-2-4-2-4-2-4-4-2-2-1-1-1-3-3-1-1-25-4-3-2-4-2-1-1-2-1-1-6-1-2-2-3-1-2-8-7-4-2-2-1-3-1-3-1+100-4-1-2-1-1-1-2-4+50-1-1-31-10-13-1-3-3-1-6-1-1-1-1-5-2-2-2-3-5-3-2-1-1+140-3-5-1-4-1-1-1-1-2-2-1-1-2-1-1-1-1-2-6-2-1-1-3-1-1-2-1-1-5-1-3-4-1-1-1-1-2-2-14-1+120</f>
        <v>265</v>
      </c>
      <c r="H19" s="12">
        <f>100+31+14-3-2-1-1-1-2+1-5-5-2-20-2-1-1-4-2-1-2-2-2-2-2-1+29-1-3-4-1-21-1+2+1-2-10-4-1-3-5-4-6-1-1-1-1-1+70-2-1-1-2-2-3-2-1-2-1-1-1-1-1-5-2</f>
        <v>85</v>
      </c>
      <c r="I19" s="12">
        <f>51+70+16-1-1-1-2-15-1-3-3-1-4-1-1-5-4-1+2-6-1-2-1-3-3-1-1-1-2-1-3-1-2-1</f>
        <v>66</v>
      </c>
      <c r="J19" s="12">
        <f>30+10+1-1-1-1-5-1+1-2-1-1-2-2-1-1</f>
        <v>23</v>
      </c>
      <c r="K19" s="15">
        <f>30+31-5-2-1-3-1+1-4</f>
        <v>46</v>
      </c>
      <c r="L19" s="32">
        <f>90+40+32-1-1-1-5-1-1-20-1-4-1-1-3-4-1-2-1+49+50-1+50-4-2+3-1-2-3-2-1-2-1+1-1-1-1-4-2-1-5-1-30-1-1-2+98</f>
        <v>296</v>
      </c>
      <c r="M19" s="12">
        <f>10+80+90+80*6+68+71+37-1-1-2-2-1-1-4-1-5-1-1-2-5-2-2-2-1+1-3-5-1-1-24-6-2-1-1-1-30-1-5-5-1-20-5-3-15-1-2-6-1-2-2-1-2-4-1-1-5-2-1-2-1-1-1-18-2-1-1-7-3-4-7-1+100-2-1-1-1-1-1-4-2-1-1-1-1-1-2-6-3-3-1+1-5-1-2-4-18-1-1-1-2-13-1-1-6-1-1-1-1-1-4-1-1-2-1-14+15-1-9-1-1-1-2-1-2-1-1-2-1-2-5-1-5-2-2-10-2-1-5-1-1-5-16-3-3-1-4-2-3-1-1-1-2-1-1-2-45-2-2-1-15-71-1-3-1-1-6-3-1-2-1-6-2-3-3-1-105-1-2-2-4-1-4-2-2-1-10</f>
        <v>182</v>
      </c>
      <c r="N19" s="12">
        <f>73+50+50+80+80+80*9+20+56+80+19+44-300-3-2-6+2-1+59-4-6-8-1-1-1-1-1-1-3+301-2-3-1-2-5-3-1-1-10-1-2-1-5-1-1-1-1-3-2-2-5-1-8-26-10-4-1-1-40-3-1-1-10-15-20-5-7-1-1-3-2-6-15-1-10-2-16-1-1-1-1-1-1-3-1-1-8-3-1-4-1-1-1-2-2-1-1-5-1-1-1-5-4-13-2-15-2-6+249-1-3+253-4-10-2-1-2-2-1-2-1-5-3-3-1-1-2-8-1-13-1-6-1-1-1-2-2-2-1-40-42-1-3-1-4-1-1-3-4-5-2-44-11-1-8-2-49-1-1-6-18-1-1-6-1-3-3-1-1-1-1-1-2-1-1-16+15-8-1-1-2-2-4-10-2-1-1-2-1-1-1-2-2-1-8-2-1-3-6-10-2-3-1-1-2-1-4-4-2-2-5-1-2-1-1-2-6-1-1-1-15-22-1-3-20-14-4-2-1-5-1-2-1-2-1-1-1-2-5-1-1-1-1-3-3-36-1-1-3-2-1-1-1-9-1-10-2-1-2-23-64-3-1-18-8-1-3-1-2-1-2-3-1-4-10-3-5-2-8-11-5-1-292-2-1-1-1-10-1-1-1-1-2-10+499-1-1-6-1+2</f>
        <v>777</v>
      </c>
      <c r="O19" s="12">
        <f>80+70+29+80+80+80+80+80*4+23+50+59+21+21-100-1-1-3-1-4+1-11+245-3-6-12-1-2-1-1-1-5+99-3-1-2-20-1-3-1-10-1-1-1-5-1-1-1-1-1-1-1-2-1-13-6-18-5-1-2-2-40-2-1+1-1-1-10-15-10-1-1-5-2-1-7-1-4-1-2-15-1-2-3-15-1-1-1-5-5-1-1+14-2-1-1-3-1-1+1-1-1-5-1-1-2-1-1-2-1-1-5-5-8-2-16-6-1-1-1-5-1-3-1-1-6-4-1-6-5-1-2+565-1-1-1-4+1-20-9-10-1-2-2-2-3-46-1-8-1-6-2-1-1-1-4-5-40-5-1-2-1-24-8-1-18-2-1-3-1-3-1-1-1-30-2-1-3-1-1-12+15-2-1-1-1-2-2-2-1-2-4-2-3-1-4-8-4-5-12-6-1-2-2-1-4-1-4-10-1-1-1-1-5-1-1-14-2-4-3-27-1-6-5-4-3-1-2-1-1-1-1-1-2-9-1-1-2-1-2-2-54-1-2-4-1-2-1-7-11-2-5-32-51-3-1-1-15-1-6-2-3-5-1-7-1-5-2-6-4-1-241-2-1-2-1-2-2-1-1-10+398-2-2-1-1</f>
        <v>814</v>
      </c>
      <c r="P19" s="12">
        <f>70+19+80*4+39+20+55-2-2-1-2-2-1-1-1-1-3-2-6-15-1-2-1-5-1-1+1-1-1-1-1-3-1-1-5-3-1-1-25-2-5-1-10-1-5-1+1-4-1-2-15-4-6-1-3-1-1-5-1-1-1-1-1-3-2-1-1-5-1-7-12-1-1-1-1-1-3+399-1-4-2-4-5-1-3-1-1-2-26-5-1-2-1-8-2-16-1-16-3-6-1-30-1-1-3-4-6-1-1-2-2-1-11-2-4-1-1-3-1-1-1-3-3-1-1-1-1-2-1-1-4-1-8-3-7-4-4-1-1-1-2-1-2-2-1-3-1-1-1-24-1-2-3-1-4-1-16-23-3-1-6-3-2-2-3-8-13-1-5-1-3-10-105-2-1-1-1-1-1-1</f>
        <v>217</v>
      </c>
      <c r="Q19" s="12">
        <f>17+70+50+42-1-3-2-2-1-1-15-3-3-1-20-3-1-3-6-3-1-1-1-2-1-2-1-1-2-2-1-1+49-3+49-1-4-2-2-1+147-5-1-1-4-3-10-1-1-7-3-3-2-20-1-1-1-1-2-1-6-1-1-1-10-11-3-1-1-1-3-4-5-2-2-1-1-2-3-12-1-1-2-11-1-1-1-4-8-2-2-31-2-1-4-1-2-1-1</f>
        <v>111</v>
      </c>
      <c r="R19" s="12">
        <f>50+70+64-1-1-15-2-1-4-1-1-10-1-2-3-1+15-1-1-2-3-10+1-2-1-12-3-1-1-2-1-1-3-2-10-2-1-1-1-1-1-9-2-1-1-2-3-1-1-9-1-1</f>
        <v>63</v>
      </c>
      <c r="S19" s="12">
        <f>15+8+1-5-1-4-1-2-1+15-1+1-1-2-1-1+37-1-1-1-1-1</f>
        <v>52</v>
      </c>
      <c r="T19" s="15">
        <f>15+12-5-1-1-1+15-1+1-2-1+39-1-1-1</f>
        <v>67</v>
      </c>
      <c r="U19" s="11">
        <f t="shared" si="0"/>
        <v>4252</v>
      </c>
      <c r="V19" s="62"/>
      <c r="W19" s="10" t="s">
        <v>32</v>
      </c>
      <c r="X19" s="4">
        <v>1102</v>
      </c>
      <c r="Y19" s="4">
        <f t="shared" si="1"/>
        <v>3857</v>
      </c>
      <c r="Z19" s="4">
        <f t="shared" si="2"/>
        <v>2755</v>
      </c>
    </row>
    <row r="20" spans="1:26" x14ac:dyDescent="0.25">
      <c r="B20" s="74" t="s">
        <v>32</v>
      </c>
      <c r="C20" s="32">
        <f>50+36+74-1-1-1+2-3-3-15-1-2-1-1-2-2-3-1-1-1-1-1-1-2-1-1-2-1-3-1-2-2-5-1-1-1-1-1-1-1-1-1-1-1-1-15-1</f>
        <v>72</v>
      </c>
      <c r="D20" s="12">
        <f>100+100+100+100+100+100+80-1-2+102-1-1-1-1-1-2-1-1-1-1-1-1-1-1-1-1-1-2-1-2-1-1-3-2-1-30-3-1-1-5-2-1-1-1-1-11-1-1-1-3-8-1-1-1-3-3-2-2-1-5-4-2-5-2-1-1-2-1-1-3-4-1-5-1-1-1-4-1-4-1-9-4-3-1-4-1-1-1-1-1-5-1-2-3-1-1-8-1-1-10-3-1-1-9-5-1-1-1-5-1-1-5-1-3-1-1-2-1-20-1-1-3-2-1-4-6-1-1-1-13-1-1-1-1-17-1-1-4-22-13-12-3-1-1-1-2</f>
        <v>375</v>
      </c>
      <c r="E20" s="12">
        <f>100+98+100+50+100+120+54-1-2+152-1-1-1-1-1-1-3-1-1-2-1-10-1-1-1-2-2-1-1-1-1-1-2-3-1-5-10+3-1-1-2-3-3+1-1-1-10-1-1-30-2-6-1-1-1-1-1-2-2-1-1-1-2-1-1-2-2-1-30-8-1-22-1-8-1-2-1-5-1-1-3-1-3-1-1-1-1-2-1-7-2-22-1-2-2-1-5-1-1-1-1-1-1-4-2-1-2-1-2-5-1-2-10-1-1-1-1-1-5-1-4-1-5-6-1-1-8-1-2-2-4-3-1-1-1-1-3-1-4-1-5-1-3-1-1-1-2-1-3-1-2-8-3-1-1-2-11-5-1-2-1-3-4-14-1-2-1-3-5-5-1-1-1-8-1-1-1-1-2-1-3-3+1-1-7-2-1-6-1-1-13-5-1-1-1-1-2-1-3-2-4-24-2-7-1-3-1-1-11-1-2-1-5-1-2-10-2-1-2-1-1-9-30-6-1-1-1-1</f>
        <v>102</v>
      </c>
      <c r="F20" s="12">
        <f>80+60+100+39+100+100+100+75-1-1-2-1-2-2+246-1-3-1-15-6-1-1-2-3-1-1-2-1-1-2-1-2-5-1-1-1-1-2-1-1-2+1-1-30-6-6-1-1-1-1-4-1-1-1-1-1-1-1-1-2-1-4-2-2-1-1-3-1-1-1-1-1-3-2-2-5-7-8-5-1-2-1-1-1-1-2-1-1-1-1-1-1-4-2-10-1-1-1-1-2-1-13-1-1-8-1-1-1-1-1-2-1-3-3-3-1-2-1-3-1-1-1-1-8-1-2-1-19-8-1-2-1-3-3-13-5-1-1-1-9-4-1-1-5-1-1-1-2-1-4-1-1-1-2-7-1-1-1-3-1-3-1-1-2-47-2-2-1-2-1-2-6-1-1-1-1-5-1-1-3-4-2-1-2-1-1-7-10-5-1-2-1-1-1-1</f>
        <v>389</v>
      </c>
      <c r="G20" s="12">
        <f>98+69+57-2-2-1-3-1-1-1-1-1-1-1-1-1-1-2-1+1-2-1-1+1-1-1-1-3-2-1-25-3-1-1-1-1-2-1-1-1-13-4-1-1-10-2-1-1-5-11-5-3-3-1-1-1-1-2-2-1-5-2-1-1-13-1-2-3-2-1-2-2-3-2-1-4-1-1-1-1-2-2-1-1-1-1-1-5-1-1-3-1-2-1-1-1-1-2-1-2-4-1-1</f>
        <v>0</v>
      </c>
      <c r="H20" s="12">
        <f>100+33-2+76+1-1+1-2-20-2-3-1-2-1-1-1-9-1-2-2-1-9-3-1-1-5-1+2+1-1-4-1-1-1-1-1-1-1-2-2-1-1-1-1-1-1-1-1-1-1-1-1-1-1-1-1-1-1-1-1-2-3-1-1-3-2-1-1-1</f>
        <v>92</v>
      </c>
      <c r="I20" s="12">
        <f>64-1+25-1-1-15-1-3-1-1-1-1+1-1-13-2-1-1-1-1-1-3-1-1-1-2-1-1-1-1-1</f>
        <v>30</v>
      </c>
      <c r="J20" s="12">
        <f>19-1-1-5-1-1-3-7+72-4-1-1</f>
        <v>66</v>
      </c>
      <c r="K20" s="15">
        <f>26-1-5-1-1-1-1+1-1+36-1-1</f>
        <v>50</v>
      </c>
      <c r="L20" s="32">
        <f>90+80+30+60+26-3-1-20-1-4-3-2-3+3-1-1-1-1-1-1-2-1+1-2-1-1-1-2-2-1-1</f>
        <v>233</v>
      </c>
      <c r="M20" s="12">
        <f>90*2+49+80+237+29-1-1-1-1-2-1-1-1-2-1-2-4-30-5-1-1-1-1-1-1-6-5-2-4-1-2-1-1-2+1-3-3-2-1-1-1-1-1-1-2+31-1-2-3-1-2-5-5-3-1-1-8-1-1-1-4-3-1-4-1-1-3-20-9-9-1-2-1</f>
        <v>414</v>
      </c>
      <c r="N20" s="12">
        <f>80*4+70+74+34+67-1+315+7-1-1-1-1-1-1-1-5-2-1-2-2-1-1-1-1+1-1-5-1-1-2-1-1-3-40+1-1-15-1-1-4-1-1-2-1-16-5-5-1-5-1-1-5-4-1-1-5-1-1-1-2-2-2-1-1-2-1-3-3-4+1-4-8-1-1-7-1-79-1-2-13-1-2-1-1-1-1-1-1-3-1-1-2-2-1-1-1-2-2-1-3-1-2-1-1-2-2-10-2-10-1-5-2-1-2-1-1-5-20-1-1-1-1-15-1-1-1-1-1-1-8-3-2-2-1-1-7-8-1-2-3-20-1-5-8-10-1-1</f>
        <v>386</v>
      </c>
      <c r="O20" s="12">
        <f>80*4+79+58+70+33+70+80+59-1+331+69-1-1-1-3-1-2-3-1-1-2-1-1-1-5-1-1-3+1-40-15-1-2-1-10-2-1-15-1-6-1-6-2-1-5-1-1-1-4-1-1-1-1-1-1-3-2-2-1+1-13-1-1-8-1-7-2-2-1-63-80-1-1-1-18-2-3-1-3-1-1-1-1-1-4-2-3+10+21-2-1-3-1-4-1-2-1-3-9-1-3-1-1-1-3-1-27-1-2-1-1-1-1-6-1-1-1-2-1-2-2-4-1-3-7-2-1-1-1-20-2-11-10-1-1</f>
        <v>666</v>
      </c>
      <c r="P20" s="12">
        <f>80+80+140+38+17-1+30-1-1-1-2-1-1-1-1-1-1-1-1-1-1-1-1-25-1-5-1-1-1-6-1-2-1-1-1-3-2-4-1-5-1-4-1-1+1-1-8-1-1-3-1-1-1-3-1-2-3-2+20+11-3-1-1-1-2-3-4-1-5-1-1-7-1-1-3-1-1-1-1-1-2-1-1-2-5-10-4-5-1-5-1</f>
        <v>226</v>
      </c>
      <c r="Q20" s="12">
        <f>60*3+10+79+29-3-1-1-1-3-1-1-20-3-1-20-1-1-1-1-1-2-1-1-1-1+2-1-1-2-11-1+5-2-5-3-2-4-1-1-1-1-1-2</f>
        <v>200</v>
      </c>
      <c r="R20" s="12">
        <f>60+30+29+34-1-1-1-15-1-2-1-1-1-1-1-1-1+1-1-2-1-1</f>
        <v>121</v>
      </c>
      <c r="S20" s="12">
        <f>36-1-1-5-1-1+1-1+3-2-1+35-1-1</f>
        <v>60</v>
      </c>
      <c r="T20" s="15">
        <f>47+37-1-5-1-1+1-1-1</f>
        <v>75</v>
      </c>
      <c r="U20" s="11">
        <f t="shared" si="0"/>
        <v>3557</v>
      </c>
      <c r="V20" s="62"/>
      <c r="W20" s="10" t="s">
        <v>33</v>
      </c>
      <c r="X20" s="4">
        <v>1137</v>
      </c>
      <c r="Y20" s="4">
        <f t="shared" si="1"/>
        <v>3979.5</v>
      </c>
      <c r="Z20" s="4">
        <f t="shared" si="2"/>
        <v>2842.5</v>
      </c>
    </row>
    <row r="21" spans="1:26" ht="21.75" customHeight="1" x14ac:dyDescent="0.25">
      <c r="B21" s="74" t="s">
        <v>33</v>
      </c>
      <c r="C21" s="32">
        <f>25+72-1-1-4-10-1-2-2-1-1+3-2-2-1-1-1-1-2-2</f>
        <v>65</v>
      </c>
      <c r="D21" s="12">
        <f>70+19-2-1-1-1-1-5-1-1-2-1-2-1+150-20-1-1-20-3-10-3-4-1-2-1-2-1-2-2-1-1-3-1-3-1-3-1-2-1-10-10+99-1-1-1-3-1+25-1-3-1-1-3-1-2-1-10-1-1-1-1-1-1-1-3-3-2-1-1-1-9-1-2</f>
        <v>174</v>
      </c>
      <c r="E21" s="12">
        <f>1+90-1-10-1-4-1-1-1-1-10-1+1-2-1-10-1-1-1-1+100-31-1-1-7-1-25-1-6-14-3-4-1-1-1-1-1-1-1-1-4-2-2-2-3-1-3-1-1-1-2-1-1-1+99-2-4-11-12-3+200-1+99-1+1-2-1-2-3+25-1-1-1-1-1-1-1-3-1-2-1-1-1-1-2-1-1-3-1-1-4-3-1-1-1-1-1-3-1-1-3-4-3-1-1-3-1-1-1-1-20-2-1-1-31-1-3-1-1</f>
        <v>276</v>
      </c>
      <c r="F21" s="12">
        <f>90+26+24-4-1-1-1-20-2-2-2-1-2+198-40+1-5-25-6-1-2-4-5-4-1-2-1-1-2-2-1-1-1-3-3-2-5-3-3-1-1-5-1-1-3-1-9-7-12-2+100-1-1-2+25-3-1-1-8-1-1-2-1-1-3-1-2-1-1-1-3-1-2-1-1-3-1-1-1-1-4-2-3-25-2-6-1-2-1-2-1-1-1-1-3-2</f>
        <v>158</v>
      </c>
      <c r="G21" s="12">
        <f>31-1-20-2-1-1-1+150-1-1-40-1-1-20-3-1-5-1-1-2-1-1-1-1-1-1-1-2-1-3-1-1-1-1-9-2-5-1+100-1-1-1+2-1-3-1-1-1-1-2-2-1-1-1-1-1-1-2-1-1-1-1-1-1-1-3-5-3-5-2-3-1</f>
        <v>94</v>
      </c>
      <c r="H21" s="12">
        <f>40+52-10-2-1-15-2-1-1-2-1-3-1-1-1-1-1-1+2+24-1-1-2-1-1-1-1-1-3</f>
        <v>62</v>
      </c>
      <c r="I21" s="12">
        <f>23-1-1-5-1-10-1-1+26-1-4+1-3-2-1-1-5-1-1</f>
        <v>11</v>
      </c>
      <c r="J21" s="12">
        <f>46+48-1-2-5-7-1+1-1-1-1-1</f>
        <v>75</v>
      </c>
      <c r="K21" s="15">
        <f>20+24-1-5-17-1-1-1-1+24-1+1-1</f>
        <v>40</v>
      </c>
      <c r="L21" s="32">
        <f>39+24+80+90+90+6-5-1-30+1-1-15-3-6-3+25+3-1-1-2-1-1-4-1</f>
        <v>283</v>
      </c>
      <c r="M21" s="12">
        <f>72+15+90+90+51-1-2-1-8-1-1-1-10-1-1-1-1+245-40-1-25-5-1-1-2-1-3-1-5-1-2-4-5-2-5-2-2+14+100-1-2-2-8-2--1+15-1-1-2-1-1-1-3-3-1-1-1-3-3-1-2-1-1-112-5-12</f>
        <v>385</v>
      </c>
      <c r="N21" s="12">
        <f>90*3+70*3+80+30+11+63+90+80*3+39-1-1-1-1-6-1-1-15-1-1-3-1-1-40-1-6-30-1-1+1-1-1-15-1-1-1-1-3-1-1-2-1-2-5-2-1-2-3-1+53-1-4-1-14-8-5-2-16-1-15+99+100-1-1-1-3-1-4-12-5-15-18-1-2-2-4-1-1+15+1-1-1-2-1-1-1-1-1-1-1-3-11-1-20-1-6-1-1-6-1-1-1-3-9-1-2-1-1-6-3-1-10-3-1-1-3-6-24-1</f>
        <v>865</v>
      </c>
      <c r="O21" s="12">
        <f>80*7+70+40+31-3-2-1-2-1-6-4-1-4-1-1-20-2-1-2-1-2-1+306-60-1-1-30-1-1-15-1-1-30-20+20-4-1-2-1-1-1-2-8-5-1-3-1-1-1-1-1-1-9-5-1-2-6-24-17+137+200-2-7-2-2-4-3-13-1-1-2-2-3-5+15-1-1-1-2-1-1-1-1-1-1-2-1-1-8-1-1-27-1-1-1-6-1-1-5-3-9-2-6-6-9-5-1-2-3-1-1-2-4-14</f>
        <v>881</v>
      </c>
      <c r="P21" s="12">
        <f>70*5+9+80+25-2-1-2-1-2-30-11-1-1-1-1+82-40-1-1-20-5-10-1-3-1-3-1-1-1-6-3-1-2-1-1-1-1-1-4-6-3+96-2-2-15-1-1-1-2-1-1-1-1-1-1-1-7-1-1-3-1-1-3-5-1-1-5-1-1-1-5-1-1-1-2</f>
        <v>398</v>
      </c>
      <c r="Q21" s="12">
        <f>70*3+30+61+28+27-4-1-5-1-2-1-20-1-20-3-1-1-1-1-2-1-1-1-2-2-5-1+2-1-1-2-1-5-1-4-1-1-1-3-4</f>
        <v>256</v>
      </c>
      <c r="R21" s="12">
        <f>29+41+37+59+16-1-2-1-3-15-2-1-1-1-1-5-1-1-1-1-2-1+1-1-1-2-1-1-1-4-1</f>
        <v>131</v>
      </c>
      <c r="S21" s="12">
        <f>15+1-5+26-4-5-1-1-1+25+1-1</f>
        <v>50</v>
      </c>
      <c r="T21" s="15">
        <f>19-5-1-2-1+25+1-1-1</f>
        <v>34</v>
      </c>
      <c r="U21" s="11">
        <f t="shared" si="0"/>
        <v>4238</v>
      </c>
      <c r="V21" s="62"/>
      <c r="W21" s="10" t="s">
        <v>34</v>
      </c>
      <c r="X21" s="4">
        <v>372</v>
      </c>
      <c r="Y21" s="4">
        <f t="shared" si="1"/>
        <v>1302</v>
      </c>
      <c r="Z21" s="4">
        <f t="shared" si="2"/>
        <v>930</v>
      </c>
    </row>
    <row r="22" spans="1:26" x14ac:dyDescent="0.25">
      <c r="B22" s="74" t="s">
        <v>34</v>
      </c>
      <c r="C22" s="32">
        <f>48-1+81-1-1-1-1-1-1-3-15-1-1-1+2-1-2-1-2-1-1-1-1-1-1-3-1-1-1-1-1-2-1-1-1-4-2-7-1-1-2-5-10-3-1-1+46-4+42-1-1-1-1-3-1-1-1-1-1</f>
        <v>113</v>
      </c>
      <c r="D22" s="12">
        <f>50+47-4-3+218-1-1-6-1-1-1-4-1-4-1-1-1-3-1-1-1-1-1-1-1-2-1-1-3-3-2-1-1-1-30-1-3-17-2-1-2-1-1-5-1-1-1+35-2-1-1-1+3-2-2-1-1-1-3-1-1-1+1-4-4-9-2-1-10-1-5-1-3-1-3-2-1-1-4-3-5-4-4-7-1-7-1-2-1-1-1-1-6-1-4-1-3-1-2-3-1-1-2-1-1-6-2-3-5-1-1-1-4-1-5-17-3-44-5+421-6-3-5-10-1-1-1-7-1-1-1-2-5-1-2-1-1-1-3-1-2-2-1-5-2-1-2-1-1-1-1-1-1-2</f>
        <v>344</v>
      </c>
      <c r="E22" s="12">
        <f>100+58-4-1-3-1-4-1-3-1-6-1-1-1-5-1-3-1-2-4-1-1-2-1-1+150-2-1-1-1-3-1-2-2+1-30-1-6-1-37+2+100-1-1-5-7+70-1-1-2-2-4-2-3-1-2-10-1-1-1-9-3-1-4-1-2+1-2-1-1-2-2-4-5-8-3-3-1-2-3-2-2-1-1-1-1-1-4-1-2-1-1-1-2-2-3-1-5-1-1-1-1-1-5-4-6-1-10-1-1-3-3-1-1-4-1-1-8-1-1-6-1-2-1-1-1-7-3-1-1-1-8-1-5-1-15-5-2-1-1+411-1-3-5-11-1-3-1-1+1-1+20-6-1-1-1-6-6-7-1-5-1-7-20-1-1-1-1-1-3-1-1-1-5-1-1-1-1-5+2-1-5-3-2-2-1-1-3-1-2-1-1-1-1-1-3-1</f>
        <v>380</v>
      </c>
      <c r="F22" s="12">
        <f>56-2-2+100-1-1-2-1-1-4-3-1-1-3-1-1-3-1-1-1+150-2-2+1-1-30-7-1-6-1-35-1-1-1+3-1-4-1-1-9-2+162+1-1-1-1-1+1-1-1-1-1-2-11+1-2-1-2-3-4-5-1-3-2-1-3-3-2-1-1-1-3-3-1-7-1-1-5-1-1-1-1-1-1-1-1-1-1-1-2-1-3-4-3-5-2-6-1-3-3-1-1-1-2-2-5-3-2-1-1-2-4-2-3-5-5-25-3-1-1-1-3-5-8-5-1-1-1+121-4-1-1-1-6-4-4-1+222-1-5-5-1-1-1-1-3-3-1-1-1-2-1-5-1-1-5-1-2-2-2-1-1-1-1-11-1-2-1-1-1-1-2</f>
        <v>374</v>
      </c>
      <c r="G22" s="12">
        <f>59-2-2-2-6-2-1-1-4-1-4-1-1-1+100-1-1-1-25-4-3-5-2-2+4-1-15-1-1+70-1+1-2-2-3-8-2-3-1-5-1-2-1-2-1-1-2-2-4-1-1-7-1-1-1-2-2-1-2-3-2-1-3-1-8-3-1-2-2-2-1-2-1-11-3-1-1-1+241-5-2-3-3-1-3-1-1-3-1-2-1-1-3-1-5-1-1-1-1-2-2-2-1-1-1-1-1</f>
        <v>223</v>
      </c>
      <c r="H22" s="12">
        <f>23-2-4-1-3-1-1+50-1-1-20-2-5-10-1+34-1+2-1-1-2-2-1-1-4-2-2-2-1-1-1-1-1-1-1-1-2-1-1-2-13-1-1-1-1-1+121-3-1-2-1-1-1-3-1-1</f>
        <v>113</v>
      </c>
      <c r="I22" s="12">
        <f>5-1-1+48+30-1-1-1-15-1+2-1-1-1-2-3-1-1-2-1-3-6-1-2-1-1-1+31-1-1-1-1-1</f>
        <v>62</v>
      </c>
      <c r="J22" s="12">
        <f>1+30+28+10-5-1+1-1-1-1-1-1-3-1-1-1</f>
        <v>53</v>
      </c>
      <c r="K22" s="15">
        <f>3+20-1-5-2+1-1-1-3-3-5+27</f>
        <v>30</v>
      </c>
      <c r="L22" s="32">
        <f>55+90+22-4-1+98-2-1-20-1-1+33-1+3-3-2-1-45-1-2+1-2-1-2-5-2-9-1-1-5-2+102-2-1-3-1-1-1</f>
        <v>280</v>
      </c>
      <c r="M22" s="12">
        <f>9+42+80+80+12-1+80*3+7-2-1-4-1-2-3-1-1-1-1-1+101-2-3-30-4-5-20-25-2+1+100-1-1-1-2-10-1+5-3-6-5-1-7-1-11-1-1-2-3-3-3-1-1-10-2-11-2-1-4-1-1-1-1-4-1-3-2-5-2-2-1-1-1-4+10-1-1-1-3-3-2-19-1-1-1-3-1-2-5-16-1-1-1-12-1-2-3-3-1-1-1-29+153-20-10-12-1-1-5-2-1-15-1-3-1-3-1-5-3-1-1-2-1-1-6-1-6-1-2+180+1</f>
        <v>564</v>
      </c>
      <c r="N22" s="12">
        <f>80+20+80+80+80+80+80+80+80+80+80+80+3-1+2-1-4-2-3-2-2-5-10-1-4-1-1-2-10-4-1-3-1-3-1-1-1-4-2-1-1-1-1-1+195-1-2-1-1-2+1-1-2-1-40-1-1-9-1-15-40-1-35-1-1-3-1+4+287-1+1-1+11-1-10-2-1-1+4-1-1-8-13-1-5-2-3-4-2-1-16-41-1-20-3-1-1-2-1-3-3-1-10+1-1-3-1-25-2-7-1-9-7-8-5-1-1-1-4-1-10-2-1-2-5-1-1-4-1-1-1-1-1-3-1-4-8+20-1-16-1-1-10-3-2-3-4-1-1-2-2-11-18-1-1-8-1-2-1-5-42-4-1-1-1-1-10-1-30-1-1-10-5-5-3-1-1-31+300-1-59-32-14-2-8-10-1-1-1-25-1-3-1-1-6-3-1-1-1-4-3-1-1-5-8-3-1-1-4-3-1-4-2-1-5-1-1-28-1-1-2+300-1-1+1</f>
        <v>1011</v>
      </c>
      <c r="O22" s="12">
        <f>75+75+75+75+72+75+75+75+21+80*4+57+79-4-4-2-3-10-1-4-1-1-8-1-1-1-4-1-1-1-3-1-3-1-1-1-1-2-1-1+101-1-1-1-40-1-13-15-5-1-40-1-47-1+1+200-2-1-8-1-1-5-10-2+6-1-4-15-3-9-5-4-2-1-2-1-22-4-1-12-2-19-1-4-1-1-1-2-1-2-3-1-1-3-12-1-8-2-1-5-8-9-20-3-8-8-3-6-1-7-4-2-1-2-1-2-2-11-3-1-1-1-5-1-1-4-1-8+25-15-1-10-4-1-3-6-1-1-1-1-1-2-14-1-18-1-5-4-1-3-2+2-32-1-8-1-5-1-1-2-30-3-1-10-3-1-47-1-1+358-1-1-1-51-30-1-16-8-5-2-1-32-3-1-7-3-1-1-1-1-3-5-8-1-3-2-1-1-8-1-28-2-1-3+288</f>
        <v>1036</v>
      </c>
      <c r="P22" s="12">
        <f>34+55+70+70+70+11-1-1+67-2-1-4-2-1-1-1-4-4-4-1-4-1-1-1-1-1-1+102-1-1-1-1-25-1-1-6-5-1-20-10-1-1-1-1-1-1-1-10-1-10+58+136+4-3-1+1-3-1-5-4-5-14-1-2-1-1-1-3-3-5-8-1-5-1-1-1-3-2-4-2-2-2-2-7-6+10-3-1-7-2-3-2-1-1-1-2-3-1-1-1-2-1-1-1-3-1-1-2-1-29-5-3-1-1-3-18-1-1-5-1-1+180-23-14-10-4-16-3-3-1-1-10-1-8-1-5-1-9-1-1-1-1-2-1-1-8-1-1-1-2+140</f>
        <v>528</v>
      </c>
      <c r="Q22" s="12">
        <f>70+70+58+29+24+34-1-3-2-1-1-1-1-1-1-20-2-3-6-10-1-2+68+2-1-2-2-1-1-1-3-1-1-5-2-2-1-2-1-1-2-3-3-2-1+5-1-4-2-2-1-1-2-1-1-11-6-2-17-5+50-10-2-4-5-2-11-1-1-1-4-4-1-6-1-1-1-12-1-1-1-1+70</f>
        <v>259</v>
      </c>
      <c r="R22" s="12">
        <f>50+1+42+50+60+10+65+12-1-1-1-15-2-1-3-1-1+2-1-1-1-1-1-2-1-1-1-1-1-3-2-1-1-1-1-2-3-1-1-1-5-1-1-1-3-1-1-1-3-1-2-8-1</f>
        <v>208</v>
      </c>
      <c r="S22" s="12">
        <f>22+39+20-1-1-5-1+1-1-1-1-1-4-6-5-1-2-2</f>
        <v>50</v>
      </c>
      <c r="T22" s="15">
        <f>13-1-1+26-5-1-1+1-1-1-1-1-1-1-1-1-2+31-1-1-1-1</f>
        <v>48</v>
      </c>
      <c r="U22" s="11">
        <f t="shared" si="0"/>
        <v>5676</v>
      </c>
      <c r="V22" s="62"/>
      <c r="W22" s="10" t="s">
        <v>35</v>
      </c>
      <c r="X22" s="4">
        <v>625</v>
      </c>
      <c r="Y22" s="4">
        <f t="shared" si="1"/>
        <v>2187.5</v>
      </c>
      <c r="Z22" s="4">
        <f t="shared" si="2"/>
        <v>1562.5</v>
      </c>
    </row>
    <row r="23" spans="1:26" x14ac:dyDescent="0.25">
      <c r="B23" s="74" t="s">
        <v>35</v>
      </c>
      <c r="C23" s="32">
        <f>100+50+17-4-2-10-1-10-1-1-2+3-2-4-70-2+84-2-1-1-2</f>
        <v>139</v>
      </c>
      <c r="D23" s="12">
        <f>100+70+15+63-2-2-1-30-1-1-1-1-1-1-3-1-1-1-20-3-2-1-1-1-1-2-1+5-4-1-3-19-3-2-10-1-1-1-1-1-1-1-2-2-51+342-2-40-10-5-1-2-4-1-1-1-3-35-1+252-1-1</f>
        <v>556</v>
      </c>
      <c r="E23" s="12">
        <f>100+80+20+70+97+50+51-6-1-2-1-1-1-2-2-10-1-1+1-25-1-2-6-2-1-1-1-1-2-3+7-12-2-5-1-1-1-5-1-3-2-1-9-36-1-2-1-1-1-2-3-2-4-100-1-2-1-1-80-1-2-1-1-1-2-1-1-1-2+1-1-2-4-7-96+200-34-1-1-21+96+196-1-80-10-13-3-1-1-2-12-2-1-1-1-1-2-1-11-3-1-1-1-1-1+221+1+178</f>
        <v>684</v>
      </c>
      <c r="F23" s="12">
        <f>100+15+60+80+55-2-2-1-30-1-1-2-1-1-5-10-1-2+1-2-25-6-1-4-1-3-3-1-1-1+7-3-1-9-1-3+8-3-28-3-2-1-2-2-3-1-6-1+80-3-1-1-1-1-2-1-3-1-1-1-2-1-51-1-1-1-2+400-1-20-10-15-3-1-1-1-5-3-7-2-1-2-3-1-1+170+28-2-37</f>
        <v>637</v>
      </c>
      <c r="G23" s="12">
        <f>20+100+58+20+86-1-2-1-7-20-2-1-20-3-1-1-10-1-1-1+5-4-1-20-1-2+7-6-2-1-1-1-5-1-3-1-1-2-51-2-3-1+45-1+55-10-5-7-2-2-1-1-3-1-1+152-30</f>
        <v>303</v>
      </c>
      <c r="H23" s="12">
        <f>50+30+83-50-1-10-1-1-1-2-15-2-2+2-2+7-1-2-1-2-1-24-2-1+21-1-1-1-1-1+88-4</f>
        <v>151</v>
      </c>
      <c r="I23" s="12">
        <f>60+71-1-1-1-1-10-1-2-1+2-1-1-100-1-1-1-1-9+42-10-1-1+44</f>
        <v>74</v>
      </c>
      <c r="J23" s="12">
        <f>24-5+1-1-1-10-8+18-1-17+20-5-7-5-1-1-1+41</f>
        <v>41</v>
      </c>
      <c r="K23" s="15">
        <f>20+34-5-2-5+1-1-3-1+21</f>
        <v>59</v>
      </c>
      <c r="L23" s="32">
        <f>90+30+50+78+89+35+70+44-1-10+3-2-3-1-5+4-2-1-1-1-2-1-1</f>
        <v>462</v>
      </c>
      <c r="M23" s="12">
        <f>80*2+85+23+18+88+90+190+40+58+66-1-9-5-7-6-2-1-1-1-1-1-63-25-5-1-1-1+5-2-1-5-1-5-4-1-1-1-1-6-92-2-2+1-2-1-1-10-2-1-3-1-2-1+26-11-20-30-2-1+30-2-1-1-1+100-130-30-5-2-1-3-1-1-1-5-1-10-10-3-1-19-1-2+214-1-1</f>
        <v>618</v>
      </c>
      <c r="N23" s="12">
        <f>80*6+60+69+60+80*6+90+70+60+90+60-32-3-1-2-1-1-7-13-1-1-1-1-4-1-1-6-1-40-30+1-1-1-15-3-1-1-1-3-4-1-2+6-4-1-11-1-5+6-2-12-1-2-1-2-5-1-2-2-4-1-1-2-90-4-1-2+1-1-2-1-1-7-5-4-1-1-1-4-1-1-1-11-3-4-1-1-20-1-54-60-1-1-2+39-1-4-2-2-1-3-1+98+42-1-250-1-60-12-2-1-1-1-2-1-4-1-3-1-2-20-80-3-1-1-36-2+302-1+302-2</f>
        <v>1286</v>
      </c>
      <c r="O23" s="12">
        <f>80*5+65+58+60+80*8+70+77+73+1+60+85+86+84+40-1-13-2-1-1-1-1-10-10-1-6-1-5-1-1-2-2-12-2-1-2+1-1-30-30-1-15-5-20-30-1+30-2-1-1-3-3-1-1-2+6-5-1-7-1-5+16-232-1-2-1-2-5-1-10-9-1-6-1-90-7-1-1-1-1-6-5-6-2-1-5-2-11-1-2-4-15-43-1-45-1-2-1-1-1+26-2-2-10-1-3-1+100-1+1-2-1-250-60-15-4-1-2-2-1-2-2-10-6-1-3-1-1-6+79-1-1-18-1-1-1-3-1+504</f>
        <v>1376</v>
      </c>
      <c r="P23" s="12">
        <f>30+69+73+70+10+80*4+25+70+40+61-1-8-5-6-6-3-1-1-1-1-1-6-1-5-20-5-10+10-1-1-3-3-1-3-2-2-1-2-1+4-2-1-1-2-1-3+4-5-7-2-1-1-1-6-1-94-4-5-1-1-5-6-1-5-21-15-100-2-1-1-3+76+23-50-30-7-1-1-1-1-6-1-2-4-3-1-1-9+107-12</f>
        <v>462</v>
      </c>
      <c r="Q23" s="12">
        <f>90+70*3+90+11-1-4+35-1-1-1-5-2-20-3-2-1+2-1-1-2+4-1-1-1-93-4-1-1-1-8-1-3-1-2-2+42-2-3-2-1-1-1-1-1-1+16-6</f>
        <v>316</v>
      </c>
      <c r="R23" s="12">
        <f>50*3+101+30+79+55-2+35-1-1-5-3-1-15-2-1+1-1+9-3-1-1-5-100-1-8-1-1-1-1-1-2-7</f>
        <v>295</v>
      </c>
      <c r="S23" s="12">
        <f>19+40+25+4+3-6+35-5-1+1-1-70-1-1+16</f>
        <v>58</v>
      </c>
      <c r="T23" s="15">
        <f>14+20+35+20+10-15-1-5+1-1-1-1-1-70+42-1-1+16</f>
        <v>61</v>
      </c>
      <c r="U23" s="11">
        <f t="shared" si="0"/>
        <v>7578</v>
      </c>
      <c r="V23" s="62"/>
      <c r="W23" s="10" t="s">
        <v>36</v>
      </c>
      <c r="X23" s="4">
        <v>611</v>
      </c>
      <c r="Y23" s="4">
        <f t="shared" si="1"/>
        <v>2138.5</v>
      </c>
      <c r="Z23" s="4">
        <f t="shared" si="2"/>
        <v>1527.5</v>
      </c>
    </row>
    <row r="24" spans="1:26" x14ac:dyDescent="0.25">
      <c r="B24" s="74" t="s">
        <v>36</v>
      </c>
      <c r="C24" s="32">
        <f>90+15-4-10+3-2-1-6-4-1-2-4-1-2-1-1-1-1+30-2</f>
        <v>95</v>
      </c>
      <c r="D24" s="12">
        <f>50+100+100+60-1-1-1-1-1-1-1-14-2-1-6-1-20-3+5-3-1-1-1-7-1-2-1-4-1-1-1-2-10-6-2-1-6-3-3-1-1-1-4+136+70-3-1</f>
        <v>399</v>
      </c>
      <c r="E24" s="12">
        <f>100+102+97+74-1-1-1-1-4-1-1-1-5-12-3-1-3-1-1-25-6-1-1-2-4-3-2-1-4-7-1-1-2-6-1-1-1-1-2-1-1-1-1-2-1-6-1-1-1-1-1-12-3-1-1-2-2-3-2-1-2-1+139+100-2</f>
        <v>453</v>
      </c>
      <c r="F24" s="12">
        <f>20+100+97+96+54-1-1-1-1-1-10-15+1-25-6-1-1-1-1-3+7-1-2-2-3-2-3-1-8-1-1-5-1-1-1-1-2-2-3-1-1-3-1-1-1-1-1-4-3-15-38-2+154-3+79-1</f>
        <v>424</v>
      </c>
      <c r="G24" s="12">
        <f>95+91-1+5-1-1-1-11-7-1-1-1-1-1-2-20-3-1-1-3+5-2-1-10-1-1-1-1-1-1-1-1-1-3-2+2-2-1-1-1-2-1-2-3-2-1-4-3-1-1+150-1</f>
        <v>238</v>
      </c>
      <c r="H24" s="12">
        <f>20+34-1-1-1-3-3+1-1-1-15-2-10+2-2-2-1-1-1+1-2-11+62-2-1-1-4+60</f>
        <v>114</v>
      </c>
      <c r="I24" s="12">
        <f>32+76-1-1-10+1-2-1-2-1-1-1-1-1-2</f>
        <v>85</v>
      </c>
      <c r="J24" s="12">
        <f>15-2+1-5+1-1+31-1</f>
        <v>39</v>
      </c>
      <c r="K24" s="15">
        <f>40+29+8-3+1-5+2-1</f>
        <v>71</v>
      </c>
      <c r="L24" s="32">
        <f>32+88+50+59+97-5-6-1-15-5-15-2+5-1-3-3-2-2-1-1-1-1</f>
        <v>267</v>
      </c>
      <c r="M24" s="12">
        <f>20+11+80+30+80*4+69-2-1-7-1-1-1-1+7-1-3-5-2-1-3-1-1-25-5-5-1-1+3-2-3-1-2-5-2-2-3-1-1-1-2-1-1-1-2-1-1-35-3-3-2-1-1-1-3-27-1+149-1-2-4</f>
        <v>505</v>
      </c>
      <c r="N24" s="12">
        <f>18+54+60+70+80+80*9+34+78+140-2-13-2-1-1-1-1+13-1-2-4-1-5-2-8-1-7-1-2-4-1-5+1-2-30-5-15-1-1-1-1+7-2-6-4-2-5-1-1-1-15-1-1-1-1-4-3-1-2-4-1-1-1-1-1-2-1-5-10-3-1-1-7-5-1-49-7-1-1-8-3-2-1-1-1-9-44-3+98-1-2-4-1</f>
        <v>1018</v>
      </c>
      <c r="O24" s="12">
        <f>23+70*4+80*3+57+59+80*3+70+25+105-1-2-10-2-1-1-1-1-1-2+10-1-6-3-2-8-3-1-8-1-1-1-4-2-9-1+1-2-1-1-30-5-15+5-4-1-4-1-5-1-2-14-3-4-1-2-1-2-1-7-2-1-1-1-1-1-1-2-1-6-1-1-1-1-1-6-1-3-2-1-5-1-2-1-1-1-1-1-16-3-15-38-2-1-1-1-8-34-1+210-1+1-2-1</f>
        <v>974</v>
      </c>
      <c r="P24" s="12">
        <f>27+70*3+43+80+70-2-6-1-1-1+6-5-1-2-1-1-1-6-1-2-1-20-5-1-2-1-1-1-3-1-5-1-1-5-1-1-2-6-4-2-1-1-12-1-2-1-1-4-1-3-2-1-1-1-1-28-2-21-1+196-1</f>
        <v>451</v>
      </c>
      <c r="Q24" s="12">
        <f>34+140+49+63-1-2-5-1-1-3-1-1-1-20-1-3-1-2-2-2-1-1-2-5-5-1-2-1-1-2-1-2-1-1+30</f>
        <v>243</v>
      </c>
      <c r="R24" s="12">
        <f>26+49+73-1-1-1-1-15-2+2-1-2-4-1-1-2-2-1-1-2+15-2</f>
        <v>125</v>
      </c>
      <c r="S24" s="12">
        <f>26-5-1+1-1-1-1+41-1-1</f>
        <v>57</v>
      </c>
      <c r="T24" s="15">
        <f>8+39+40+30-5+1-1-1</f>
        <v>111</v>
      </c>
      <c r="U24" s="11">
        <f t="shared" si="0"/>
        <v>5669</v>
      </c>
      <c r="V24" s="62"/>
      <c r="W24" s="10" t="s">
        <v>37</v>
      </c>
      <c r="X24" s="4">
        <v>399</v>
      </c>
      <c r="Y24" s="4">
        <f t="shared" si="1"/>
        <v>1396.5</v>
      </c>
      <c r="Z24" s="4">
        <f t="shared" si="2"/>
        <v>997.5</v>
      </c>
    </row>
    <row r="25" spans="1:26" x14ac:dyDescent="0.25">
      <c r="B25" s="74" t="s">
        <v>37</v>
      </c>
      <c r="C25" s="32">
        <f>45+56-1+95+4-1-2-1-10-1+20-1-15-1-2-2-1-1-1+1-9-2-3-1-1-3-1-1-1-1</f>
        <v>158</v>
      </c>
      <c r="D25" s="12">
        <f>90+18+60+90+26+285+48+97+170-1-1-1-5+32+55-1-1-1-1-1-30-3-2-1-1-1-3-1-5-3-1-2-2-15-2-5-1-8-1-4-1-1-1-1-8-2-1-3-22-2-2-1+12-1-4-1-1-1-1-6-12-16-9-3-1-6-5-3-7-1-12-1-1-1-1+31</f>
        <v>771</v>
      </c>
      <c r="E25" s="12">
        <f>22+100+100+23+200+102+38+98-1-1-40-1-3+50-1-3-1-1-1-1+1-30-6-2+5-1-3-3-2-4-1-3-5-3-4-2-1-2-9-3-10-1-2-20-1-10-7-2-2-19-1-4-2-9-1-1-5-1-1-2-32-1-1-1-2-4-1-6-4-1-11-1-1-2-1-1-1-8-10-30-2-3+103+145-2-12-1-5-3-2-9-2-1-1-3-1-1-1-1-7+33-2-1</f>
        <v>602</v>
      </c>
      <c r="F25" s="12">
        <f>100+49+48-2+49+99+80+200+96+100-1-1-1-30-1-1-1+95-3+100-1-3-2-2-1+6+1-30-6-10-2+3-1-5-2-3-1-1-4-1-3-1-1-3-2-1-1-1-1-8-5-6-19-1-4-1-20-1-4-1-1-3-1-1-22-1-2-7-1-1-9-7-1-2-11-4-2-2-8-5-1-21-2-5-1-4-5-1-3-14-1-1-1-1-1-5-2-1-1-2+33-1</f>
        <v>694</v>
      </c>
      <c r="G25" s="12">
        <f>102+33+245+25+63+70+80+67-30-3+101-3-1-1-1-2-25-3-1-2-3-3-1-2-2-1-1-1-1-1-41-2-1-2-1-1-3-1-2-8-1-2-5-2-4-2-3-2-1-1-1-2-1-2-1-1-1-6-2-3-3-22-1-1-1-1-1-1-3-1+1-2+32-1</f>
        <v>588</v>
      </c>
      <c r="H25" s="12">
        <f>45+11+22+44+53+80-5-1-6-1-1-20-2-1-1-1-2-2-1+2-2-1-2-1-2-1-1-1-2-1-1</f>
        <v>198</v>
      </c>
      <c r="I25" s="12">
        <f>41+9+69+62+49+49-4-1-2-15-1-2-1-1+2-2-4-1-1</f>
        <v>246</v>
      </c>
      <c r="J25" s="12">
        <f>20+31+10+20-2-2-5-1-1+1-1</f>
        <v>70</v>
      </c>
      <c r="K25" s="15">
        <f>20+20+30+21+19-1-1-5-1-1+1-1</f>
        <v>101</v>
      </c>
      <c r="L25" s="32">
        <f>80+80+10+80+20+80+39+89+4-1-2-1+60-1-5-1-20-1-3-2-2-57+3-9-1-3-2-1-1-6-3-4-1-1</f>
        <v>417</v>
      </c>
      <c r="M25" s="12">
        <f>90+80+90+40+90+90+60+55-1-5-15-1-1+254-10-2-1-10-1-30-2-5-1-3-1-1-1-1-1-5-3-2-1-12-1-4-1-1-4-4-33-3-30-1-29-1-1-24-1-1-1-14-2+15-28-2-1-1-2-2-8-1-1-250-1-142-1-2-150+145-144-1+247-1-27-1-18-30+45+1-4-2+4-3-1-3+377-1-1+2-1</f>
        <v>583</v>
      </c>
      <c r="N25" s="12">
        <f>90+40+90+60+80+80*9+20+90+90+40+81+70+47-1-1-1-1+545-20-1-6+82-2-1-10-1-1-2-3-10-1-1-1-40-3+1-5-15-2-1-6-1-1-2-1-1-1-4-3-6-1-2-5-2-10-1-1-4-1-1-2-1-33-1-9-1-1-1-1-41-5-7-8-24-3-30-2-1-1-1-30-3-4-1-2-22-1-14-2-1-1-36-3-2-2+17-92-1-1-2-5-5-1-1-1-3+10-1-3-2-5-3-1064-1-327-1-3-170+26-2+146+350-496-3-1-16-1+216-75-6-4-10-1-2-2-46-6-18-10+51-3-4-1-3+46-1-1-1-15-3-37-1-2-1-1-1-4+305-37+1+607-2-1-4+4-2</f>
        <v>928</v>
      </c>
      <c r="O25" s="12">
        <f>80+80+70+80+80+80+80+60+80+80+46+80+80+141+79+80*3+79+28+24+50+39-1-1-6-2-1-2-2-5+552-1-3-10-1-3-1-1-3-10-1-1-1+1-1-40-1-8-1-15-4-1-11-2-1-3-1-1-1-2-1-5-2-1-1-2-1-1-4-10-1-1-1-1-2-4-1-1-4-20-24-30-56-1-4-12-1-2-2-1-14-21-1-1-1-96-2-1-1-1-2-5-1-1-11-2-1-5-1524-52-100-20+16-4+600+389-989+255-255+720-4-1-10-1-3-5-10-10-36-3-40-1-1-3-7-1-22-1-3-2-1-4-4-1-1+215-4-1-1+450-1-1-4-1-1-4-19+5-1</f>
        <v>1189</v>
      </c>
      <c r="P25" s="12">
        <f>70+65+70+80*3+54+30+10-1-40-1+452-2-5-1-1-1-5-1-2-25-2-5-11-1-3-1-2-2-3-1-2-6-5-3-1-1-2-1-5-1-2-5-18-1-1-10-1-37-1-2-2-3-1-1-2-2-1-1-1+15-28-1-4-2-1-4-1-2-1-2-3-5-3-600-109+70-1-74+50+243-88-117-5-15-2-10+498-496-3-1-2-2-10-4-13-3-13-2-1-4+59-3-2-8-1-5+580-1-2+1-1-1</f>
        <v>616</v>
      </c>
      <c r="Q25" s="12">
        <f>147-5-1-1-4-20-1+209-2+2-1</f>
        <v>323</v>
      </c>
      <c r="R25" s="12">
        <f>50+24+44+40-2-1-1-15-2-1-1-1-2-1-1-1-1-3-1-1-1-1-1-1-58-24-10-5-1-1-1-1-1+99-1-1-1-2-2+62-1+1-1</f>
        <v>170</v>
      </c>
      <c r="S25" s="12">
        <f>5+20+22-2-5-1-1-1-1+1-2-1-2+20-1-1-1-1-2</f>
        <v>46</v>
      </c>
      <c r="T25" s="15">
        <f>20+15+5+8+22-1-5-1-2-1-1-1-1-1-1</f>
        <v>55</v>
      </c>
      <c r="U25" s="11">
        <f t="shared" si="0"/>
        <v>7755</v>
      </c>
      <c r="V25" s="62"/>
      <c r="W25" s="10" t="s">
        <v>38</v>
      </c>
      <c r="X25" s="4">
        <v>898</v>
      </c>
      <c r="Y25" s="4">
        <f t="shared" si="1"/>
        <v>3143</v>
      </c>
      <c r="Z25" s="4">
        <f t="shared" si="2"/>
        <v>2245</v>
      </c>
    </row>
    <row r="26" spans="1:26" x14ac:dyDescent="0.25">
      <c r="A26" s="16"/>
      <c r="B26" s="74" t="s">
        <v>38</v>
      </c>
      <c r="C26" s="32">
        <f>79+26-2-1-1-1-1-3-1-1-1-3-15-1-1-2-1+2-2-2-1-1-1-1-2-2-2-1-1-1-3-1-11-1-2-2-2-1-1-5-2+48-1-1-1-1-1-1-1-1-1-1-1-1-1-1-1-1-1-10+75-1-4</f>
        <v>115</v>
      </c>
      <c r="D26" s="12">
        <f>100+67+66+152-3-3-2-3-1-1-1-1-8-8-1-1-1-1-1-3-1-1-3-1-4-1-30-1-3-1-1-1-18-1-2-2-5-2-2-2-1-1-1-7-1+5-8-2-5-1-1-1-1-1-3-4-3-5-3-2-1-2-1-4-1-1-1-3-2-3-20-1-1-5-21-1-7-2-8-1-4-1-1-30-1-1-1-1-1-1-1-1-45-5-2-1-3-1-2+197-1-5-1-1-1-1-1-1-3-1-2-3+49-3-3-1-1-1-1-1-4-6-2-3-2-5-1-1-1-2-1-1-1-6-2-1-1-1-4-1-1-1-2-154-1-3-1+298-9</f>
        <v>323</v>
      </c>
      <c r="E26" s="12">
        <f>101+52+34+202-1-2-2-1-1-6-1-1-1-1-1-1-1-1-7-15-28-1-1-1-3-1-2+1-1-7-3-1-1-1-1-2-1-3-1-1-2-1-3+1-1-30-1-6-1-1-24-2-1-7-1-3-2-1-13+7-8-2-3-1-1-1-3-1-2-2-3-2-3-3-1-4-3-2-4-3-4-28-1-5-3-3-1-43-7-1-11-2-3-1-1-10-1-18+396-93-4-3-2-4-1-1-5-3-1-20-1-1-2-1-6-1-1-4-1-1-3-1-3-19-1-4-6-1-5-2-1+2-1-4-1-3-5-1-1-1-1-4-1-1-2-1-1-5-2-33-2-2-8-9-2-2-1-1-2-1-1-3-1-1-1-1-1-1-1-1-20-4-2-5-1-1+604-2-1-1-1-1</f>
        <v>651</v>
      </c>
      <c r="F26" s="12">
        <f>100+18+100+100+18+81-1-2-5-2-1-1-1-2-3-1-7-24-22-1-1-1-1-11-1+1-1-1-2+1-2-1-30-1-1-7-6-10-2-24-1-2-1-1-2-1-3-1-1-1-1-14+7-1-5-1-3-1-3-1-1-1-5-3-2-1-9-1-1-1-1-1-1-5-1-1-2-1-3-5-4-2-13-3-1-4-1-3-3-3-1-43-2-7-6-1-2-1-3-1-3-1-1-30-1-1-1-5-13+274-76-6-1-2-2-1-1-1-1-1-1-10-1-2-1-1-5-1-6-1-1-1-1-3-10-24-1-4-1-10-3-1-1-1-1-2-7-2-12-1-5-1-1-1-1-1-1-1-1-2-1-1-1-3-1-1-8-2-1-2-1-6-1-6-1-1+80-20-1-5-1+599-1-1-1</f>
        <v>663</v>
      </c>
      <c r="G26" s="12">
        <f>90+1+14-3-2-1-6-1-2-1-5-16-5-1-1-1-1-1-4-1+59+38-1-1-1-1-25-4-3-1-18-4-1-3-3-1-6+5-4-2-1-1-2-1-2-2-1-1-1-2-2-1-2-1-1-1-5-1-8-2-2-18-1-7-1-3-6+186-38-1-5-5-8-1-2-1-3-1-1-3-2-7-3-3-1-1-1-1+48-1-1-5-7-1-2-5-1-2-1-1-1-5-2-1-1-1-15-8-1-1-1-1-1+78-10-1-1+313-2-1-1</f>
        <v>455</v>
      </c>
      <c r="H26" s="12">
        <f>54-2-1-1-4-2-1-1-1+30-1-1-1-20-2-12-1-2-2+2-3-2-1-1-2-1-1-2-1-1-1-1-1-2-2-9+30-4-1-2-1-1-1-2-1-2-1-2-1+48-1-1-1-1-1-2-1-1-1-5-1-2-1+149-2</f>
        <v>187</v>
      </c>
      <c r="I26" s="12">
        <f>15+47-1-4-1-1-15-1-1-10-18-1-1-3-1-1+1-1-3+30-1-3-2-3-1+86+2-1-1-2-1-1-11-1-1</f>
        <v>89</v>
      </c>
      <c r="J26" s="12">
        <f>20+15+26-5-1-1-1-2-1-1-7-3-1-1-1-1-1</f>
        <v>34</v>
      </c>
      <c r="K26" s="15">
        <f>33-5-2-1+1-1-1-1-2-1-10+47-2-1-1</f>
        <v>53</v>
      </c>
      <c r="L26" s="32">
        <f>80+80+80+15+161+130-1-4-1-1-1-20-1-4+3-3-1-1-1-1-1-16-1-1-2-1-1-1-1-1-2-10</f>
        <v>471</v>
      </c>
      <c r="M26" s="12">
        <f>80+29+80*8+100+18+26-1-8-4-1-4-6-2-6-1-1-1-1-4-1-1-1+260-1-3-3-1-2-30-1-1-5-1-1-1-1-1-1-6+1-2-1-1-5-1-4+1-1-1-1-5-5-2-1+1-2-25-3-1-22-3-3-2-10-1-1-12-1-1-1-8-1-3-2-1-1-4-42-2-1-6-2-1-1-5-1-1-1-2-1-1-1-1-1-3-1-3-1-1-1-1-1-4-1-1-1-3-1-1-31-2-3-1-2-1-1-3-3-1-6-6-1-1-15-3-1+31-1</f>
        <v>771</v>
      </c>
      <c r="N26" s="12">
        <f>15+80+80+80+80+80+80+51-1-4+80*8+90+81+40+80-2-1-2-8-1-10-1-6-1-1-1-6-35-19-1-2-7-1-1-1-1-4-1-1-7-5+261-2+1-4-1-3-10-3-40-3-1-1-3-15-1-1-1-1-1-1-1-1-1-1-16-1-1-1-1+6-1-2-2-1-1-3-5-2-4-12-1-5-1-1-1-4-5-1-18-2-1-1-7-1-37-9-1-2-5-2-1-30-1-2-1-1-1-8-1-1-1-3-3-2-2-1-4-62-3-1-4-1-1-4-2-2-2-1-1-11-3-2-1-1-1-3-2-1-1-1-3-1-3-1+49-1-3-2-1-2-1-2-2-5-1-1-2-3-1-1-2-5-1-6-1-1-1-1-1-3-1-1-24-10-2-2-1-2-1+2-14-3-9-2-5-20-14-1+504-2-1</f>
        <v>1568</v>
      </c>
      <c r="O26" s="12">
        <f>80+80+80+55+80+35-3+80*15+140+23+126+52+89+70-5-1-2-2-8+1+1-10-1-2-1-2-1-6-50-27-5-2-1-2-1+1-1-1-11-1-1-1+290-1-1-4-1-1+10-10-1-1-2-2-4-1-3-40-1-1-15-1-1-1+1-1-1-1-2-1-15-1+7-1-1-3-2-2-1-5-1-2-23-1-1-5-2-2-2-6-5-1-18-1-1-1-2-4-1-34-5-1-6-5-5-1-30-2-1-10-1-1-1-4-3-4-91-1-1-2-1-7-1-1-15-3-1-2-1-1-1-5-1-2-3-3-3-1-3-6-1-1-1-1-1-5-5-3-4-3-1-1-1-1-1-1-1-6-2-1-9-3-1-13-6-1-2-2-1-1-1-1-1-10-1-1-1-2-1-1-1-1-3-5-20-5-1-1</f>
        <v>1658</v>
      </c>
      <c r="P26" s="12">
        <f>69-1+80*5+140+62+69+19+80-2-1-8-1+1-4-1-1-1-6-15-11-4-2-2-1-1-8+296-2-1-1+3-1-1-5-3-25-1-1-1-5-1-1-1-1-2-1-5-2-6-1+3-1-4-3-1-10-1-1-5-1-2-3-11-4-2-1-16-1-1-2-1-30-2-6-1-1+1-1-2-1-7-2-50-3-2-2-1-1-1-1-3-2-2-2-1-1-1-1-1-3-4-3-5-1-1-1-1-4-1-1-1-1-1-1-5-3-1-3-1-1-3-1-3-3-1-1-9-2-1-1-1-9-2-1-5-10-2-1</f>
        <v>707</v>
      </c>
      <c r="Q26" s="12">
        <f>39+140+85+80+30-4-2-1-3-2-1-2-1-1-1-5-1-3-1+151-1-1+1-1-1-20-3-1-1-1-1-1+2-2-2-4-1-2-1-1-1-1-1-6-3-1-1-1-14-1-1-17-1-1-2-1-2-1-3-1-1-1-2-1-2-1-3-1-1-3-1-1-1-1-1-1-1-2-1-1-1-2-2-5</f>
        <v>358</v>
      </c>
      <c r="R26" s="12">
        <f>15+25+31+34+45+60-2-1-1+76-1-15-2-1-1+1-1-1-1-1-1-1-6-1-1-19-3-1-1-1-1-2-1-1-2-1-1-1-1-2-1-1-1</f>
        <v>208</v>
      </c>
      <c r="S26" s="12">
        <f>13+38-1+25-5-1-1-1-1-1-1-2-1-3-1</f>
        <v>57</v>
      </c>
      <c r="T26" s="15">
        <f>7+66+31-1+25-5+1-1-1-2-1-1-1-1-2</f>
        <v>114</v>
      </c>
      <c r="U26" s="11">
        <f t="shared" si="0"/>
        <v>8482</v>
      </c>
      <c r="V26" s="63"/>
      <c r="W26" s="87" t="s">
        <v>39</v>
      </c>
      <c r="X26" s="4">
        <v>1090</v>
      </c>
      <c r="Y26" s="4">
        <f t="shared" si="1"/>
        <v>3815</v>
      </c>
      <c r="Z26" s="4">
        <f t="shared" si="2"/>
        <v>2725</v>
      </c>
    </row>
    <row r="27" spans="1:26" x14ac:dyDescent="0.25">
      <c r="A27" s="16"/>
      <c r="B27" s="86" t="s">
        <v>39</v>
      </c>
      <c r="C27" s="75">
        <f>106-1-3-1-1-3-1-3-15-1-1-5-1-1-1-1+3-1-1-1-2-1-1-1-1-1-2-1-1+28-1-1-1-4-1-1-1-2-1-2+50-2+60-3-2-3-1-1-1-1-1-1-15-1-1</f>
        <v>146</v>
      </c>
      <c r="D27" s="20">
        <f>31-4+43+180+50-4-5-1-2-1-3-1-8-1-1-55-1-1-3-1-1-1-2-30-3-1-8-1-1-1-1-2-1-2-1-1-2-1+5-3-1+152-2-5-3-2-1-1-1-1-3-1-1-186-2-1-25-1-1-21-1-2-1-1-1-3-1+200-1-1-1-2-4-2-1-9-1-1-2-1-8-3-1-2-7-2-1-5-1-1-1-3-2-2-2-1-1-2-1-1-1-2-2-1-4-1-1-2-8-3-3-3-1+176-3-1-2-1-2-2+101-1-2+201-1-5-2-7-1-1-1-1-2-6-1-1-1-1-35+1-1-1-4-1</f>
        <v>524</v>
      </c>
      <c r="E27" s="20">
        <f>48-4+246-1-1-1-1-2-1-1-1-1-8-15-1-1-87-2-1-1+75-1-4+2-5-4+1-1-1-1-6-5-1-30-2-6-2-1-1-12-1-18-1-1-5-3-1-2-1-1-2-1-1+4-3+273-1-10-8-1-1-3-4-3-1-151-12-2-1-25-5-1-1-1-19-4-2-1-2-1-1-1-1-3-1-1-1-1-3-1-1-3-3-6-1+200-3-7-3-1-1-2-1-2-1-15-4-3-1-1-2-3-9-1-4-2-1-2-4-1-9-1-2-1-2-5-2-2-2-2-3-1-1-4-4-1-8-4-2-10-1-5-2-7+267-5-1-4-1-2-1-3-3+89-12-2+177-5-1-6-1-3-2-4-1-1-1-1-1-8-2-2-1-1-50-1-1-1-1-3-3-1-3-41-63-1-3-1-1-1-1</f>
        <v>434</v>
      </c>
      <c r="F27" s="20">
        <f>1+86-5-1+98+53-1-1-9-24-1-65-2+160-1-1-1-2+1-4+1-24-2-2-1-30-6-1-2-1-20-1-10-1-5-1-1-2-1-1-1-1+7-1-1+243-2-5-1-5-1-1-4-1-1-4-3-76-1-1-1-1-5-25-5-1-1-1-25-2-1-3-7-1-1-1-1-1-1+98-4-1-2-4-1-8-1-1-2-1-3-11-3-2-1-1-1-3-4-1-1-1-2-3-3-6-3-6-7-5-1-2-1-5-4-1-2-3-1-2-1-2-1-10-2-1-1-2+266-3-3-1-1-2-3-5-3-2+269-3-1-5-3-1+2-7-5-4-1-1-1-1-1-1-7-4-2-2-1-50-1-1-1-41-3-61-1-1-1-1-1</f>
        <v>490</v>
      </c>
      <c r="G27" s="20">
        <f>16+100-3-1-2-16-1-24+57-1-1-1-1-1-1-1-13-1-1-25-3-2-9-2-3-10-2-3-5-1-1-1-1-2-1+5-1+102-5-2-2-2-115-2-5-5-1+196-25-7-1-1-11-1-3-1-1-1-2-7-4-1-1-1-2-2-5-2-1-1-4-3-1-2-5-2-2-2-2-9-3-1-1-1-1-1-2-3+149-5-1-1-1-3-1-1+122-2-1-2-1-5-1-2-1-2-1-1-3-1-1-1-1-2-1-1-1-1-48-1-3-1-1</f>
        <v>242</v>
      </c>
      <c r="H27" s="20">
        <f>5-2+42+26-1-1-2-4+25-2-20-2-1-5-1-5-1-1-1+2+21-4-2-48-1-5-4-3-1-4+100-1-1-2-1-1-2-2-1-2-2-2-2-2-1+119-3-2-1-1-2-1-1-1-1-1-1-1-37-1-1-1-1</f>
        <v>140</v>
      </c>
      <c r="I27" s="20">
        <f>74-1-4-1-1-15-4-2-1+2-1-1-42-1-1-1+60-1-1-2-2-2-1-2-1-10+45+15-1-1-1-1-1-34-1-1-2</f>
        <v>55</v>
      </c>
      <c r="J27" s="20">
        <f>4+11+25-5+1-36+30-1-1-1-1-1+50-1-1-1-2-23</f>
        <v>47</v>
      </c>
      <c r="K27" s="76">
        <f>7+25-5-1+1-1-2+11-1-27</f>
        <v>7</v>
      </c>
      <c r="L27" s="32">
        <f>72+80+75+11+47-3-2-7-1-1-1-1-1-20-1-3-1-1+3-1+41-1-1-3-1-1-1-4-2+30-1-2-18-3-1-2-1-1-1-1-6+71-2-1-2-2-1-1-8-1-1-9-1-1-1</f>
        <v>304</v>
      </c>
      <c r="M27" s="12">
        <f>1+80-3+80*2+27+75+45-1-2-5-1-5-5-1-3-8-1-6-1+75-10-1-1-1+73-1-1+1-2-2-1-30-1-1-5-1-2-1-3-3-3-3-10-1-3-1-5+5-2-10-1-1+332+5-4-4-1-1-1-5-56-4-1-25-5-2-2-12-2-1-2-1-2-1-1-5-1-3-2-1-1-3-2-2-5-1-7-1+59-1-1-2-1-2-81-20-1-1-3-1-1-1-2-3-2-3-3-1-2-9-7-2-1-2-1-1-1-1-2-2-3-1-1-1-1-9-1-9-3-6-1-1-1-2-4+50-2-5-1-4-1+246-4-3-2-1-1-1-2-7-1-10-1-1-1-2-38-2-40-1-2-1-4-1-1</f>
        <v>573</v>
      </c>
      <c r="N27" s="12">
        <f>80+13-1-2+80*5+79+70+37+19-4+160+29-1-7+1-1-1-1-10-4-1-1-1-10-8-1-1-35-2-1-1+99-1-25-1-12-2-4-1-1-1+98+1-1-1-5-28-1-2-2-1+5-3-1-13-1-1-1-40-1-1-1+1-1-1-15-2-2-1-3-3-1-2-3-8-1-5-25-2-1-2-6-1-1-1-2-1+118-1-1-5-1-1+3-3-10-2-1+564+1-4-9-5-7-2-4-5-1-1+23-2-1-4-5-1-1-1-98-13-1-9-40-3-10-10-1-3-47-2-1-1-16-1-1-1-2-1-2-1-41-1-2-4-1-4-9-1+99-1-4-4-1-1-3-3-1-1-5-5-1-2-1-2-13-26-1-8-6-1-1-1-2-1-3-67-1-1-1-2-10-1-2-1-1-1-3-1-1-5-1-4-2-4-1-1-5-8-2-4-8-3-2-5-5-1-1-1-8-1-1-5-10-1-2-4-5-1-1-2-4-1-16-1-1-8-1-1-1-1-7-1-4-2-8-1-2-4-2-10-1-1-9-7-1-2-20-4-2-1-1-11-10+119-3-2-10-5-2-2-5-1+509+80-8-3-5-1-1-1-1-1-1-1-4-1-3-1-48-1-1-4-19-14-3-1-1-1-2-3-1-10-1-1-2-1-2-5-19-1-1-2-2-1-63-2-3-1-1-20+1+1-1-2-2-10-3-2-1-1</f>
        <v>1107</v>
      </c>
      <c r="O27" s="12">
        <f>65+80+80+45+80*5+69+67+50-4+80+40+38-1-1+1-1-1-1-1-2-5-15-4-3-14-1-2-50-30-1-1-1-59-4-1+147-1-8-5-1-1-1-2+5-1-1-6-1-2-1-1-40-1-1-1-15-1-1-5-2-1-1-1-3-7-2-7-4-1-7-30-1-2-7-2-1-1-2+1-10-1-1+2-2-3-8-1-1-1-1+579-3-5-1-92-8-13-1-40-5-15-10-1-53-1-2-1-1-1-18-2-1-1-7-5-1-2+100-3-1-1-1-1-1-1-2-2-2-1-9-14-1-5-1-8-2-1-1-1-1-1-3-45-1-1-1-1-2-1-1-1-1-1-3-1-2-1-13-3-6-1-1-2-1-2-2-5-1-1-9-1-1-5-2-4-5-1-2-3-2-1-11-1-2-7-1-5-1-1-10-3-1-12-5-2-8-1-8-1+179-18-1-4-6-2-1-27-14-2-1-17-5-5-7-1-1-2-35-2-2-4-1-1-1-1+448-3-3-3-1-1-7-1-1-1-1-1-3-2-5-1-57-2-1-4-13-22-1-1-1-2-6-1-1-2-2-13-1-1-1-1-2-58-1-2-1-2-1-6-20-1-8-5-2-2-1-1</f>
        <v>1053</v>
      </c>
      <c r="P27" s="12">
        <f>11-1+77+82-1+2+5-6-5-3-10-15-1-15-1-1-1-67-1-1+297-10-5-1-1+5-2-1-3-10-1-25-1-2-1-1-5-1-1-1-4-1-1-1-1-10-3-1-2-1-1-1-1-1-2+1-1-2+2-1-3-9-1-1-1-1+274-1-2-3-1-80-7-4-30-1-15-5-1-39-2-1-1-1-2-1-4+200-1-1-2+1-1-3-3-1-1-1-1-1+59-1-2-2-1-1-1-1-12-2-1-3-12-1-1-2-1-1-1-2-3-12-3-3-1-2-2-1-2-1-5-8-1-2-6-3-8-4-1-1-3-9-1+150-15-3-12-1-2-7-2-2-1-1-3-2-2-20-5-4-1+163-1-3-1-10-1-1-2-1-1-2-2-18-9-10-1-1-1-1-1-1-2-1-9-1-1-36-2-1-1-1-1-1-3-1-1-1-5</f>
        <v>511</v>
      </c>
      <c r="Q27" s="12">
        <f>55+41-1-15-2-3-1-18+189-3+12-6-1-20-3-1-1-1-2-5-2-4-1+2-1+101-1-3-5-3-1-2-32-1-1-5-3-10-4-1-11-1-1-2+1-4-1-3-1-2-1-3+58-1-2-1-2-2-1-1-1-1-7-2-2-1-1-5-2-1-2-2-1-2-1-6-1-4-4-1-4-4-1-1+30-2-1-1+50+60-6-1-4-3-1-9-4-3-1-1-1-1-5-2-17-1-1-1-1-5-2-5-1-1</f>
        <v>258</v>
      </c>
      <c r="R27" s="12">
        <f>29+42+29+26-2-1-2-4-1-1+21-1-1-15-1-2-1-1-1-5-1-1+2-1+25+17-1-13-6-1-6-2-2-2-1-3-2-4+30-3-1-7-1-1-1-2-3-1-1-1-2-2-1-12-1-1-1-1-1-4+69-1-2-3-2-1-3-24-2</f>
        <v>119</v>
      </c>
      <c r="S27" s="12">
        <f>6+25-2-1-1-5-1+1-2+20-1-4-1-1-1-4-2-2-5-1-2-1-1-1-1+30-3-1-1-8-1</f>
        <v>28</v>
      </c>
      <c r="T27" s="15">
        <f>13+34+24+1-1-5+1-1-1-4-10-1-1-6-4-1-1-1+20-3-1-14-1</f>
        <v>37</v>
      </c>
      <c r="U27" s="11">
        <f>SUM(C27:T27)</f>
        <v>6075</v>
      </c>
      <c r="V27" s="64"/>
      <c r="W27" s="87" t="s">
        <v>40</v>
      </c>
      <c r="X27" s="4">
        <v>998</v>
      </c>
      <c r="Y27" s="4">
        <f t="shared" si="1"/>
        <v>3493</v>
      </c>
      <c r="Z27" s="4">
        <f t="shared" si="2"/>
        <v>2495</v>
      </c>
    </row>
    <row r="28" spans="1:26" x14ac:dyDescent="0.25">
      <c r="A28" s="16"/>
      <c r="B28" s="86" t="s">
        <v>40</v>
      </c>
      <c r="C28" s="75">
        <f>50+19-4-1-1-1-1-10+45+40-1+40-3-15-1-7-2-2-1-1-1-1-1-1-1-4-2-2-1-1-2-2-4-1-2-1-1-5-1-2-1-1-2-1-2-1-1-2-1-1-5-1-1-2-1-1-1-1-1-2-1-1+34-1</f>
        <v>109</v>
      </c>
      <c r="D28" s="20">
        <f>11+99+87-1-1-2-2-2-1-2+5-1-1+198-2-1-10-1-1+118-2+120-1-3-1-1-30-3-19-12-2-1-1-20-2-4-6-1-6-3-3-10-3-1-3-2-4-1-3-6-1-4-1-6-3-1-1-2-3-9-2-2-2-3-1-1-1-1-1-1-2-2-1-2-4-8-1-20-4-1-2-2-1-1-5-1-1-1-1-1-1-1-1-2-1-1-1-3-2-1-1-2-1-1-7-1-3-1-5-2-1-1-3-1-5+180-3-2-2-5-1-2+90-3-3-1-1-1-1-2-1-3-3-2-1-1-2-1-4-3-2-1</f>
        <v>519</v>
      </c>
      <c r="E28" s="20">
        <f>96+50+36-3-2-1-5-4-1-2+1-1-3-1+300-1-2-1-1-2-10-1-2-2+100-2+61-1-3-1-1-1+133-2+1-30-6-26-3-1-34-2-56-5-26-3-14-1-1-35-2-4-1-9+6-4-3-1-1-1-1-1-17-1-1-1-4-20-3-1-1-1-1-2-1-3-2-1-6-2-2-16-1-1-2-3-2-3-1-1-1-2-1-4-3-6-2-1-11-1-56-6-1-1-6-1-1-1-1-2-1-1-1-6-4-1-1-2-1-2-4-1-1-1-2-1-1-1-1-1-1-1-9-1-1-1-1-1-1-1-1-3-4-1-3-1-10-3-1-4-6-1+1-1-1-1-5-1-1-2-1-1-1-2-3-3-1-1-1-6-5-4+199-2-3-3-4-3-1-1-2-3-1-4-1-1-1-2-1-1-3-22-2-14-4-1-1-1-1-1-2-1-2-1-1+52-2-5-3-1-1-2-1</f>
        <v>264</v>
      </c>
      <c r="F28" s="20">
        <f>100+100+62-1-2-5-1-1-2-1-1-1-4-2-1-1-1-15+239-1-1-2-1-1-1+1-1-1-1-2-30-6-1-1-1-30-3-15-2-48-1-5-26-1-2-2-1-6-22-1-4-1-2-1-4-7+6-1-1-4-1-1-1+49-1-3-2-3-1-8-1-1-1-4-7-1-3-2-5+251-2-1-2-1-6-8-5-1-3-1-3-1-1-1-1-2-5-1-1-8-6-8-51-6-1-1-1-1-2-3-1-5-1-2-1-1-2-3-1-1-31-1-5-1-2-1-11-1-5-1-1-1-1-3-2-8-7-1-1-2-6-2-1-2-4-3-2-1-4-2-5+130-1-2-3-2-1-1-1-1-5-1-3+70-1-5-7-1-3-1-1-1-1-1-1-6-1-3-1-2-1-3-1-1-1-2-1-1-2-1-1+115-7-3-1</f>
        <v>444</v>
      </c>
      <c r="G28" s="20">
        <f>23+100-2-1-2-1-1-3-3+98-1-20-1-2-1-2+118-2-1-25-3-1-27-10+2-15-1-4-21-1-6-2-1-6-2-1-2-1-2-3+2-4-1-1-4-1-4-3-2-2-1-1-2-1-3-1-2-1-1-1-1-1-1-1-1-1-1-1-2-42-6-1-1-1-3-1-1-6-2-1-1-1-5-1-3-1-1-1-1-1-3-1-4-7-3-1-1-5-2-4-1-7+50-2-1-1+50-2-3-1-14-1-4-1-3-2-1-1-1-1-2-1-1-1-3-2-1-2+47-3-3-1-1</f>
        <v>87</v>
      </c>
      <c r="H28" s="20">
        <f>64-2-1-2-1-2+80-20-2-12-1-1-5-2-2-4-4-3-1+1-1-1-2-2-2-2-1-2-1-1-1-9-1-2-2-1-1-2-1-3-2-2-3-3-1-2-2-1-1-1-1-2-1-2-1-1-1-1-1-1-1-1-1-1-1-1-1+117-3</f>
        <v>119</v>
      </c>
      <c r="I28" s="20">
        <f>45+3-1-2+40-1-15-1-1-2-2+1-1-3-1-1-1-1-1-1-1-1-1-2-1-1-1-1-1-1-1-1-1-1-1</f>
        <v>38</v>
      </c>
      <c r="J28" s="20">
        <f>29+20+2-5+1-1-1-1-3-1-1</f>
        <v>39</v>
      </c>
      <c r="K28" s="76">
        <f>17+29+6-1-5+1-1-1</f>
        <v>45</v>
      </c>
      <c r="L28" s="32">
        <f>40+41+45-1-2-1-20-1-1+2-3-2-2-1-1-1-2-1-2+33</f>
        <v>120</v>
      </c>
      <c r="M28" s="12">
        <f>40+80+52+45-1-1-4-1+45-1-1-1-2-3-1-30-5-2-1-10-2-1-3-3-2-2+3-2-2-1-1-1-5-1-2-2-5-1-1-1-2-2-1-1-1-1-6-1-2-1-1-10-1-1-1-3-2-6-1-1-5-3+100-1-3-1-3-1-3-1-1-1-2+50-3-1</f>
        <v>239</v>
      </c>
      <c r="N28" s="12">
        <f>14+80+80*2+40+31+19+60-1-1-1-1-1-1-7-1+100-1-1-1+1-2-1+50-2-1-1-40-15-1-1-1-1-2-3-2-4-4-1-1-1-3-2-1+6-2-2-1-2-1-2-16-5-1-1-4-2-1-5-7+1-1-1-2-1-1-2-2-2-1-1-1-3-4-1-1-1-4-4-1-16-1-1-2-1-1-1-3-1-1-6-1-2-1-3-1-1-1-8-3-5+149-1-8-5-1-1-1-3-8-2-1-1-1-1-2-6+118-7-3-1</f>
        <v>523</v>
      </c>
      <c r="O28" s="12">
        <f>55+80*3+50+36+60+62-1-1-1-1-3-1-1-1-1-1+50-1-1-1+1-1-2-40+50-15-1-1-2-2-1-1-2-6-2-3-1-1-4-4-1+5-1-2-1-2-1-7-16-5-1-1-1-1-1-2-2-1-2-1-18-1-1-1-2-5-2-1-1-1-4-1-1-3-1-2-1-1-1-3-1-18-1-1-1-1-1-1-3-1-1-1-5-1-4-1-12-1-1-1-3+149-2-4-1-5-1-4-1-3-1-1-9-4-1-1-4-1-3-1+49-2-1-5-3</f>
        <v>485</v>
      </c>
      <c r="P28" s="12">
        <f>70+45-1-1-2-1-1+144-1-1-2-1+100+6-2-2-1-25-1-1-3-1-1-1-3-1-1-2-1-1+4-2-1-1-3-11-3-1-1-4-2-1-16-1-1-2-3-1-2-1-3-1-1-1-3-1-5-1-1-1-2-1-2-1-4-4-3-3-1-2-6-1-2+35-3</f>
        <v>236</v>
      </c>
      <c r="Q28" s="12">
        <f>23+10+32+24-1-1+45+50-20-5-7-1-2+2-3-2-1-5-1-1-2-1-2-1-2-1-1-1-2-1-1-2-6-1-1-1-1-1-3+10-1-3</f>
        <v>111</v>
      </c>
      <c r="R28" s="12">
        <f>17+3-1+44-1+20-15-3+2-1-1-1-1-1-1-2-1-1-1-1+10-3</f>
        <v>61</v>
      </c>
      <c r="S28" s="12">
        <f>1+30+20-5-2+1-1-1-1</f>
        <v>42</v>
      </c>
      <c r="T28" s="15">
        <f>35+15-1-1-5+1-1-1-1</f>
        <v>41</v>
      </c>
      <c r="U28" s="11">
        <f>SUM(C28:T28)</f>
        <v>3522</v>
      </c>
      <c r="V28" s="64"/>
      <c r="W28" s="87" t="s">
        <v>41</v>
      </c>
      <c r="X28" s="4">
        <v>1031</v>
      </c>
      <c r="Y28" s="4">
        <f t="shared" si="1"/>
        <v>3608.5</v>
      </c>
      <c r="Z28" s="4">
        <f t="shared" si="2"/>
        <v>2577.5</v>
      </c>
    </row>
    <row r="29" spans="1:26" x14ac:dyDescent="0.25">
      <c r="A29" s="16"/>
      <c r="B29" s="86" t="s">
        <v>41</v>
      </c>
      <c r="C29" s="75">
        <f>41-15-1-1-1+3-2-1-1-2+25+14+5-1-3-1-1</f>
        <v>58</v>
      </c>
      <c r="D29" s="20">
        <f>75-1-1-1-1-1-1-30-3-1+80-1+5-3-1-1-1-1-1-5-3-1-2-1-1+92+3+3-1-1-2</f>
        <v>192</v>
      </c>
      <c r="E29" s="20">
        <f>37+44-1-3-1+1-1-30-6+100-1+48-1+6-1-3-1-6-1-10-1-1-3-1-1-1+130-1-1-1-2-1-2-1</f>
        <v>283</v>
      </c>
      <c r="F29" s="20">
        <f>48+88-1-1-1-1+1-30-6+80-1-1-1+7-1-3-1-1-1-1-6-3-1-2-1-1-1+28+100+20-3-1-1-8-1-2-1-2</f>
        <v>287</v>
      </c>
      <c r="G29" s="20">
        <f>18-2+44-25-3-10+40-1+5-1-2-4-1-1-1-1-1-4-1+100-1-2-1-2-1-1</f>
        <v>141</v>
      </c>
      <c r="H29" s="20">
        <f>35-2-1-1-20-2-5+26+2-1-2-1-1-1-1-4+24+19+3-1-1</f>
        <v>65</v>
      </c>
      <c r="I29" s="20">
        <f>30-2-15-1+2-1-3+13+1-1</f>
        <v>23</v>
      </c>
      <c r="J29" s="20">
        <f>21-5+1-1-1+18+1</f>
        <v>34</v>
      </c>
      <c r="K29" s="76">
        <f>23-5-1-1-1+1-1+19+1</f>
        <v>35</v>
      </c>
      <c r="L29" s="32">
        <f>15+4+60+15-1-20+3-3-1-1-1+127+3</f>
        <v>200</v>
      </c>
      <c r="M29" s="12">
        <f>10+19+38+44+89-2-1-1-1-30-5+100-1-1+47+5-1-5-1-1-1-3-1-5-1-3-1-1</f>
        <v>286</v>
      </c>
      <c r="N29" s="12">
        <f>30+48+100+177-1-1-1-2-2-1-2-1-3-40+1-1-15+200+109+6-2-2-1-5-1-1-1-2-1-1-1-10-1-3-1+15-4-2-36-1-7-1-2-1-1-2-1-6-1-1-4</f>
        <v>513</v>
      </c>
      <c r="O29" s="12">
        <f>34+70+23+44+187-1-1-1-2-1-1-2-2-10-1+1-40-15+90+111-1-1+103-1+7-1-5-2-1-7-1-1-2-1-1-1-1-1-3-1-1+27+1-3-11+1-5-2-1-2-1-7-1-1</f>
        <v>555</v>
      </c>
      <c r="P29" s="12">
        <f>10+30+70+58+8-2-1-18-1-1-25-5+100+50-1+5-3-3-2-1-3-1-1+30-1-5-1-2-1-2</f>
        <v>281</v>
      </c>
      <c r="Q29" s="12">
        <f>50+20+27+30-8-1-20-3+2-1-1-2-2-2+28+30-4-1-1-1-2</f>
        <v>138</v>
      </c>
      <c r="R29" s="12">
        <f>20+17+15-1-2-15-2+26+2-1-1-1+19+1-3</f>
        <v>74</v>
      </c>
      <c r="S29" s="12">
        <f>12+28-1-5-1+1-1-1+17+3-1-1</f>
        <v>50</v>
      </c>
      <c r="T29" s="15">
        <f>17+29-5+1-1-1-1-1+9+1</f>
        <v>48</v>
      </c>
      <c r="U29" s="11">
        <f>SUM(C29:T29)</f>
        <v>3263</v>
      </c>
      <c r="V29" s="64"/>
      <c r="W29" s="88" t="s">
        <v>42</v>
      </c>
      <c r="X29" s="4">
        <v>1673</v>
      </c>
      <c r="Y29" s="4">
        <f t="shared" si="1"/>
        <v>5855.5</v>
      </c>
      <c r="Z29" s="4">
        <f t="shared" si="2"/>
        <v>4182.5</v>
      </c>
    </row>
    <row r="30" spans="1:26" x14ac:dyDescent="0.25">
      <c r="A30" s="16"/>
      <c r="B30" s="86" t="s">
        <v>43</v>
      </c>
      <c r="C30" s="75">
        <f>48+36-1-1-1-1-3-1-1-15-1-1-1+60-1-1-1-1-1-1-3-1-2-6-1-4-1-2-1-1-1+0-1-1-2-1-1+1-1-1-1-1-3-1-1-1-1-5-5-1-1-1+831-1+1-1-1-4</f>
        <v>884</v>
      </c>
      <c r="D30" s="20">
        <f>50+42-1+198-1-2-1-1-1-1-1-1-2-1-1-1-1-1-1-2-3-1-1-1-30-3-1-1-2-2-2-4-1-1+296-6-1-5-1-2-3-1-2-1-2-1-13-2-1-1-2-1-2-1-1-1-1-1-3-4-1-1-1-2-2-3-21-1-1-4-1-1-1-2-1-2-2-2-3-1-2-1-3-2-1-1-1-1-1-5-1-1-1-3-4-5-1-1-12+19-1-2+1-1-2-5-1-1-1-2-1-1-2-1-5-1-1-3-3-1-1+31-2-1-1-3-1-1-1-2-9</f>
        <v>348</v>
      </c>
      <c r="E30" s="20">
        <f>30+19-10-1+138-1-1+139-1-2-1-1-4-1-1+1-1-1-1-3-1-1-1-2-1-1-4-1-3-1-1-1-1+1+1-30-1-6-5-1+200-1+187+1-2-4-1-3-1-1-1-4-1+1-3-1-2-3-1-1-2-1-11-1-1-1-1-1-1-2-1-1-1-3-1-1-2-4-6-43-1-1-2-3-2-8-2-2-1-2-1-1-3-1-1-3-2-1-1-1-8-2-2-1-1-5-3-1-1-3-4-1-2-1-1-1-5-1-5-1-20-2-3-3-2-1-1-3-1-1-1-2-1-1-1-1-1-5-4-1-1-2-1-1-1-1-1-1-1-1-1-1-2-1-1-1-3-1-2-1-1-6-1-2-3+231-1-8-6-1-6-1-1-1-1-2-1-1-2-1-1-2-1-1-2-1-2-1-1-2-1</f>
        <v>513</v>
      </c>
      <c r="F30" s="20">
        <f>93+24-1-1-2-1+100+170-1-1-1-1-2-2-1-1-1-2+1+297-2-30-6-1-1-1-2-3-1-1-3-1-1-2-1-1-1-4-2-5-1-5-1-1-3-2-1-4-1-1-2-1-1-1-7-1-5-1-1-4-1-2-3-1-1-4-2-3-43-1-1-2-16-1-1-1-2-2-3-1-2-3-2-1-3-1-1-1-1-8-1-1-1-1-1-2-1-1-5-5-1-5-1-2-9-1-5-11+20-1-2-1-2-3-2-1-1-1-1-5-2-1-1-2-1-2-1-1-1-1-3-1-1-1-1-2-5-1-3-1-3+230-1-1-5-1-6-4-1-2-4-4-2-1-1-1-1-2-2-1-1-1-2-2-1</f>
        <v>534</v>
      </c>
      <c r="G30" s="20">
        <f>7-5-2+205-1-1-1-1-1-1-2-1+149-25-3-1-1-1-4-1-10-3-1-2-2-1-1-2-2-1-1-5-2-1-2-1-2-5-1-4-1-1-3-1-1-3-1-18-1-1-4-1-2-1-1-3-2-1-1-2-1-3-1-1-3-5-3-1-1-5-1-3-1-1-1-2-5-1-1-9-1-1-1-1-1-1-2-1-2-1-2-1-2-1-1-1-1-1-3-1-3-1-1-1-1-3-5-1-1-1-1+1-1-3-1-1-1-2-2-4-4-2-1</f>
        <v>96</v>
      </c>
      <c r="H30" s="20">
        <f>0+80-1-2+2-1-1-2+1-1-1-1-20-2-2-1-1+79-2-2-1-1-1-1-2-1-2-3-1-1-2-1-2-1-1-1-1-2-1-2-1-1-1-1-5-1-2-3-2-1-2-3-2-2-1-7-1-1-1-1-1-2-2-1-2-1</f>
        <v>46</v>
      </c>
      <c r="I30" s="20">
        <f>10-1-1+35-1-1-1-1-1-1-1-3-1-15-1-1-1+40-1-1-1-2-10-1-1-1-1-1-1-1-1-5-7-2-8-1-1-1-3-1+55-1-1-1</f>
        <v>54</v>
      </c>
      <c r="J30" s="20">
        <f>20+16-5-1-1-2-1-1-1</f>
        <v>24</v>
      </c>
      <c r="K30" s="76">
        <f>29+11-5-1-2+1-1-1</f>
        <v>31</v>
      </c>
      <c r="L30" s="32">
        <f>80+19-1-1-20-10-2+60-3-2-62-10+2-2-1-1-3-1+1-1-3+118-3+2</f>
        <v>156</v>
      </c>
      <c r="M30" s="12">
        <f>80+63+36+52-1-1-1-1-1-1-1+147-30-5-2-1-2-2-5-1-8-1-1-1-2-1-2-1-22-3-1-1+3-1-1-4-2-1-4-5-2-2-1-4-1-5-1-1-1-7-4+45-2-1-2-1-2-3-1-2-3+54-1-1-1-3-1+2</f>
        <v>312</v>
      </c>
      <c r="N30" s="12">
        <f>80+78+56+42+11-10-1+166-1-1-1-1-1-1-1-1-1-4+1+299-40-1-1-15-1-1-4-1-1-1-2-1-1-2-1-2-2-5-1-1-1-1-1-1-2-1-2-37-2-1-1-1-3-2-2-1-1-1-1-12-6-1-1-1-1-2-4-1-5-1-4-4+46-2-1-2-1-1-3-1-1-1-1-1-4-1-3+68-24-5-5-1-1-1-2-2-1-1-2</f>
        <v>566</v>
      </c>
      <c r="O30" s="12">
        <f>79+71+18+2+56-1-1+83-1-2-2-1-1-1-1+440-40-1+1-15-1-3-2-1-3-1-1-5-2-1-4-2-1-1-1-4-1-1-34-4-2-1-3-1-1-3-1-2-1-12-2-5-3-2-2-1-5-1-2-1-14+46-1-1-1-1-1-1-2-2-1-4-1-1-3-1-3+70-13-1-1-1-1-1-1-1-1-3-2</f>
        <v>611</v>
      </c>
      <c r="P30" s="12">
        <f>69+31-5-1+104-3-2-1-1-1-1-1-25-5-1-1-1-3+192-2-1-1-3-1-3-1-1-1-4-1-2-2-2-16-1-2-1-2-1-1-1-5-3-1-1-1-2-1-5-1-4-7-1-1-1-1-1-1-1-1-1-1-1-3+70-1-1-1-1-1-1-1-6-1</f>
        <v>305</v>
      </c>
      <c r="Q30" s="12">
        <f>70-1-1+26-1-1-1-20-1-3+94-1-2-1-2-2-2-1-1-1-1-1-6-2-1+2-2-1-3-1-1-1-1-1-2+30-3</f>
        <v>153</v>
      </c>
      <c r="R30" s="12">
        <f>20+16-1+26-1-15-2+38-2-1-1-1-1-1-1+2-2-1-1-1-2-1-1-1</f>
        <v>65</v>
      </c>
      <c r="S30" s="12">
        <f>20+4-1-1-5-1+1-2+29</f>
        <v>44</v>
      </c>
      <c r="T30" s="15">
        <f>24+10-5-1-1+1-1+5</f>
        <v>32</v>
      </c>
      <c r="U30" s="11">
        <f>SUM(C30:T30)</f>
        <v>4774</v>
      </c>
      <c r="V30" s="64"/>
      <c r="W30" s="88" t="s">
        <v>44</v>
      </c>
      <c r="X30" s="4">
        <v>1063</v>
      </c>
      <c r="Y30" s="4">
        <f t="shared" si="1"/>
        <v>3720.5</v>
      </c>
      <c r="Z30" s="4">
        <f t="shared" si="2"/>
        <v>2657.5</v>
      </c>
    </row>
    <row r="31" spans="1:26" ht="21" thickBot="1" x14ac:dyDescent="0.3">
      <c r="A31" s="16"/>
      <c r="B31" s="86" t="s">
        <v>42</v>
      </c>
      <c r="C31" s="77">
        <f>7+41-1-15-4-1-15+3+31-2-9-2-1-1-15</f>
        <v>16</v>
      </c>
      <c r="D31" s="52">
        <f>34-1-1-1-1+82-2-2-1-30-3-2-1+5+88-3-1-2-19-9-2-2-1-1-1-1-2-1-35</f>
        <v>84</v>
      </c>
      <c r="E31" s="52">
        <f>53-1-3-1-1+133-2-2+1-1-30-6-3-7+6+126-3-6-1-1-1-50-9-1-2-3-1-1-1-1-1-2-1-2-1-63</f>
        <v>111</v>
      </c>
      <c r="F31" s="52">
        <f>38-1-2+66+65-3-1+1-1-30-6-3-10-3+7+122-3-1-2-1-4-57-3-1-1-2-2-1-1-1-2-1-1-61-1</f>
        <v>93</v>
      </c>
      <c r="G31" s="52">
        <f>33+40-2-1+1-2-1-25-3-40+5+89-2-2-2-9-1-5-19-3-1-2-2-2-1-2-1-40</f>
        <v>0</v>
      </c>
      <c r="H31" s="52">
        <f>20-2-1+41-2-20-2-5-1-1+2-1-2+31-5-2-1-1-37</f>
        <v>11</v>
      </c>
      <c r="I31" s="52">
        <f>13+10-15-1+1-1-1+29-2-1-1-31</f>
        <v>0</v>
      </c>
      <c r="J31" s="52">
        <f>4+19-1-5+1-1-1-1-15</f>
        <v>0</v>
      </c>
      <c r="K31" s="53">
        <f>6+24-5-1+1-1-3-1-1-19</f>
        <v>0</v>
      </c>
      <c r="L31" s="71">
        <f>60+82-1-20+2+31-3-9-1-2-9</f>
        <v>130</v>
      </c>
      <c r="M31" s="72">
        <f>59+80-3-4-1-1-1+110-3-2-2-30-1-5-5-2-3+5+160-5-1-1-2-1-2-3-1-1-1-5-1-1-1-1-38-1</f>
        <v>285</v>
      </c>
      <c r="N31" s="72">
        <f>41+80*4-1-1-1-1+161-1-2+1-1-6-6-3-40+1-1-15-5-1-5+5+268-5-1-1-1-1-1-1-9-1-1-2-1-3-1-1-1-7-1-1-1-1-3-63-4</f>
        <v>595</v>
      </c>
      <c r="O31" s="72">
        <f>47+140+160-1-5-2+160-1+5-3-6-7-1-1-1-40-1-15-3-1-5-1-4+6+258-5-3-1-1-5-1-1-1-5-4-6-2-1-1-3-1-2-1-58-6-1</f>
        <v>569</v>
      </c>
      <c r="P31" s="72">
        <f>40-1-2-1+192-1+30+1-1-1-25-5-5-1-2+6+137-3-1-1-6-5-1-2-1-1-5-1-1-1-36-2</f>
        <v>294</v>
      </c>
      <c r="Q31" s="72">
        <f>25+60+37-1-2-1-2-20-1-3+5+70-2-1-1-3-2-1-1-1-17</f>
        <v>138</v>
      </c>
      <c r="R31" s="72">
        <f>15+30+30-15-2+2-2-2+31-1-2-1-2-24</f>
        <v>57</v>
      </c>
      <c r="S31" s="72">
        <f>30-1-1-5+1+20-1-1-1-4-8</f>
        <v>29</v>
      </c>
      <c r="T31" s="73">
        <f>31-5-1+1+21-1-1-14</f>
        <v>31</v>
      </c>
      <c r="U31" s="22">
        <f>SUM(C31:T31)</f>
        <v>2443</v>
      </c>
      <c r="V31" s="64"/>
      <c r="W31" s="23"/>
    </row>
    <row r="32" spans="1:26" ht="38.25" customHeight="1" thickBot="1" x14ac:dyDescent="0.3">
      <c r="B32" s="24"/>
      <c r="D32" s="24"/>
      <c r="E32" s="24"/>
      <c r="I32" s="24"/>
      <c r="J32" s="24"/>
      <c r="M32" s="1" t="s">
        <v>1</v>
      </c>
      <c r="U32" s="25">
        <f>SUM(U7:U31)</f>
        <v>142012</v>
      </c>
      <c r="V32" s="62"/>
      <c r="W32" s="26"/>
    </row>
    <row r="33" spans="1:22" ht="21" thickBot="1" x14ac:dyDescent="0.3">
      <c r="V33" s="62"/>
    </row>
    <row r="34" spans="1:22" ht="36.75" customHeight="1" thickBot="1" x14ac:dyDescent="0.3">
      <c r="C34" s="106" t="s">
        <v>45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  <c r="V34" s="62"/>
    </row>
    <row r="35" spans="1:22" ht="30" customHeight="1" thickBot="1" x14ac:dyDescent="0.3">
      <c r="C35" s="95" t="s">
        <v>3</v>
      </c>
      <c r="D35" s="96"/>
      <c r="E35" s="96"/>
      <c r="F35" s="96"/>
      <c r="G35" s="96"/>
      <c r="H35" s="96"/>
      <c r="I35" s="96"/>
      <c r="J35" s="96"/>
      <c r="K35" s="97"/>
      <c r="L35" s="98" t="s">
        <v>4</v>
      </c>
      <c r="M35" s="99"/>
      <c r="N35" s="99"/>
      <c r="O35" s="99"/>
      <c r="P35" s="99"/>
      <c r="Q35" s="99"/>
      <c r="R35" s="99"/>
      <c r="S35" s="99"/>
      <c r="T35" s="100"/>
      <c r="V35" s="62"/>
    </row>
    <row r="36" spans="1:22" ht="21" thickBot="1" x14ac:dyDescent="0.3">
      <c r="B36" s="5" t="s">
        <v>9</v>
      </c>
      <c r="C36" s="6" t="s">
        <v>10</v>
      </c>
      <c r="D36" s="7" t="s">
        <v>11</v>
      </c>
      <c r="E36" s="7" t="s">
        <v>12</v>
      </c>
      <c r="F36" s="7" t="s">
        <v>13</v>
      </c>
      <c r="G36" s="7" t="s">
        <v>14</v>
      </c>
      <c r="H36" s="7" t="s">
        <v>15</v>
      </c>
      <c r="I36" s="7" t="s">
        <v>16</v>
      </c>
      <c r="J36" s="7" t="s">
        <v>17</v>
      </c>
      <c r="K36" s="27" t="s">
        <v>18</v>
      </c>
      <c r="L36" s="28" t="s">
        <v>10</v>
      </c>
      <c r="M36" s="8" t="s">
        <v>11</v>
      </c>
      <c r="N36" s="8" t="s">
        <v>12</v>
      </c>
      <c r="O36" s="8" t="s">
        <v>13</v>
      </c>
      <c r="P36" s="8" t="s">
        <v>14</v>
      </c>
      <c r="Q36" s="8" t="s">
        <v>15</v>
      </c>
      <c r="R36" s="8" t="s">
        <v>16</v>
      </c>
      <c r="S36" s="8" t="s">
        <v>17</v>
      </c>
      <c r="T36" s="9" t="s">
        <v>18</v>
      </c>
      <c r="V36" s="62"/>
    </row>
    <row r="37" spans="1:22" x14ac:dyDescent="0.25">
      <c r="B37" s="29" t="s">
        <v>19</v>
      </c>
      <c r="C37" s="34">
        <f>29+26+49+39+10-1-1-32-1-1-1-3-1-2-1-1-5-1+1-2-15-1-1-15-1-1-1-1-2-2-1-1-1+2-2-1-1-2-1-1-1-1-1+15-2-1-1-2</f>
        <v>58</v>
      </c>
      <c r="D37" s="34">
        <f>56+50+100+19+60-1-1-1-1-5-3-1-25-1-1-1-2-1-1-2-2-3-1-1-1-5-1-1-1-1-2+5-2-7-10-1+2-20-1-5-1-1-3-1-3-3-1-2-2-5-5-6-1-1-1-14-1-5-1-1-2-1-4-1-1-1-1-2-2+2-1-1-10-6-1-1-1-1-1-1-15-2-2-1-3-1-1-1-1-2-1-4-2-7-12-5+206-1-1-1-15-2-1+1-10-15-2-4-4-4</f>
        <v>172</v>
      </c>
      <c r="E37" s="34">
        <f>56+90+29+29+70-2-1+90-1-14-3-48-2-1-1-1-1-1-2-1-1-1-2-1-1-2-1-1-2+1-3-1-1-1-3-10-6-2+10-4-1-7-2-2+1+1-1-4-30-5-1-1-2-2-1-1-2-2-1-1-1+1-1-2-2-8-5-3-1-1-1-2-47-1-5-1-1-2-7-1-2-1-10-5-1-2-1-6-3-1-1-1-1-9-9-9-1-1-1-1-1-1-1-2-1-3-2-2-1-5-3-1-5-2-1-1+160-1-1-2-1-1+80-1-9-15-2-4-3-25-1-1-1-1</f>
        <v>171</v>
      </c>
      <c r="F37" s="34">
        <f>66+80+11+28+90+3+40+11+80-1-1-1-1-14-1-1-1-1-1-1-1-1-1-11-1-1+11-1-10-3-1-8+1-1-1-1-1+1-1-30-1+2-1-2-10-3-2-1-1-2-5-2-2+2-2+2-42-1-1-5-1-3-1-2-2-2-1+2-2-2-5-1-3-1-2-1-1-1-7-2-2-1-1-1-2-1-1-1-4-1-5-2-8-3-1-1-6-5-5-3-1-2-2-1-1-1-5-13-1-3-5-1-1-1-1</f>
        <v>116</v>
      </c>
      <c r="G37" s="34">
        <f>80+50+39+20+31-2-2-3-1+1-1-2-1-1-1+2-11+1-15-1-1-1-1+1-2-1-1-1-3-1-31-1-1-1-3-1-2-1-1+5-2-6-1-2-1-2-1-1-2-2-1-1-2-2-2-1+79-1-1-1-2-1-6-7-1-1</f>
        <v>164</v>
      </c>
      <c r="H37" s="34">
        <f>21+48+20+50+27-1-3-3-1-1-2-1-1-1-1-1+1-20-1-1+2-3-3-10-1-1-1-3+1-1-1+5-1-1-1-2-1-2+15-4</f>
        <v>116</v>
      </c>
      <c r="I37" s="34">
        <f>41+18-1+1-10-1-2-1-3-1+2-5-8-1-1-1-2</f>
        <v>25</v>
      </c>
      <c r="J37" s="34">
        <f>26+40-1-6+1-5-1+1</f>
        <v>55</v>
      </c>
      <c r="K37" s="66">
        <f>20+10+8+9-1+1-5+1</f>
        <v>43</v>
      </c>
      <c r="L37" s="67">
        <f>20+70+49+21+80+50-1-1-1-2-5-1+1-25-3-3+3-3-1-3-4-1-1-1-2-1-2+3-2-1-3-3-1-3-1-1-1-1-1</f>
        <v>218</v>
      </c>
      <c r="M37" s="34">
        <f>42+80*3+47+37+60-3-1-1-6-6-3-1-1-10+10-1-3-3-1-1-1-1-1-5-2-1-3-1-1-3-1-1-2-2+1-1-4-1-2-10-2+1-25-35-3-1-7-1-4-1-1-5-1-1-1-3-2-1-1-5-1-1-2-2-1-5-1-1-27-2-1-3-1-13-1-1-1-1-4-1+1-1-1+1-19-1-1-2-2-3-3+2-2-40-1-2-1-15-3-1-2-25-1-1-1-2-1-1-1-6-2-2-2-2-1-1-1-10+1-2-1-2-2-2-11-1-2-3--1-2-1-1+2+142-5-15-24-1-1-1-7-19+2+2-2-6-1-7-10-3-4-15-1-1-4-2-3-1-2-6-2-1-1</f>
        <v>3</v>
      </c>
      <c r="N37" s="34">
        <f>22-1-1+70*12+80+56+10-2-4-20-4-2-9-36-2-1-1-1-1-10+10-1-2-1-1-1+1-2-1-1-1-6-1-1-10-10-1-1-2-2-4-3-10-1-3-5-1-3+10-1-1-2-1-4-1-2-1-4+1-3-6+1-1-4-35-50-3-1-1-1-1-1-1-1-1-1-18-1-20-2-1-2-2-3-1-1-1-5-5-3-1-1+1-2-6-6-4-8-1-2-1-1-5-1-2-58-4-1-1-1-1-1-13-8-1-1-3-2-2-6-1-1-2-3-11-6-3-1-1-1-4-1-1-1-1-1-3-3-5-24-3-3-1+10-16-2-40-3-5-6-3-1-10-14-2-3-10-4-1-1-2-4-31-18-1+1-35-1-1-2-6-3-4-1-2-1-2-1-1-41-3-4-10-1-13-6-1-1-2-9-2-9-1-4-1-5-2-3-1-1-4-3-1-1-3-1-24-7-3-2-20+2-7-1-2-5-16+167-2-1-2-17-4-79-1-3-3-1-20-10-15-5-1-2-1-4-1-2+140-1-2-1-1-2-18-11-1-1-6-2-1-2-15-9-1-2-31-1-9-1-6-3-4-1-1</f>
        <v>0</v>
      </c>
      <c r="O37" s="12">
        <f>54+70*12+5-1-2-1-1-1-8-1-20-4-6-31+1-2-1-10+10-2-1-1-1-1-2-1-1-1-2-1-2-3-1-8-4-1-3+1+1-1-1-1-4-1-5-10-6-1-1-3-1-1-1-2-1-1+10-10-1-2-5-6-2+1-1-4-8-35-50-1-2-3-1-14-28-1-4-2-10-50-1-10-1-1-8-3-1-1-4-2-2-2-1-1-8-6-2-2-2-5-1-1-1-1-25-6-2-2-5-1-1-1-2-5-2-1-2-5-3-1-4-2-4-1-3-4-4-1-1-1-1-1-1-24-3+5-4-3-40-2-5-5-2-1-1+2-1-24-1-10-10-1-1-2-2-18-1-9-1-40-1-2-2-15-1-2-4-2-5-1-1-3-2-1-1-27-2-7-5-3-1-15-1-6-6-1-10-8-2-1-3-4-4-2-1-1-1+100-16-21-2-2-2-4+4-1-8-1-1-4-1-18+398-2-1-2-1-2-93-2-2-2-2-1-1-11-2-2-2-3-1-1-50-10-2-3-2-15-12-3-8-1-1-16-2-1-1-3-1-1-2-2-1-1</f>
        <v>150</v>
      </c>
      <c r="P37" s="12">
        <f>9+40+29+60+16+140+68+19+70+1-3-4-4-10-1-1-1+1-2-10+10-1-1-3-2-1-1-1-1-3-1-1-4-1-1-3-2-2-1-2-3-2-2-2-10+2-10-2-2-1-3-2-1+1-2-2-25-30-7-18-3-2-1-2-6-2-2-1-10-1-1+1-4-3-2-1-1-6-1-1-1+1-1-2+1-20-2-3-2-4-1-8-6-3-1-2-1-3-6-1-1-1-2-3-1-3-3+3-4-1-30-2-5-3-1-14-1-1-1-10-8-1-1-4-1-1-1-25-2-2-2-1-3-2-1-1-3-3-1-1-1-10-1+2-1-1+180-1-1-1-1-6-36-1-9-2-1-3-2-1+90-3-10-3-2-2-1-2-3-6-1-7-4-15-2-4-1-1-4-30-1</f>
        <v>103</v>
      </c>
      <c r="Q37" s="12">
        <f>26+40+120+62-3-1-1-1-3+3-1-1-1-1-1-2-2-2-1-1-1-10+1-1-10-25-4-1-1-1-2-4-6-1-1-5-1-2-8-1-2-2-1-1-1-2-1+1-2-1-3+2-10-2+2-10-10-2-2-2-5-1-1-1-1-5-2-3-3-3-1-6-3-4-20-3-2-2-1-2-16-1-1+61-3-2-1-5-1-2-5</f>
        <v>51</v>
      </c>
      <c r="R37" s="12">
        <f>4-1+30+14+50+15-1-1-1-1-1-1-1+1-5-15-1-1-1-1-3-1-3-1+1-1-1-2-2-3+2-5-10-3-1-3-1-3-3-6-1-1-1-6-5-1+71-1-2-1</f>
        <v>85</v>
      </c>
      <c r="S37" s="12">
        <f>27+15+15-1-1-6+1-3-5-1-4-3-4+2-2+4-1-1-5-1-1</f>
        <v>25</v>
      </c>
      <c r="T37" s="12">
        <f>1+22+15+11-1+1-5+2-1-1-1</f>
        <v>43</v>
      </c>
      <c r="U37" s="30">
        <f t="shared" ref="U37:U43" si="3">SUM(C37:T37)</f>
        <v>1598</v>
      </c>
      <c r="V37" s="62"/>
    </row>
    <row r="38" spans="1:22" ht="18" customHeight="1" x14ac:dyDescent="0.25">
      <c r="B38" s="29" t="s">
        <v>20</v>
      </c>
      <c r="C38" s="12">
        <f>51+67-2-32-1+10-2-1-1-1-15-2-3-1-4-2+1+3+10-12-1-1-1-1-1+15-1-1-1-1-1-1+1-2-1-2</f>
        <v>63</v>
      </c>
      <c r="D38" s="12">
        <f>28+160+19-16-1-15-25-1-1+4-1-2-1+40-49-1-1-1-1-1-1-5-2-1-1+1-1-20-2-1-1-2-10-1-1-5-5-2-2-2-2-5-1-6-5-3-2-1-2-2-15+3-1-2-2-1-2-1-1+5-1-2+121-16-2-1-1-3-2-2-5-1-1+78-1-2+1-1-1-1-4-1-1-1-13-1+1-40-1-2-1-7-4-30</f>
        <v>76</v>
      </c>
      <c r="E38" s="12">
        <f>28-1+80*3+18-21-1-1-50-1-48-1+2+5-1-1-3-6+27-1-21-2-1-1-2-5+6-2-4-4-1-1+1-30-6-5-1-2-4-5-5-4-2-1-8-1-5-1-14-1-1-2-3-1-1-1-1-2-3-1-1-2-1-5-2-5-1-1-1-1-5-2-4-2-3+5-1-1-3+1+4-1-1-3+15-15+121+28-22-15-1-2-4-10-4-1+20-1-2-30-7-2-1-5-1-2-2-5-2-3+22-3-1-2+2-1-1-3-1-7-6-1-3-1-11-1-1+128-1-2-1-1-3-6-20-2</f>
        <v>120</v>
      </c>
      <c r="F38" s="12">
        <f>66+160+61-16-15-14-1-3-1-3+26-3-18-1-6-5+2-2-3-1-21-30-8-5-5+5-1-1-10-13-1-2-1-5-1-11-1-3-1-5-2-1-1-4-4-1-1-6-5-16-1-2+5-1-1-10-1+4-1-1-1+5-5-3+119-1-26-20-5-1-2-2-1-4-2-1+175-1-1-4-1-1-1-3-1-1-1-1-6+120-5-2-1-5-1-20-1</f>
        <v>341</v>
      </c>
      <c r="G38" s="12">
        <f>10+150+15-10-2-2+10-1-2-1-3-17-15-1-1-6-1-3-6-1-3-3-2-5-1-5-3-1-5-1-1-2-5-1-2-2-3-1-10+4-1+43-10-10-9-10-1-2-1-3+80-2-1-1-1-3+1-4-2-1-1-10</f>
        <v>112</v>
      </c>
      <c r="H38" s="12">
        <f>15+65-3-1-1-1-20-1-1-1-3-1-2-2-7+2-1-10-1-3+41-1-2-2+14-2-1-3-1-1+1-2-10</f>
        <v>54</v>
      </c>
      <c r="I38" s="12">
        <f>33+18+16-2-1+1-10-2-1-2-1+2-1-1-1-10-1-1-1-1-1</f>
        <v>33</v>
      </c>
      <c r="J38" s="12">
        <f>8+30+15+6-5-1-1-2+1-10</f>
        <v>41</v>
      </c>
      <c r="K38" s="35">
        <f>1+19+11+16-5-1-1-1-1</f>
        <v>38</v>
      </c>
      <c r="L38" s="32">
        <f>29+161+75-7-1+17-2-1-2-1-25-2-2+2-1-3-1-1-2-1-1-1-2-2-1-1-3-1-4-1+121-1-1+14-4</f>
        <v>344</v>
      </c>
      <c r="M38" s="12">
        <f>67+2+160+140+15+30-11-1-15-6+1+3-1-1+37-2-15-1-4-20-3+3-4-1-4-6-8-4-2-10+1-2-1-6-1-6-1-10-35-3-1-16-3-1-1-1-1-60-5-3-1-1-1-5-5-2-10-1-8-5-7-5-2-1-7-5-2-6-2-10-2-1-5-1-1+1-7-1-1-2-1+1-3-2-5+2-2-1-2-1-2-1-1-1+152-1-4-7-5-1-3-1+6-1-2-20+1-4-3-1-2-44-1-2-1-7-12-5-1-3-3-5-4-3-1-3-2+140-2-5-5-1-12-20-2-12-2-1-60-2</f>
        <v>81</v>
      </c>
      <c r="N38" s="12">
        <f>40-3+70*6+80*4+59+49+29-14-20-36-1-7-1-6+52-2-1-6-2-102-2+2-10-1-20-1-1-1-1-1-1-1-10-16-1-8-1-1-7-1-3+6-1-2-4-2-2-1-3-10-1-1-28-12+1-2+1-14-4-1-20-50-2-1-1-2-1-24-1-10-36-5-3-2-10-4-4-4-1-2-1-1-1-1-80-15-1-10-6-4-3-4-8-1-15-1-27-7-2-48-10-5-6-3-2-3-8-2-4-1-20-37-18-1-2-17-1-1-17-1-1-1-1-3-18+4-1-1-1-1+10+1-11+5-4-1+41-14-5-8-14+100-3-10-8-1-6-3-15-6-10-1-2-12-8-1-2-1-6-5+102-1-3-1-13-15-2+100-30-1-6-2-2-2-34-1-89+132+8-140+230-30-1-8+268-1-1-2-2-4-1-2-1-1-2-1-3-16-4-21-1-1-15-4-4-4-2-1-7-1-2-1+1-100-1-2-50-5-1-2-28-30-2-21-2-1-30-1</f>
        <v>79</v>
      </c>
      <c r="O38" s="12">
        <f>50+70*10+69+78+60+52-37-1-20-31+1-1-1-8-1-7+37-4-12-6-120-2-2-2+4-1-4-20-5-9-1+8-1-1-30-2-9-10-8-5-1+1-6+7-1-6-2-47-3-1-1-3-5-26-2-1-2-3-3-1-13-4-1-20-50-4-1-3-2-22-5-3-1-28-7-10-7-1-10-2-60-2+1-2-10-21-2-3-9-8-12-34-23-1-36-1-3-5-2-1-3-1-6-8-2-2-1-26-24-1-5-1-2-1-15-1-21-4-1-1-1-15-1-1-1+1-8-1-4-7+52-2-1-1-7-5-1-2-1-9+5-4-1-1-1-1-20+42+306-2-3-22-3-5-1-22-2-7-1-3-50-10-1-7-1-4-10-2-3-2-2-6-8-171+125+16-141+60+70-34-1+365+1-3-8-6-1-2-1-3-1-10-9-2-1-2-1-1-15+1-3-2-1-1-7-3-1+1-90-5-1-4-50-5-6-1+1-20-30-1-9--1-50-1-1-1</f>
        <v>106</v>
      </c>
      <c r="P38" s="12">
        <f>70+70*5+58+24-6-15-10+4+3-2-3-3-3+17-9-60-3+4-1-2-1-1-1-12-2-8-1-5+4-1-2-8-10-24-1-3-15-6-3-10-30-4-6-1-4-5-2-5-1-10-1-3-1-1-1-40-10-10-10-1-1-6-10-12-21-2-1-9-8-6-2-2-6-12-5-4-4-5-1-1-1-6-1-31+3-3+23-14-1-4+150-14-2-2-1-10-4+24-4-1-2-1-2-30-1-3-4-3-3-3-1-1-3-20-1-3-4-1-54+135+4-139+243-2-3-5-12-3-1-2-7-1-4-1-2-2+1-22-2-6-30-6-2-1-2-20-3-3-40-2-1</f>
        <v>59</v>
      </c>
      <c r="Q38" s="12">
        <f>13-3+70+24+15+98-8-3-3-1-6-2-30-1-1-1-3+3-1-22-4-4-3-10-1-3-2-1-2-1-5-25-2-8-1-1-1-5-7-1-5-4-5-1-4-4-3-2+1-4-5-1-1-3-10+2-2+3-2-1+23-10-13+24-10-5-2-3-4+21-3-1-1-1-1-5-1-8+116-36-3-5-1-1-1-12-8-1-2+1-6-10-2-2-3-1-1-1-2-3-2-2-3-9-2-20+22</f>
        <v>0</v>
      </c>
      <c r="R38" s="12">
        <f>7+34+53-1-6-2-24-4-1-1-2-2-1-18-3-15-3-1-1-2-1-1-3-2+34-1-2-2+30-1+1-1-1-2+2-5-10-1-1-20-1-1-1-12-1-1-2-1+59-4-4-2-1-1-4-1-10-2</f>
        <v>30</v>
      </c>
      <c r="S38" s="12">
        <f>11+20+70+19-18-5-1-4-1-10-2-1-8-1</f>
        <v>69</v>
      </c>
      <c r="T38" s="12">
        <f>3+54+51+40-2-5-1-1-1-3-3+1-4-2-1-1-1-1-5</f>
        <v>118</v>
      </c>
      <c r="U38" s="31">
        <f t="shared" si="3"/>
        <v>1764</v>
      </c>
      <c r="V38" s="62"/>
    </row>
    <row r="39" spans="1:22" s="26" customFormat="1" x14ac:dyDescent="0.25">
      <c r="B39" s="61" t="s">
        <v>21</v>
      </c>
      <c r="C39" s="12">
        <f>36+49+24-1-15-8-2-2+1-1-1-1-2-2-1</f>
        <v>74</v>
      </c>
      <c r="D39" s="12">
        <f>71+37+37-2-1-9-5-1-20-37-1-1-1-4-3-1+10-1-1-1-3-1+3-1-1-2-1-1-2-2-1-1+31-20-2-1-1-1-2-1-1-1-2-2-1-1</f>
        <v>48</v>
      </c>
      <c r="E39" s="12">
        <f>18+75+3+73-1-1-12-6-2-5+1-1-30-1-36-1-6-1+52-3-3-2-8-3-1-1+16-1-3-1+5-1-1-1-2-1-1-3-1-1-3-4-1+41-20-2-3-4-2-2-1-2-1-5-1-1-1</f>
        <v>90</v>
      </c>
      <c r="F39" s="12">
        <f>29+45+37-2-1-2-1-12-2-1-1-2-1-1-5-3+1+50-30-32-4+51-1-2-2-3-1+10-6+5-1+2-1-1-1-7-1-1+40+4-10-2-1-1-1-3-4-2-1-3-2-1</f>
        <v>115</v>
      </c>
      <c r="G39" s="12">
        <f>52+40+10-3-9-5-15-26-1-1-1-2-6-1+10-2-1+3-3-1-3-1+30-2-1-3-2-1-2</f>
        <v>53</v>
      </c>
      <c r="H39" s="12">
        <f>20+20-20-20+52-2-10+2-1</f>
        <v>41</v>
      </c>
      <c r="I39" s="12">
        <f>51+32+40+20-10-1-2-1+2</f>
        <v>131</v>
      </c>
      <c r="J39" s="12">
        <f>4+14+40-1-5+1</f>
        <v>53</v>
      </c>
      <c r="K39" s="35">
        <f>25+18-5+1</f>
        <v>39</v>
      </c>
      <c r="L39" s="32">
        <f>61+74-1-1-1-25-3-2-1-1+1-1-1-1-2-2-1-4-20</f>
        <v>69</v>
      </c>
      <c r="M39" s="58">
        <f>6+75+39-8-4-3-1-1-2-1+1-1-1-5+150-2-6-12-35-1-6-1-1-2-1-5-11-1-46-5+10-1-2-1-1-2-1-1-1+1-9-1-4-1+3-7-1-18+2-2-1-1-12-2-1-1-1+11+1-3-1-2+102-2-7-5-3-1-1-2-3-2-1-2-5-2-5-7-25</f>
        <v>88</v>
      </c>
      <c r="N39" s="12">
        <f>54+140-1-4-6-4-2-1-10-1-1-6-1-2-45-4-1-1-6-1-1-1-1+1-30-7-28-1-1-2-1+1-1-1-5-12-7+79-12-14-50-2-1+104-25-1-2-6+148-6-24-2-3-4-2-1-5-27-1-1-30-2-7-1-53-5-1-3-1-2-1-1-15-1-2-8-1-3-5+3-1-1-1+5-5+98-12-1-14-16-4-2-5-3-2-3-10-4+10-1-1-2-2-4-2+204-30-27-2-10-2-8-1-1-1-10-16-8-5-20-2-4-1-3-1-8-2-12-1-2-1-2-6-2-3-28-3-2+1</f>
        <v>1</v>
      </c>
      <c r="O39" s="12">
        <f>58+70-10-10-1-8-1-3-7-3-1-1-1-1-2-6-3-7-10-3+1-40-7-4+50-5-15-2-2-1+99-13-12-10-1-1-1-1-6-50-2-27+104-25-5-3+147-1-4-22-6-1-2-2-3-5-15-24-1-1-2-21-5-2-1-2-1-2-1-10-1-2-8-5-4-21-12-5-1-1-1-9-4-2-2-1-5+98-48-1-2-1-4-2-9-1-2-10-1-8-1+47-3-2-6-4+203-40-20-14-10-2-8-4-15-1-2-1-6-1-6-15-2-2-9-3-1-16-2-6-10-2-5-1-17-7-8-1-2-1-1-1-1</f>
        <v>0</v>
      </c>
      <c r="P39" s="12">
        <f>29-8-2-3-1-4-4-2-1-3-1+81-10-30-2-4-12-6-1-1-1-14+20-5+79-3-12-10-2-1-25-1-1+104-2-4-3-2-3-6-3-20-21-26-2-1-2-5-1-1-4-1-1-14-6-15+1-1+4-1-1-2+50-17-14-8-11+23-4-3-1+91-9-1-5-1-2-2-1-2-15-3-7-5-3-2-7-3-23-2-6-2-5</f>
        <v>0</v>
      </c>
      <c r="Q39" s="12">
        <f>32+60-6-2-8-2-2-3-1-1-1-2-12-3-3-1-12-1-1-5-1-1+50-25-1-1-1-1-2+52-1-2-1-3-1-8+12-6-1+11-1-1-1-2-4-2-9+2-2-1-2+5-10-2-4-6-1-1-1+13-11-2-5-1-5-1-2-1-10-5-1-5-1</f>
        <v>15</v>
      </c>
      <c r="R39" s="12">
        <f>40-2-1-6-15-1-3-1-2-4-4-1+23-4-2-6+2-2+3-1-1-1-1+19-1-2-1-1-2-8-1-1-2-3</f>
        <v>7</v>
      </c>
      <c r="S39" s="12">
        <f>60+30+6-5-2-3+13-1-1-2-1-2</f>
        <v>92</v>
      </c>
      <c r="T39" s="12">
        <f>28+40-5-1-1+11+1-1-4-2-1</f>
        <v>65</v>
      </c>
      <c r="U39" s="31">
        <f t="shared" si="3"/>
        <v>981</v>
      </c>
      <c r="V39" s="64"/>
    </row>
    <row r="40" spans="1:22" x14ac:dyDescent="0.25">
      <c r="B40" s="29" t="s">
        <v>22</v>
      </c>
      <c r="C40" s="12">
        <f>25+14-1-15-2-2-1-2-1+10-2+1-1-1+1-1-2-2</f>
        <v>18</v>
      </c>
      <c r="D40" s="12">
        <f>46-2-1-1-2-1-2-20-1-3-1-4+29+3+4-1-1-1-5-1-2+1-1-2</f>
        <v>31</v>
      </c>
      <c r="E40" s="12">
        <f>40+20+67-2-1-1-3+1-3-30-3-1-1-13-2+5-1+13-1-2-1-14-1-1-2-1-2-1-1-1</f>
        <v>57</v>
      </c>
      <c r="F40" s="12">
        <f>40+78-1-3-1-1-5+1-1-3-30-1-1-3-1-14+10-1-2+1-1+14-1-1-1-1-12-1-1-2+1-1-2-2-1-1</f>
        <v>49</v>
      </c>
      <c r="G40" s="12">
        <f>60+56-1-1-15-1-2-3-1-6-1-2+3+6-1-1-7-1-1+1-1-2-1</f>
        <v>78</v>
      </c>
      <c r="H40" s="12">
        <f>40+50-20-2+2-1-6+1-2</f>
        <v>62</v>
      </c>
      <c r="I40" s="12">
        <f>40+20+3-1-10-2-1+2-1+1</f>
        <v>51</v>
      </c>
      <c r="J40" s="12">
        <f>20+35-5+2-1+1</f>
        <v>52</v>
      </c>
      <c r="K40" s="12">
        <f>30+3-5-1+1</f>
        <v>28</v>
      </c>
      <c r="L40" s="32">
        <f>60+20+30+5-1-25-3-1+1-1-1-1+1-1</f>
        <v>83</v>
      </c>
      <c r="M40" s="12">
        <f>9+70+21+6-1-1-1-1-12-2-10-35-1-2-3+1-5-5-1-3-1+79+4+5+2-2-1-3-1-1-2-1-1-7+1-1-1-5-1</f>
        <v>87</v>
      </c>
      <c r="N40" s="12">
        <f>48+9+11+40+70+44-1-4-1-1-1-3-1-1-2+1-12-9-1-20-50-3-2-1-1-1-5-15-1-1-1-2-1-4-2+2-1-14-12+149-1-2+5-40+5-1+2-1-1-1-1-1-1-5-1-1-1-1-2-2-1-3-27+1-1-1-1-2-5-1-1</f>
        <v>107</v>
      </c>
      <c r="O40" s="12">
        <f>70*3+20+10+22-7-1-1-1-1-2+1-12-10-20-50-1-8-3-1-1-1-1-1-1-10-5-12-2-1-1-1-1-14-6+147-2-1+4-1-40+5-1-3+2-1-1-1-1-1-1-3-1-2-6-2-4-14+1-2-1-1-1-1-2-2-2-6-1</f>
        <v>141</v>
      </c>
      <c r="P40" s="12">
        <f>70+6+4+14-6-3-3-1-12-4-10-30-1-1-1-3-2-1-1-1-1-1-6-6+149-8+1+4-1-2+2-1-1-3-1-1-9+1-1-1-1-3-5-1</f>
        <v>118</v>
      </c>
      <c r="Q40" s="12">
        <f>60+11-1-2-5-25-3-4-13-1-7+58+2-1+3-1-1-11+1-1-1-1-1-1-1-1-1</f>
        <v>52</v>
      </c>
      <c r="R40" s="12">
        <f>40+14-2-3-15-2-2-1-1+2-1-1-1-2+1-1</f>
        <v>25</v>
      </c>
      <c r="S40" s="12">
        <f>29+8+30+17-5-1-1+2-1-2+1-1</f>
        <v>76</v>
      </c>
      <c r="T40" s="12">
        <f>30+11+30+21-5+2-1-1+1</f>
        <v>88</v>
      </c>
      <c r="U40" s="30">
        <f t="shared" si="3"/>
        <v>1203</v>
      </c>
      <c r="V40" s="62"/>
    </row>
    <row r="41" spans="1:22" x14ac:dyDescent="0.25">
      <c r="B41" s="29" t="s">
        <v>23</v>
      </c>
      <c r="C41" s="12">
        <f>19+53+29-15-1-2-1-1-3+1-1-2-10-1-1</f>
        <v>64</v>
      </c>
      <c r="D41" s="12">
        <f>20+11+50-2-1-1-1-1-20-1-1-1-1-2-5-3+100-1-1-1-16-2-2+3-2-1-51-1-1+89-3-6-1-10-1-2-1</f>
        <v>130</v>
      </c>
      <c r="E41" s="12">
        <f>26+53-3-1-1-1+1-30-2-2+2-2-1-1-2-8-3+100-6-1-1-2-24-1-3+2-1-1-81-1-5+198-3-1-4-3-36-1-3-1-1-1</f>
        <v>144</v>
      </c>
      <c r="F41" s="12">
        <f>24-1-2-1+44-3-1-1-1-1-1-1+1-30-2-1-2-2-3+124-6+50-1-17-3+2-1-1+1-81-1+121-1-1-4-3-22-1-1-2-2</f>
        <v>166</v>
      </c>
      <c r="G41" s="12">
        <f>42-1-5-15-1-2-1-1-1-2-1-3+48-1-6-2+1-2-47+6+101-15-1-1-3-2-12-1-1-3-1</f>
        <v>67</v>
      </c>
      <c r="H41" s="12">
        <f>10+26-5-20-2+50-1+2-1-1-12-1</f>
        <v>45</v>
      </c>
      <c r="I41" s="12">
        <f>10+31-10-2+1-3-2-1</f>
        <v>24</v>
      </c>
      <c r="J41" s="12">
        <f>30+34+20+4-5-1</f>
        <v>82</v>
      </c>
      <c r="K41" s="35">
        <f>15+11+19-5</f>
        <v>40</v>
      </c>
      <c r="L41" s="32">
        <f>80+20+70+69+40+28-1-25-1-3-5+1-2-1-3</f>
        <v>267</v>
      </c>
      <c r="M41" s="12">
        <f>70+38+61-22-1-1-1-4-10-35-1-1-2-1-5+100-5-10-4-2-1-8-1-2-1-1-1+5-10-6-1-1-1+60-9-1-1-2-1-1-2-1-5-2-5-17</f>
        <v>148</v>
      </c>
      <c r="N41" s="12">
        <f>70+70+10+20+6-1-72-2-1-1-5-4-4-1-1+4-1+1-1-8-10-1-20-10-1-2-7-2-1-1-3-1-5-6-4-5+58-5+140-11-20-14-49+50-2-3-3-1-10-1-3-1-1-1-1-5-5-2-3+3-101-3-1-1-3+366-2-1-8-6-1-1-1-1-1-4-7-2-2-7-2-1-2-34-2-1-5-5-59-2</f>
        <v>210</v>
      </c>
      <c r="O41" s="12">
        <f>140+140+39+27+47-1-56-1-4-3-4-2-1-1-1-2-1-1-2-15+1-20-50-1-1-3-1-10-3-5-2-5-21-20-5-12+149-4-1-7-1-8-1-2+1-2-1+5-101-1-1-9+81+162-1-1-4-1-6-3-1-1-4-3-1-1-6-2-1-1-2-1-38-1-9-5-40-1</f>
        <v>265</v>
      </c>
      <c r="P41" s="12">
        <f>20-18-2+63-5-2-11-10-10-10-3-1-1-2-2-6+50-4-10-1-1-18+49-4-1-1-1-2-2-1-1+4-56+202-1-16-1-30-1-3-13-3-1-1-3-1-3-24-4-6-23</f>
        <v>68</v>
      </c>
      <c r="Q41" s="12">
        <f>54+22-3-7-4-4-5-5-25-1-3-3-5+48-1-5+5-2+60-1-3-1-1-25-1-9</f>
        <v>75</v>
      </c>
      <c r="R41" s="12">
        <f>20+26+45+22-6-2-12-3-25-1-2-3-1-2-1+3-3-1-1-1-1-1-4</f>
        <v>46</v>
      </c>
      <c r="S41" s="12">
        <f>34+13+28+2-5+2-21-3</f>
        <v>50</v>
      </c>
      <c r="T41" s="12">
        <f>33-5-1-1</f>
        <v>26</v>
      </c>
      <c r="U41" s="30">
        <f t="shared" si="3"/>
        <v>1917</v>
      </c>
      <c r="V41" s="62"/>
    </row>
    <row r="42" spans="1:22" x14ac:dyDescent="0.25">
      <c r="A42" s="1" t="s">
        <v>1</v>
      </c>
      <c r="B42" s="29" t="s">
        <v>24</v>
      </c>
      <c r="C42" s="12">
        <f>51+38+42-1-2-5-15-1-1-1-1-2-2-1-1-2-1-1+1-1-1-1-1-1-1-1-4-1</f>
        <v>83</v>
      </c>
      <c r="D42" s="12">
        <f>69-1-6-5-1-1-3-20-3-1-1-3-3-6-3-2-1-2-1-1-2-2-1+1-1+49-1-1-1-10+61-2-12-1-2-2-1-1-3-2-8-1-1</f>
        <v>61</v>
      </c>
      <c r="E42" s="12">
        <f>63+80+10-1-1-1-7-1-5-2-2-2-1-1+1-1-30-1-1-1-1-1-4-3-2-2-2-2-1-3-5-1-1-20-2-16-2-3-1-1-23+99-10-1-1-2-10+120-1-20-1-3-1-2-4-1-2-5-1-1-1</f>
        <v>152</v>
      </c>
      <c r="F42" s="12">
        <f>59+160+50-1-1-1-1-5-5-2-1+1-30-2+2-1-4-4-3-2-3-2-1-1-1-2-2-2-1-1-10-15-2-1-1-1-2-10-1-1-2-12-1+29-3-4-1-6-1-1-2-2-1-2-3-1-1-1-2</f>
        <v>132</v>
      </c>
      <c r="G42" s="12">
        <f>58+80+8-3-1-5-1-1-1-1-15-2-2-1-2-1-2-1-5-1-1-6-1-2-1-1-5-1-1-2-2-1-1-2-2-2-2-1-1-1-1</f>
        <v>64</v>
      </c>
      <c r="H42" s="12">
        <f>13+34-2-1-20-2-1-2-4-1+2-1-1+24+7-1-2-1</f>
        <v>41</v>
      </c>
      <c r="I42" s="12">
        <f>36+10-1-1-10-2-2-2-1+2-3-1-1</f>
        <v>24</v>
      </c>
      <c r="J42" s="12">
        <f>12+10+19-5-1-1-1-1</f>
        <v>32</v>
      </c>
      <c r="K42" s="35">
        <f>11+14+21-5-1-1</f>
        <v>39</v>
      </c>
      <c r="L42" s="32">
        <f>25+100+55-1-1-2-1-25-5-5-1+5-3-2-1-1+1-1-2-1-1-1-2-1-1</f>
        <v>128</v>
      </c>
      <c r="M42" s="12">
        <f>56+140+30-3-9-1-1-1-6-1-1-2-1-1-2-1-1-1-25-35-1-1-1-1-9-80-1-3-3-5-1-5-2-10-5-6+100-2-17-3-1-2-1-1-1+5-2-1-4-1-3-2+107-1-1-1+1-2-1-2-1-2-5-3-3-1-1-9-5-1-16-2</f>
        <v>115</v>
      </c>
      <c r="N42" s="12">
        <f>47-1+70*5+67+20+30-1-2-4-12-1-1-1-1-34-1-2-1-13-1-1-1-2-3-3-5-2-1-1+1+1-35-50-1-1-1-3-1-1-2-1-1-7-80-1-5-22-15-10-5-2-2-1-1-5-5-1-3-2-1-1-1-1-4-20-1-14-5-1-5-12-2-2-4-3+10-4-5+5-10-1-1-2-6-1-8-5-2+107-2-3-10-1+113-1-7-1-4-1-3-2-2-3-3-11-3-8-1-1-3-2-2-2-1-5-1-1-1-16-1-5-9-16-2-8-1-1-1</f>
        <v>125</v>
      </c>
      <c r="O42" s="12">
        <f>51+70*6-1-2-8-9-1-1-1-13-2-3-1-2-1-4-1-1+1-2-1-3-1-35-50-10-1-4-60-8-17-6-5-5-5-2-1-6-5-1-1-1-1-2-4-1-1-10-20-7-1-7-5-1-1-2-1-2-2-1+3-1+10-1-1-5+5-10-1-1-1-2-2-2-5-1-10-1-1-2-10-1-1+190-1-4-1-2-6-1-1+10-2-1-1-2-1-24-12-4-3-2-4-1-1-1-1-12-1-6-1-1-1-16-2-2</f>
        <v>163</v>
      </c>
      <c r="P42" s="12">
        <f>35+70*3-3-1-1-1-1-5-1-1-1-2-2-1-1-2-25-30-1-1-1-1-1-2-1-1-20-1-7-3-6-2-2-9-7-5-1-1-2-1-5-1-7-1-5-9-2-1-1-5-3-1-3-1-1-2-1+2+5-1-5+4-10-1-1-1-1-4-4-1-5-1+94-1-8-2-6-2-2-1+1-1-13-8-3-1-8-5-1-6-1</f>
        <v>44</v>
      </c>
      <c r="Q42" s="12">
        <f>31+32+29-1-2-3-1-1-10-25-1-10-1-3-3-1-5-4-9-3-9+1-1+49-1-1-5+72-1-1-7-1-4-2-18-2-1-1-3-1-3-6</f>
        <v>63</v>
      </c>
      <c r="R42" s="12">
        <f>27-1+12+10-2-2-1-5-15-1-2-3-5-2-3-3-3-1+2-2+2-1+49-1+36-1-3-4-2-3-6</f>
        <v>66</v>
      </c>
      <c r="S42" s="12">
        <f>19+10+21-3-5-1-1+30-1-1-2</f>
        <v>66</v>
      </c>
      <c r="T42" s="12">
        <f>20+31+19-5-1-1-2</f>
        <v>61</v>
      </c>
      <c r="U42" s="30">
        <f t="shared" si="3"/>
        <v>1459</v>
      </c>
      <c r="V42" s="62"/>
    </row>
    <row r="43" spans="1:22" s="26" customFormat="1" ht="21" thickBot="1" x14ac:dyDescent="0.3">
      <c r="B43" s="61" t="s">
        <v>25</v>
      </c>
      <c r="C43" s="12">
        <f>35-6-1-15-3-1+1-1+2+35-1-1</f>
        <v>44</v>
      </c>
      <c r="D43" s="12">
        <f>30-1-29+100-1-20-5-1-5-1-1-1-2+3-2-1-1-7-1-1-1+36-2-5-2-3</f>
        <v>76</v>
      </c>
      <c r="E43" s="12">
        <f>57-2-1-1-2-2-43+100-1+1-30-5-1-2-1-1-8-1+1-2-2-5+1-3-1-1-1-1-1-3-10-3-1-1+130-2-2-1-2-1-1-9-2-4-1-1-2</f>
        <v>126</v>
      </c>
      <c r="F43" s="12">
        <f>45+59+80+70-1-1-2-2-4-13-2+1-1+1-30-1-1-2-5-1-1-1+1-6-1-2-1-7-1-1-1-6-2-8-1-2-1-4-1-1-2-2-1-1</f>
        <v>137</v>
      </c>
      <c r="G43" s="12">
        <f>55+49-1-1-4-11-1+1-2-1-15-1-1-1-3+1-1-1-1+1-1-2-5-2-1+35-1-3-1-2-2</f>
        <v>77</v>
      </c>
      <c r="H43" s="12">
        <f>58-1-1-20-2-5-1+2-2+16-1</f>
        <v>43</v>
      </c>
      <c r="I43" s="12">
        <f>17-1-10-2+2+16</f>
        <v>22</v>
      </c>
      <c r="J43" s="12">
        <f>24-5-1</f>
        <v>18</v>
      </c>
      <c r="K43" s="35">
        <f>18+18-5</f>
        <v>31</v>
      </c>
      <c r="L43" s="32">
        <f>61+60+1+20-3-1-25-3-5+1-1-1-1-1-1-1+1</f>
        <v>101</v>
      </c>
      <c r="M43" s="12">
        <f>27+1-2-3-1-4-11+99+49-12-10-35-3-4-3-1-1-1-1-1+3-2-2-3-2+5-7-1-4-5-1-1+80+1-8-3-1-2-4-20-7-2-2-9-1-2-1-4-10-5-1</f>
        <v>62</v>
      </c>
      <c r="N43" s="12">
        <f>24-1-4-2-1-10-1-1-4+55-2-12-32+40-45-1+45-3+148-2-6-1+1-2-12-20-50-6-1-3-16-17-1-1-12-1-3-1-4-10-1-3-3-1-1-1-5+1-2-2-2-1-1-3+15-1-14+25+43-4+196+34-1-1-2-35-4+4-9-2-4-2-40-27-3-33-7-7-8-10-2-1-2-4-19-22-19-1-2-2-20</f>
        <v>9</v>
      </c>
      <c r="O43" s="12">
        <f>9-9+55-6-14-17+40-42-1-1+45+147-4-1-2-12-20-50-1-2-3-20-24-1-1-1-2-6-2-2-5-8-2-2-2-8-2-1-5-6+2-1-3-4-1-2-1-1+20+47+97+34+105-50-6-2-6-5-3-32-8-14-31-1-7-3-7-2-15-2-1-8-1-10-30-6-1</f>
        <v>52</v>
      </c>
      <c r="P43" s="12">
        <f>4+9-8-1-4+100-1-9-12-1-2-30-2+98-2-12-10-30-1-4-2-3-1-5-4-1-1-1-1-4-1-4-6+2-2-5-1-1-1-2-8-1-5-1+6-1-5-8-1-14+160-2-4-1-30-1-3-9-20-5-3-1-5-1-2-1-13-2-6-14-8-10</f>
        <v>19</v>
      </c>
      <c r="Q43" s="12">
        <f>10+60-6-10-3-2-2-3-1-2-5+10+36-5-25+13-1-4-3-2-3-1+2-2-10-2-1-5-2-1-3-1+30+28-1+2-11-3-3-5-1-2-2-5-3</f>
        <v>50</v>
      </c>
      <c r="R43" s="12">
        <f>32+50-2-3-2-3-15-1-3-2-1-3-1-1-3-1-1-3-1-1-2-4-1-3-3-2</f>
        <v>20</v>
      </c>
      <c r="S43" s="12">
        <f>7+20+19-5-1+2-1-2-7</f>
        <v>32</v>
      </c>
      <c r="T43" s="12">
        <f>23+20+17-5-1-1</f>
        <v>53</v>
      </c>
      <c r="U43" s="31">
        <f t="shared" si="3"/>
        <v>972</v>
      </c>
      <c r="V43" s="64"/>
    </row>
    <row r="44" spans="1:22" ht="30.75" thickBot="1" x14ac:dyDescent="0.3">
      <c r="U44" s="25">
        <f>SUM(U37:U43)</f>
        <v>9894</v>
      </c>
      <c r="V44" s="62"/>
    </row>
    <row r="45" spans="1:22" x14ac:dyDescent="0.25">
      <c r="V45" s="62"/>
    </row>
    <row r="46" spans="1:22" ht="62.25" customHeight="1" x14ac:dyDescent="0.25">
      <c r="C46" s="101" t="s">
        <v>47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22" ht="30" customHeight="1" thickBot="1" x14ac:dyDescent="0.3">
      <c r="C47" s="102" t="s">
        <v>48</v>
      </c>
      <c r="D47" s="103"/>
      <c r="E47" s="103"/>
      <c r="F47" s="103"/>
      <c r="G47" s="103"/>
      <c r="H47" s="103"/>
      <c r="I47" s="103"/>
      <c r="J47" s="103"/>
      <c r="K47" s="104"/>
      <c r="L47" s="2"/>
      <c r="U47" s="1"/>
    </row>
    <row r="48" spans="1:22" ht="21" thickBot="1" x14ac:dyDescent="0.3">
      <c r="B48" s="5" t="s">
        <v>9</v>
      </c>
      <c r="C48" s="59" t="s">
        <v>10</v>
      </c>
      <c r="D48" s="59" t="s">
        <v>11</v>
      </c>
      <c r="E48" s="59" t="s">
        <v>12</v>
      </c>
      <c r="F48" s="59" t="s">
        <v>13</v>
      </c>
      <c r="G48" s="59" t="s">
        <v>14</v>
      </c>
      <c r="H48" s="59" t="s">
        <v>15</v>
      </c>
      <c r="I48" s="59" t="s">
        <v>16</v>
      </c>
      <c r="J48" s="59" t="s">
        <v>17</v>
      </c>
      <c r="K48" s="60" t="s">
        <v>18</v>
      </c>
      <c r="L48" s="2"/>
      <c r="U48" s="1"/>
    </row>
    <row r="49" spans="2:24" x14ac:dyDescent="0.25">
      <c r="B49" s="29" t="s">
        <v>19</v>
      </c>
      <c r="C49" s="34">
        <f>25+50-1-8-1-4-5-1-25-5+30-1-1-2-1-1-6-1-1-31-4-6+50-3-2-3-1+40-4-1</f>
        <v>76</v>
      </c>
      <c r="D49" s="34">
        <f>91+5-4-1-17-15-1-18-1-15-1-1-1-4-1-1+5-1+102+1-10+100-35-2-1-2-16-1-1-25-2-2-3-1-1-1-2-1+1-2-1-13-1-38-1-1-12-1-3-44+50-3-3-1-2+120-35+2-6-2-80-3-33-4+180-18-2-1-27-1-32</f>
        <v>99</v>
      </c>
      <c r="E49" s="34">
        <f>30+55+3+2-2-1-2-25-30-30+15-15+27+191-15+100+10+1-1-2-50+2-6-4+88-2-1-6-5-40-4-4-3-1-1-13-4-1-1-1-1-1-3-1-72-2-1-2-9-1-156-2-2-1+50-24-1-1-5-1+150-50+1-1-1-8-4-2-3-100+80-57-23+283-11-5-1-8-2-1-3-1-2-50+8-50</f>
        <v>157</v>
      </c>
      <c r="F49" s="34">
        <f>77+20+9+2-1-4-7-25-42-1-1-2-1-1-14-5-1-1+1-1-2+15-15+13+190-20+100-50-6-2+30-1-2-12-3+70-3-23-3-1-3-1-1-13-1-3-46-2-2-1-5-104-3-2-1-1-2-1-24-1-5-1-1-1-3-4-1-10+150-31-1+3-1-1-3-1-20-1-1-4-94-1-1-1+213-30-1-5-1-20+5-17</f>
        <v>170</v>
      </c>
      <c r="G49" s="34">
        <f>44+5-1-4-2-17-15-8+15-1+5+90-5-1-30-1-4-1-1+100-1-2-3-2-1-13-1-2-1-26-1-2-3-6-43-1-3-12-1-5-1-1-2-5+60-7+1-1-2-45-1-8-1+72-1-2-1-3+1-7</f>
        <v>85</v>
      </c>
      <c r="H49" s="34">
        <f>60+8-4-10-25-3+30-1-1-1-2-1-1-11-1-1-1-1-1-11-1+30-4+1-2-16+40-1-2-3</f>
        <v>64</v>
      </c>
      <c r="I49" s="34">
        <f>19+30-3-10-1-2-1-1-10+13-5-1-2-1-1-1-2-1-1-5-1-1+30-1+1-1-2-2</f>
        <v>37</v>
      </c>
      <c r="J49" s="34">
        <f>25+22+9-1-5-1+1-5-4</f>
        <v>41</v>
      </c>
      <c r="K49" s="34">
        <f>25+24+8-1-5-1+1-3-4</f>
        <v>44</v>
      </c>
      <c r="L49" s="30">
        <f t="shared" ref="L49:L54" si="4">SUM(C49:K49)</f>
        <v>773</v>
      </c>
      <c r="U49" s="1"/>
    </row>
    <row r="50" spans="2:24" x14ac:dyDescent="0.25">
      <c r="B50" s="29" t="s">
        <v>20</v>
      </c>
      <c r="C50" s="12">
        <f>62+30+5-1-25-2-10-2-1-3-1-2</f>
        <v>50</v>
      </c>
      <c r="D50" s="12">
        <f>100+26+45+72-1+1-1-1-35-4-63-8-2-1-5-1-3-2-1-1-1-2+1-1-3</f>
        <v>109</v>
      </c>
      <c r="E50" s="12">
        <f>100+7+90+80+50-1-1-1-1-1-1+1-1+1-1-1-50-1-10-1-85-12-2-1-1-1-2-2+1-1-24-1-1-1-1-1-1-1-1-8-1+1-2-2-2-2-1-4</f>
        <v>99</v>
      </c>
      <c r="F50" s="12">
        <f>28+100+90+80-1-1-1-1-1-1-50-4-45-8-2-1-1-5-1-2-1-1-1-1-1-24-1-1-1-7+1-2-1-4-2-1-2-7</f>
        <v>116</v>
      </c>
      <c r="G50" s="12">
        <f>8+40+90+25-1-1-30-1-5-14-10-2-1-1-2-12-1-2-1-6+1-2-5</f>
        <v>67</v>
      </c>
      <c r="H50" s="12">
        <f>84+1+40+46-25-2-4-2-1-1-1-1-1-2+1-20</f>
        <v>112</v>
      </c>
      <c r="I50" s="12">
        <f>26+21+34-1-15-1-2-2-1-1-1-1-1-1</f>
        <v>54</v>
      </c>
      <c r="J50" s="12">
        <f>21+11-1-5-1-1-1+1-2</f>
        <v>22</v>
      </c>
      <c r="K50" s="12">
        <f>20+41+12-1-5-1-1-1+1</f>
        <v>65</v>
      </c>
      <c r="L50" s="30">
        <f t="shared" si="4"/>
        <v>694</v>
      </c>
      <c r="U50" s="1"/>
      <c r="X50" s="1" t="s">
        <v>1</v>
      </c>
    </row>
    <row r="51" spans="2:24" x14ac:dyDescent="0.25">
      <c r="B51" s="29" t="s">
        <v>46</v>
      </c>
      <c r="C51" s="12">
        <f>20+40+37-10-25-5-2+20-20-3-3-1-2</f>
        <v>46</v>
      </c>
      <c r="D51" s="12">
        <f>79+70+34-2-30-8-1-35-12-25-1-2-1-1-12-1-1+178-180-1-1-5-1-1-1-1-1-5-3-1-1</f>
        <v>27</v>
      </c>
      <c r="E51" s="12">
        <f>50+40+77+92-4-1-1-60-6-1-6+1-1-50-1-14-45-1-2-2-1-2-2-1+207-200-7-1-2-2-1-12-7-2-2</f>
        <v>30</v>
      </c>
      <c r="F51" s="12">
        <f>79+40+65+58-2-1-50-4-1-1-1-1-1-6+1-50-1-9-7-2-2-1-1-2-2-1+89+117-200-1-1-1-1-4-1-4-2-2</f>
        <v>86</v>
      </c>
      <c r="G51" s="12">
        <f>80+59+30-1-30-1-1-1-3-1-2-1-3-1+100-100-2-1-3-7-1-1+1</f>
        <v>110</v>
      </c>
      <c r="H51" s="12">
        <f>40+37-25-1-2-1-1+20-10-1</f>
        <v>56</v>
      </c>
      <c r="I51" s="12">
        <f>10+14+21-1-1-15-1-2</f>
        <v>25</v>
      </c>
      <c r="J51" s="12">
        <f>19-1-5-1-1</f>
        <v>11</v>
      </c>
      <c r="K51" s="12">
        <f>14+6-1-5-1</f>
        <v>13</v>
      </c>
      <c r="L51" s="30">
        <f t="shared" si="4"/>
        <v>404</v>
      </c>
      <c r="U51" s="1"/>
    </row>
    <row r="52" spans="2:24" x14ac:dyDescent="0.25">
      <c r="B52" s="29" t="s">
        <v>23</v>
      </c>
      <c r="C52" s="12">
        <f>50+57-1-1-4-1-25-1-30-2-1-1+25-1-1-1-1</f>
        <v>61</v>
      </c>
      <c r="D52" s="12">
        <f>98+70+38+35-2-1-1-1-35-1-30-1-1-1-2-1-1-1+15-1-1-1-1-3-2-1-40-1</f>
        <v>126</v>
      </c>
      <c r="E52" s="12">
        <f>79+40+45+100+28-2-1-1-6+1-1-1-50-2-40-1-2-1-1-1-10-15-1-1-1-1+50+360-340-1+1-2-1-1-1-40-1-2-16</f>
        <v>160</v>
      </c>
      <c r="F52" s="12">
        <f>100+49+100+50+10+44-1-1-1-1-1-1+1-250-50-1-1-1-40-5+199-20-5+359-340-1-2-15-1-1-20-1-1-2-3</f>
        <v>146</v>
      </c>
      <c r="G52" s="12">
        <f>68+59+17-1-30-1-2-1-5-2-1-1-2-1-1+25+1-20-5-1-1-4-1+1</f>
        <v>91</v>
      </c>
      <c r="H52" s="12">
        <f>51-1-3-25-5-2+25-1-5-1-3-1-1</f>
        <v>28</v>
      </c>
      <c r="I52" s="12">
        <f>30+30+20+8-1-1-15-1-2-1-3-2-2-1</f>
        <v>59</v>
      </c>
      <c r="J52" s="12">
        <f>14+19+14-1-5-1-1-5-3</f>
        <v>31</v>
      </c>
      <c r="K52" s="12">
        <f>18+20+4-1-1-5-1-1-2</f>
        <v>31</v>
      </c>
      <c r="L52" s="30">
        <f t="shared" si="4"/>
        <v>733</v>
      </c>
      <c r="U52" s="1"/>
    </row>
    <row r="53" spans="2:24" x14ac:dyDescent="0.25">
      <c r="B53" s="29" t="s">
        <v>24</v>
      </c>
      <c r="C53" s="12">
        <f>44-1-3-1+1-25-7-4-4+35+15-20-9-1-1-2-9-3-1</f>
        <v>4</v>
      </c>
      <c r="D53" s="12">
        <f>18+23+2-1+1-35-3-5+260-20-1+7-1-9-60-1-2-1-3-1-7-2-1-2-1-1-35-8-1-2-1-1-1-33</f>
        <v>72</v>
      </c>
      <c r="E53" s="68">
        <f>100+61-6-1-1-1-1+1-1+1-1-50-5-1-32-9-9-25-2-1-1-1-1-1-1-1-1+269-1-91-61-1-1-1-24-1-4-1-1-2-1-2-1-2-1-21-1-3-16-3-1-2-1-1-2-1-1-2-2</f>
        <v>26</v>
      </c>
      <c r="F53" s="12">
        <f>54+90+18+1+3-1-2-1-1-1+1-2-1-50-1-3-28-6-6-20-2-1-1-1-1-1+253-100-24-6-2-2-1-1-13-2-7-2-2-1-1-34</f>
        <v>92</v>
      </c>
      <c r="G53" s="12">
        <f>66+48-1-1+1-30-2-1-4-2+50-41-1-4-12-1-1-2-5-6-2-2-2-5-1-30</f>
        <v>9</v>
      </c>
      <c r="H53" s="12">
        <f>19+36-1+1-1-1-25-1-2-1-1-1+47-9-4</f>
        <v>56</v>
      </c>
      <c r="I53" s="12">
        <f>24+20+11-1+1-15-2-1-1-1-1</f>
        <v>34</v>
      </c>
      <c r="J53" s="12">
        <f>20+4+24-1+1-5-1-1-1-1</f>
        <v>39</v>
      </c>
      <c r="K53" s="12">
        <f>20+17+14-1+1-5-1-1-1-1-1</f>
        <v>41</v>
      </c>
      <c r="L53" s="30">
        <f t="shared" si="4"/>
        <v>373</v>
      </c>
      <c r="S53" s="26"/>
      <c r="U53" s="1"/>
    </row>
    <row r="54" spans="2:24" x14ac:dyDescent="0.25">
      <c r="B54" s="29" t="s">
        <v>25</v>
      </c>
      <c r="C54" s="12">
        <f>50+31+20+17-1-1-25-1-2-1-1-3-1-3</f>
        <v>79</v>
      </c>
      <c r="D54" s="12">
        <f>48+79+58-1-1-1-35-50-1-2-1-5-2-1-1-2-9-3-3-9</f>
        <v>58</v>
      </c>
      <c r="E54" s="12">
        <f>80*7+46+100+90+36+100-1+1-1-50-1-32-1-1-2-1-1-1-4-9-10-1-13-1-3-5-2-3-99</f>
        <v>691</v>
      </c>
      <c r="F54" s="12">
        <f>80*3+90+59+20+84+82+90+40+90-1-1-1-1-1+1-50-9-1-1-2-1-1-20-30-1-4-142</f>
        <v>529</v>
      </c>
      <c r="G54" s="12">
        <f>80+20+20+61-7-30-3-2-1-1-3-20-1-6-1-76</f>
        <v>30</v>
      </c>
      <c r="H54" s="12">
        <f>60+77-1-25-2-1-2-1-1-43</f>
        <v>61</v>
      </c>
      <c r="I54" s="12">
        <f>20+33-1-15-2-1-1-2-7</f>
        <v>24</v>
      </c>
      <c r="J54" s="12">
        <f>10+22-5-1-1</f>
        <v>25</v>
      </c>
      <c r="K54" s="12">
        <f>25-1-5-1-1</f>
        <v>17</v>
      </c>
      <c r="L54" s="33">
        <f t="shared" si="4"/>
        <v>1514</v>
      </c>
      <c r="U54" s="1"/>
    </row>
    <row r="55" spans="2:24" ht="30" x14ac:dyDescent="0.25">
      <c r="L55" s="105">
        <f>SUM(L49:L54)</f>
        <v>4491</v>
      </c>
      <c r="M55" s="105"/>
      <c r="U55" s="1"/>
    </row>
    <row r="59" spans="2:24" ht="14.25" x14ac:dyDescent="0.25">
      <c r="U59" s="1"/>
    </row>
    <row r="60" spans="2:24" ht="14.25" x14ac:dyDescent="0.25">
      <c r="U60" s="1"/>
    </row>
    <row r="61" spans="2:24" ht="14.25" x14ac:dyDescent="0.25">
      <c r="U61" s="1"/>
    </row>
    <row r="62" spans="2:24" ht="14.25" x14ac:dyDescent="0.25">
      <c r="U62" s="1"/>
    </row>
    <row r="63" spans="2:24" ht="14.25" x14ac:dyDescent="0.25">
      <c r="U63" s="1"/>
    </row>
    <row r="64" spans="2:24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4:T34"/>
    <mergeCell ref="B1:N2"/>
    <mergeCell ref="O1:T2"/>
    <mergeCell ref="C4:T4"/>
    <mergeCell ref="C5:K5"/>
    <mergeCell ref="L5:T5"/>
    <mergeCell ref="C35:K35"/>
    <mergeCell ref="L35:T35"/>
    <mergeCell ref="C46:T46"/>
    <mergeCell ref="C47:K47"/>
    <mergeCell ref="L55:M55"/>
  </mergeCells>
  <conditionalFormatting sqref="C7">
    <cfRule type="top10" priority="76" rank="10"/>
    <cfRule type="top10" priority="81" rank="10"/>
    <cfRule type="containsText" dxfId="8" priority="84" operator="containsText" text="10">
      <formula>NOT(ISERROR(SEARCH("10",C7)))</formula>
    </cfRule>
  </conditionalFormatting>
  <conditionalFormatting sqref="C8">
    <cfRule type="cellIs" dxfId="7" priority="56" operator="lessThan">
      <formula>11</formula>
    </cfRule>
  </conditionalFormatting>
  <conditionalFormatting sqref="C7:D7">
    <cfRule type="cellIs" dxfId="6" priority="82" operator="lessThan">
      <formula>10</formula>
    </cfRule>
  </conditionalFormatting>
  <conditionalFormatting sqref="C49:K54">
    <cfRule type="cellIs" dxfId="5" priority="2" operator="lessThan">
      <formula>11</formula>
    </cfRule>
  </conditionalFormatting>
  <conditionalFormatting sqref="C7:T31">
    <cfRule type="top10" priority="79" rank="10"/>
  </conditionalFormatting>
  <conditionalFormatting sqref="C9:T31">
    <cfRule type="cellIs" dxfId="4" priority="16" operator="lessThan">
      <formula>11</formula>
    </cfRule>
  </conditionalFormatting>
  <conditionalFormatting sqref="C37:T43">
    <cfRule type="cellIs" dxfId="3" priority="8" operator="lessThan">
      <formula>11</formula>
    </cfRule>
  </conditionalFormatting>
  <conditionalFormatting sqref="D7">
    <cfRule type="cellIs" dxfId="2" priority="74" operator="lessThan">
      <formula>10</formula>
    </cfRule>
    <cfRule type="top10" priority="75" rank="10"/>
    <cfRule type="top10" priority="77" percent="1" rank="10"/>
    <cfRule type="top10" priority="78" rank="10"/>
    <cfRule type="top10" priority="80" rank="10"/>
  </conditionalFormatting>
  <conditionalFormatting sqref="D7:T8">
    <cfRule type="cellIs" dxfId="1" priority="39" operator="lessThan">
      <formula>11</formula>
    </cfRule>
  </conditionalFormatting>
  <conditionalFormatting sqref="T9">
    <cfRule type="cellIs" dxfId="0" priority="1" operator="lessThan">
      <formula>11</formula>
    </cfRule>
  </conditionalFormatting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2BF38-EF31-43CC-8A8C-C3BD35C50ED8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c87e882-5b3d-40bf-bb22-ac7e1983871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Hoja2</vt:lpstr>
      <vt:lpstr>cch</vt:lpstr>
      <vt:lpstr>Hoja3</vt:lpstr>
      <vt:lpstr>Hoja1</vt:lpstr>
      <vt:lpstr>Hoja4</vt:lpstr>
      <vt:lpstr>IVENTARIO BF</vt:lpstr>
      <vt:lpstr>'IVENTARIO BF'!Área_de_impresión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Monserrat Nava</cp:lastModifiedBy>
  <cp:lastPrinted>2026-07-06T15:26:47Z</cp:lastPrinted>
  <dcterms:created xsi:type="dcterms:W3CDTF">2025-06-14T21:17:29Z</dcterms:created>
  <dcterms:modified xsi:type="dcterms:W3CDTF">2026-07-06T15:29:27Z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