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rketing/Downloads/"/>
    </mc:Choice>
  </mc:AlternateContent>
  <xr:revisionPtr revIDLastSave="0" documentId="8_{EF2CE5B0-847F-7547-9C88-227F05785F8E}" xr6:coauthVersionLast="47" xr6:coauthVersionMax="47" xr10:uidLastSave="{00000000-0000-0000-0000-000000000000}"/>
  <bookViews>
    <workbookView xWindow="1840" yWindow="1120" windowWidth="28620" windowHeight="21760" activeTab="3" xr2:uid="{3A735F14-7196-4631-B6AB-129D3806A1A4}"/>
  </bookViews>
  <sheets>
    <sheet name="BE FRESH" sheetId="1" r:id="rId1"/>
    <sheet name="PREZENZA" sheetId="8" r:id="rId2"/>
    <sheet name="TORIBIO MEDINA" sheetId="9" r:id="rId3"/>
    <sheet name="SUDADERAS" sheetId="10" r:id="rId4"/>
  </sheets>
  <definedNames>
    <definedName name="_xlnm.Print_Area" localSheetId="0">'BE FRESH'!$A$1:$U$62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23" i="10" l="1"/>
  <c r="J123" i="10"/>
  <c r="I123" i="10"/>
  <c r="H123" i="10"/>
  <c r="G123" i="10"/>
  <c r="F123" i="10"/>
  <c r="E123" i="10"/>
  <c r="D123" i="10"/>
  <c r="C123" i="10"/>
  <c r="L123" i="10" s="1"/>
  <c r="K122" i="10"/>
  <c r="J122" i="10"/>
  <c r="I122" i="10"/>
  <c r="H122" i="10"/>
  <c r="G122" i="10"/>
  <c r="F122" i="10"/>
  <c r="E122" i="10"/>
  <c r="D122" i="10"/>
  <c r="C122" i="10"/>
  <c r="L122" i="10" s="1"/>
  <c r="L124" i="10" s="1"/>
  <c r="L115" i="10"/>
  <c r="K115" i="10"/>
  <c r="J115" i="10"/>
  <c r="I115" i="10"/>
  <c r="H115" i="10"/>
  <c r="G115" i="10"/>
  <c r="F115" i="10"/>
  <c r="E115" i="10"/>
  <c r="M115" i="10" s="1"/>
  <c r="D115" i="10"/>
  <c r="C115" i="10"/>
  <c r="L114" i="10"/>
  <c r="K114" i="10"/>
  <c r="J114" i="10"/>
  <c r="I114" i="10"/>
  <c r="H114" i="10"/>
  <c r="G114" i="10"/>
  <c r="F114" i="10"/>
  <c r="E114" i="10"/>
  <c r="D114" i="10"/>
  <c r="M114" i="10" s="1"/>
  <c r="C114" i="10"/>
  <c r="L113" i="10"/>
  <c r="K113" i="10"/>
  <c r="J113" i="10"/>
  <c r="I113" i="10"/>
  <c r="H113" i="10"/>
  <c r="G113" i="10"/>
  <c r="F113" i="10"/>
  <c r="E113" i="10"/>
  <c r="D113" i="10"/>
  <c r="M113" i="10" s="1"/>
  <c r="C113" i="10"/>
  <c r="L112" i="10"/>
  <c r="K112" i="10"/>
  <c r="J112" i="10"/>
  <c r="I112" i="10"/>
  <c r="H112" i="10"/>
  <c r="G112" i="10"/>
  <c r="F112" i="10"/>
  <c r="E112" i="10"/>
  <c r="M112" i="10" s="1"/>
  <c r="D112" i="10"/>
  <c r="C112" i="10"/>
  <c r="L111" i="10"/>
  <c r="K111" i="10"/>
  <c r="J111" i="10"/>
  <c r="I111" i="10"/>
  <c r="H111" i="10"/>
  <c r="G111" i="10"/>
  <c r="F111" i="10"/>
  <c r="E111" i="10"/>
  <c r="D111" i="10"/>
  <c r="M111" i="10" s="1"/>
  <c r="C111" i="10"/>
  <c r="L110" i="10"/>
  <c r="K110" i="10"/>
  <c r="J110" i="10"/>
  <c r="I110" i="10"/>
  <c r="H110" i="10"/>
  <c r="G110" i="10"/>
  <c r="F110" i="10"/>
  <c r="E110" i="10"/>
  <c r="D110" i="10"/>
  <c r="M110" i="10" s="1"/>
  <c r="C110" i="10"/>
  <c r="L109" i="10"/>
  <c r="K109" i="10"/>
  <c r="J109" i="10"/>
  <c r="I109" i="10"/>
  <c r="H109" i="10"/>
  <c r="G109" i="10"/>
  <c r="F109" i="10"/>
  <c r="E109" i="10"/>
  <c r="D109" i="10"/>
  <c r="M109" i="10" s="1"/>
  <c r="M116" i="10" s="1"/>
  <c r="C109" i="10"/>
  <c r="K102" i="10"/>
  <c r="J102" i="10"/>
  <c r="I102" i="10"/>
  <c r="H102" i="10"/>
  <c r="G102" i="10"/>
  <c r="F102" i="10"/>
  <c r="E102" i="10"/>
  <c r="D102" i="10"/>
  <c r="C102" i="10"/>
  <c r="L102" i="10" s="1"/>
  <c r="K101" i="10"/>
  <c r="J101" i="10"/>
  <c r="I101" i="10"/>
  <c r="H101" i="10"/>
  <c r="G101" i="10"/>
  <c r="F101" i="10"/>
  <c r="E101" i="10"/>
  <c r="D101" i="10"/>
  <c r="L101" i="10" s="1"/>
  <c r="C101" i="10"/>
  <c r="K100" i="10"/>
  <c r="J100" i="10"/>
  <c r="I100" i="10"/>
  <c r="H100" i="10"/>
  <c r="G100" i="10"/>
  <c r="F100" i="10"/>
  <c r="E100" i="10"/>
  <c r="D100" i="10"/>
  <c r="C100" i="10"/>
  <c r="L100" i="10" s="1"/>
  <c r="L103" i="10" s="1"/>
  <c r="L94" i="10"/>
  <c r="K94" i="10"/>
  <c r="J94" i="10"/>
  <c r="I94" i="10"/>
  <c r="H94" i="10"/>
  <c r="G94" i="10"/>
  <c r="F94" i="10"/>
  <c r="E94" i="10"/>
  <c r="D94" i="10"/>
  <c r="M94" i="10" s="1"/>
  <c r="C94" i="10"/>
  <c r="L93" i="10"/>
  <c r="K93" i="10"/>
  <c r="J93" i="10"/>
  <c r="I93" i="10"/>
  <c r="H93" i="10"/>
  <c r="G93" i="10"/>
  <c r="F93" i="10"/>
  <c r="E93" i="10"/>
  <c r="M93" i="10" s="1"/>
  <c r="M95" i="10" s="1"/>
  <c r="D93" i="10"/>
  <c r="C93" i="10"/>
  <c r="L87" i="10"/>
  <c r="K87" i="10"/>
  <c r="J87" i="10"/>
  <c r="I87" i="10"/>
  <c r="H87" i="10"/>
  <c r="G87" i="10"/>
  <c r="F87" i="10"/>
  <c r="E87" i="10"/>
  <c r="D87" i="10"/>
  <c r="M87" i="10" s="1"/>
  <c r="C87" i="10"/>
  <c r="L86" i="10"/>
  <c r="K86" i="10"/>
  <c r="J86" i="10"/>
  <c r="I86" i="10"/>
  <c r="H86" i="10"/>
  <c r="G86" i="10"/>
  <c r="F86" i="10"/>
  <c r="E86" i="10"/>
  <c r="D86" i="10"/>
  <c r="M86" i="10" s="1"/>
  <c r="C86" i="10"/>
  <c r="L80" i="10"/>
  <c r="K80" i="10"/>
  <c r="J80" i="10"/>
  <c r="I80" i="10"/>
  <c r="H80" i="10"/>
  <c r="G80" i="10"/>
  <c r="F80" i="10"/>
  <c r="E80" i="10"/>
  <c r="D80" i="10"/>
  <c r="M80" i="10" s="1"/>
  <c r="C80" i="10"/>
  <c r="L79" i="10"/>
  <c r="K79" i="10"/>
  <c r="J79" i="10"/>
  <c r="I79" i="10"/>
  <c r="H79" i="10"/>
  <c r="G79" i="10"/>
  <c r="F79" i="10"/>
  <c r="E79" i="10"/>
  <c r="D79" i="10"/>
  <c r="M79" i="10" s="1"/>
  <c r="C79" i="10"/>
  <c r="K73" i="10"/>
  <c r="J73" i="10"/>
  <c r="I73" i="10"/>
  <c r="H73" i="10"/>
  <c r="G73" i="10"/>
  <c r="F73" i="10"/>
  <c r="E73" i="10"/>
  <c r="D73" i="10"/>
  <c r="L73" i="10" s="1"/>
  <c r="K72" i="10"/>
  <c r="J72" i="10"/>
  <c r="I72" i="10"/>
  <c r="H72" i="10"/>
  <c r="G72" i="10"/>
  <c r="F72" i="10"/>
  <c r="E72" i="10"/>
  <c r="D72" i="10"/>
  <c r="C72" i="10"/>
  <c r="L72" i="10" s="1"/>
  <c r="L74" i="10" s="1"/>
  <c r="K66" i="10"/>
  <c r="J66" i="10"/>
  <c r="I66" i="10"/>
  <c r="H66" i="10"/>
  <c r="G66" i="10"/>
  <c r="F66" i="10"/>
  <c r="E66" i="10"/>
  <c r="D66" i="10"/>
  <c r="C66" i="10"/>
  <c r="L66" i="10" s="1"/>
  <c r="K65" i="10"/>
  <c r="J65" i="10"/>
  <c r="I65" i="10"/>
  <c r="H65" i="10"/>
  <c r="G65" i="10"/>
  <c r="F65" i="10"/>
  <c r="E65" i="10"/>
  <c r="D65" i="10"/>
  <c r="L65" i="10" s="1"/>
  <c r="C65" i="10"/>
  <c r="K64" i="10"/>
  <c r="J64" i="10"/>
  <c r="I64" i="10"/>
  <c r="H64" i="10"/>
  <c r="G64" i="10"/>
  <c r="F64" i="10"/>
  <c r="E64" i="10"/>
  <c r="D64" i="10"/>
  <c r="C64" i="10"/>
  <c r="L64" i="10" s="1"/>
  <c r="K63" i="10"/>
  <c r="J63" i="10"/>
  <c r="I63" i="10"/>
  <c r="H63" i="10"/>
  <c r="G63" i="10"/>
  <c r="F63" i="10"/>
  <c r="E63" i="10"/>
  <c r="D63" i="10"/>
  <c r="C63" i="10"/>
  <c r="L63" i="10" s="1"/>
  <c r="K62" i="10"/>
  <c r="J62" i="10"/>
  <c r="I62" i="10"/>
  <c r="H62" i="10"/>
  <c r="G62" i="10"/>
  <c r="F62" i="10"/>
  <c r="E62" i="10"/>
  <c r="D62" i="10"/>
  <c r="C62" i="10"/>
  <c r="L62" i="10" s="1"/>
  <c r="K61" i="10"/>
  <c r="J61" i="10"/>
  <c r="I61" i="10"/>
  <c r="H61" i="10"/>
  <c r="G61" i="10"/>
  <c r="F61" i="10"/>
  <c r="E61" i="10"/>
  <c r="D61" i="10"/>
  <c r="L61" i="10" s="1"/>
  <c r="C61" i="10"/>
  <c r="I60" i="10"/>
  <c r="H60" i="10"/>
  <c r="G60" i="10"/>
  <c r="F60" i="10"/>
  <c r="E60" i="10"/>
  <c r="D60" i="10"/>
  <c r="C60" i="10"/>
  <c r="L60" i="10" s="1"/>
  <c r="K59" i="10"/>
  <c r="J59" i="10"/>
  <c r="I59" i="10"/>
  <c r="H59" i="10"/>
  <c r="G59" i="10"/>
  <c r="F59" i="10"/>
  <c r="E59" i="10"/>
  <c r="D59" i="10"/>
  <c r="C59" i="10"/>
  <c r="L59" i="10" s="1"/>
  <c r="K52" i="10"/>
  <c r="J52" i="10"/>
  <c r="I52" i="10"/>
  <c r="H52" i="10"/>
  <c r="G52" i="10"/>
  <c r="F52" i="10"/>
  <c r="E52" i="10"/>
  <c r="D52" i="10"/>
  <c r="C52" i="10"/>
  <c r="L52" i="10" s="1"/>
  <c r="K51" i="10"/>
  <c r="J51" i="10"/>
  <c r="I51" i="10"/>
  <c r="H51" i="10"/>
  <c r="G51" i="10"/>
  <c r="F51" i="10"/>
  <c r="E51" i="10"/>
  <c r="D51" i="10"/>
  <c r="C51" i="10"/>
  <c r="L51" i="10" s="1"/>
  <c r="K50" i="10"/>
  <c r="J50" i="10"/>
  <c r="I50" i="10"/>
  <c r="H50" i="10"/>
  <c r="G50" i="10"/>
  <c r="F50" i="10"/>
  <c r="E50" i="10"/>
  <c r="D50" i="10"/>
  <c r="L50" i="10" s="1"/>
  <c r="C50" i="10"/>
  <c r="K49" i="10"/>
  <c r="J49" i="10"/>
  <c r="I49" i="10"/>
  <c r="H49" i="10"/>
  <c r="G49" i="10"/>
  <c r="F49" i="10"/>
  <c r="E49" i="10"/>
  <c r="D49" i="10"/>
  <c r="C49" i="10"/>
  <c r="L49" i="10" s="1"/>
  <c r="K48" i="10"/>
  <c r="J48" i="10"/>
  <c r="I48" i="10"/>
  <c r="H48" i="10"/>
  <c r="G48" i="10"/>
  <c r="F48" i="10"/>
  <c r="E48" i="10"/>
  <c r="D48" i="10"/>
  <c r="C48" i="10"/>
  <c r="L48" i="10" s="1"/>
  <c r="K47" i="10"/>
  <c r="J47" i="10"/>
  <c r="I47" i="10"/>
  <c r="H47" i="10"/>
  <c r="G47" i="10"/>
  <c r="F47" i="10"/>
  <c r="E47" i="10"/>
  <c r="D47" i="10"/>
  <c r="C47" i="10"/>
  <c r="L47" i="10" s="1"/>
  <c r="K46" i="10"/>
  <c r="J46" i="10"/>
  <c r="I46" i="10"/>
  <c r="H46" i="10"/>
  <c r="G46" i="10"/>
  <c r="F46" i="10"/>
  <c r="E46" i="10"/>
  <c r="D46" i="10"/>
  <c r="C46" i="10"/>
  <c r="L46" i="10" s="1"/>
  <c r="K40" i="10"/>
  <c r="J40" i="10"/>
  <c r="I40" i="10"/>
  <c r="H40" i="10"/>
  <c r="G40" i="10"/>
  <c r="F40" i="10"/>
  <c r="E40" i="10"/>
  <c r="D40" i="10"/>
  <c r="C40" i="10"/>
  <c r="L40" i="10" s="1"/>
  <c r="K39" i="10"/>
  <c r="J39" i="10"/>
  <c r="I39" i="10"/>
  <c r="H39" i="10"/>
  <c r="G39" i="10"/>
  <c r="F39" i="10"/>
  <c r="E39" i="10"/>
  <c r="D39" i="10"/>
  <c r="C39" i="10"/>
  <c r="L39" i="10" s="1"/>
  <c r="K38" i="10"/>
  <c r="J38" i="10"/>
  <c r="I38" i="10"/>
  <c r="H38" i="10"/>
  <c r="G38" i="10"/>
  <c r="F38" i="10"/>
  <c r="E38" i="10"/>
  <c r="D38" i="10"/>
  <c r="L38" i="10" s="1"/>
  <c r="L41" i="10" s="1"/>
  <c r="C38" i="10"/>
  <c r="K32" i="10"/>
  <c r="J32" i="10"/>
  <c r="I32" i="10"/>
  <c r="H32" i="10"/>
  <c r="G32" i="10"/>
  <c r="F32" i="10"/>
  <c r="E32" i="10"/>
  <c r="D32" i="10"/>
  <c r="C32" i="10"/>
  <c r="L32" i="10" s="1"/>
  <c r="K31" i="10"/>
  <c r="J31" i="10"/>
  <c r="I31" i="10"/>
  <c r="H31" i="10"/>
  <c r="G31" i="10"/>
  <c r="F31" i="10"/>
  <c r="E31" i="10"/>
  <c r="D31" i="10"/>
  <c r="C31" i="10"/>
  <c r="L31" i="10" s="1"/>
  <c r="L30" i="10"/>
  <c r="K29" i="10"/>
  <c r="J29" i="10"/>
  <c r="I29" i="10"/>
  <c r="H29" i="10"/>
  <c r="G29" i="10"/>
  <c r="F29" i="10"/>
  <c r="E29" i="10"/>
  <c r="D29" i="10"/>
  <c r="L29" i="10" s="1"/>
  <c r="C29" i="10"/>
  <c r="L28" i="10"/>
  <c r="K27" i="10"/>
  <c r="J27" i="10"/>
  <c r="I27" i="10"/>
  <c r="H27" i="10"/>
  <c r="G27" i="10"/>
  <c r="F27" i="10"/>
  <c r="E27" i="10"/>
  <c r="D27" i="10"/>
  <c r="C27" i="10"/>
  <c r="L27" i="10" s="1"/>
  <c r="K25" i="10"/>
  <c r="J25" i="10"/>
  <c r="I25" i="10"/>
  <c r="H25" i="10"/>
  <c r="G25" i="10"/>
  <c r="F25" i="10"/>
  <c r="E25" i="10"/>
  <c r="D25" i="10"/>
  <c r="C25" i="10"/>
  <c r="L25" i="10" s="1"/>
  <c r="K24" i="10"/>
  <c r="J24" i="10"/>
  <c r="I24" i="10"/>
  <c r="H24" i="10"/>
  <c r="G24" i="10"/>
  <c r="F24" i="10"/>
  <c r="E24" i="10"/>
  <c r="D24" i="10"/>
  <c r="C24" i="10"/>
  <c r="L24" i="10" s="1"/>
  <c r="K23" i="10"/>
  <c r="J23" i="10"/>
  <c r="I23" i="10"/>
  <c r="H23" i="10"/>
  <c r="G23" i="10"/>
  <c r="F23" i="10"/>
  <c r="E23" i="10"/>
  <c r="D23" i="10"/>
  <c r="L23" i="10" s="1"/>
  <c r="C23" i="10"/>
  <c r="K22" i="10"/>
  <c r="J22" i="10"/>
  <c r="I22" i="10"/>
  <c r="H22" i="10"/>
  <c r="G22" i="10"/>
  <c r="F22" i="10"/>
  <c r="E22" i="10"/>
  <c r="D22" i="10"/>
  <c r="C22" i="10"/>
  <c r="L22" i="10" s="1"/>
  <c r="K16" i="10"/>
  <c r="J16" i="10"/>
  <c r="I16" i="10"/>
  <c r="H16" i="10"/>
  <c r="G16" i="10"/>
  <c r="F16" i="10"/>
  <c r="E16" i="10"/>
  <c r="D16" i="10"/>
  <c r="C16" i="10"/>
  <c r="L16" i="10" s="1"/>
  <c r="L15" i="10"/>
  <c r="K15" i="10"/>
  <c r="J15" i="10"/>
  <c r="I15" i="10"/>
  <c r="H15" i="10"/>
  <c r="G15" i="10"/>
  <c r="F15" i="10"/>
  <c r="E15" i="10"/>
  <c r="D15" i="10"/>
  <c r="C15" i="10"/>
  <c r="K14" i="10"/>
  <c r="J14" i="10"/>
  <c r="I14" i="10"/>
  <c r="H14" i="10"/>
  <c r="G14" i="10"/>
  <c r="F14" i="10"/>
  <c r="E14" i="10"/>
  <c r="D14" i="10"/>
  <c r="C14" i="10"/>
  <c r="L14" i="10" s="1"/>
  <c r="J13" i="10"/>
  <c r="I13" i="10"/>
  <c r="H13" i="10"/>
  <c r="G13" i="10"/>
  <c r="F13" i="10"/>
  <c r="E13" i="10"/>
  <c r="D13" i="10"/>
  <c r="C13" i="10"/>
  <c r="K12" i="10"/>
  <c r="J12" i="10"/>
  <c r="I12" i="10"/>
  <c r="H12" i="10"/>
  <c r="G12" i="10"/>
  <c r="F12" i="10"/>
  <c r="E12" i="10"/>
  <c r="D12" i="10"/>
  <c r="C12" i="10"/>
  <c r="L12" i="10" s="1"/>
  <c r="K11" i="10"/>
  <c r="J11" i="10"/>
  <c r="I11" i="10"/>
  <c r="H11" i="10"/>
  <c r="G11" i="10"/>
  <c r="F11" i="10"/>
  <c r="E11" i="10"/>
  <c r="D11" i="10"/>
  <c r="C11" i="10"/>
  <c r="L11" i="10" s="1"/>
  <c r="L10" i="10"/>
  <c r="I10" i="10"/>
  <c r="H10" i="10"/>
  <c r="G10" i="10"/>
  <c r="F10" i="10"/>
  <c r="E10" i="10"/>
  <c r="D10" i="10"/>
  <c r="C10" i="10"/>
  <c r="K9" i="10"/>
  <c r="J9" i="10"/>
  <c r="I9" i="10"/>
  <c r="H9" i="10"/>
  <c r="G9" i="10"/>
  <c r="F9" i="10"/>
  <c r="E9" i="10"/>
  <c r="D9" i="10"/>
  <c r="L9" i="10" s="1"/>
  <c r="C9" i="10"/>
  <c r="K8" i="10"/>
  <c r="J8" i="10"/>
  <c r="I8" i="10"/>
  <c r="H8" i="10"/>
  <c r="G8" i="10"/>
  <c r="F8" i="10"/>
  <c r="E8" i="10"/>
  <c r="D8" i="10"/>
  <c r="C8" i="10"/>
  <c r="L8" i="10" s="1"/>
  <c r="K7" i="10"/>
  <c r="J7" i="10"/>
  <c r="I7" i="10"/>
  <c r="H7" i="10"/>
  <c r="G7" i="10"/>
  <c r="F7" i="10"/>
  <c r="E7" i="10"/>
  <c r="D7" i="10"/>
  <c r="C7" i="10"/>
  <c r="L7" i="10" s="1"/>
  <c r="I280" i="9"/>
  <c r="H280" i="9"/>
  <c r="G280" i="9"/>
  <c r="F280" i="9"/>
  <c r="E280" i="9"/>
  <c r="M280" i="9" s="1"/>
  <c r="J279" i="9"/>
  <c r="H279" i="9"/>
  <c r="G279" i="9"/>
  <c r="F279" i="9"/>
  <c r="E279" i="9"/>
  <c r="M279" i="9" s="1"/>
  <c r="J278" i="9"/>
  <c r="M278" i="9" s="1"/>
  <c r="H278" i="9"/>
  <c r="F278" i="9"/>
  <c r="J277" i="9"/>
  <c r="I277" i="9"/>
  <c r="H277" i="9"/>
  <c r="F277" i="9"/>
  <c r="E277" i="9"/>
  <c r="M277" i="9" s="1"/>
  <c r="M276" i="9"/>
  <c r="J276" i="9"/>
  <c r="F276" i="9"/>
  <c r="I275" i="9"/>
  <c r="H275" i="9"/>
  <c r="G275" i="9"/>
  <c r="F275" i="9"/>
  <c r="E275" i="9"/>
  <c r="M275" i="9" s="1"/>
  <c r="D275" i="9"/>
  <c r="J274" i="9"/>
  <c r="I274" i="9"/>
  <c r="F274" i="9"/>
  <c r="E274" i="9"/>
  <c r="M274" i="9" s="1"/>
  <c r="M281" i="9" s="1"/>
  <c r="V265" i="9"/>
  <c r="P265" i="9"/>
  <c r="O265" i="9"/>
  <c r="N265" i="9"/>
  <c r="M259" i="9"/>
  <c r="M251" i="9"/>
  <c r="M250" i="9"/>
  <c r="M249" i="9"/>
  <c r="M252" i="9" s="1"/>
  <c r="M248" i="9"/>
  <c r="D247" i="9"/>
  <c r="J234" i="9"/>
  <c r="I234" i="9"/>
  <c r="H234" i="9"/>
  <c r="G234" i="9"/>
  <c r="F234" i="9"/>
  <c r="E234" i="9"/>
  <c r="D234" i="9"/>
  <c r="M234" i="9" s="1"/>
  <c r="J233" i="9"/>
  <c r="I233" i="9"/>
  <c r="H233" i="9"/>
  <c r="G233" i="9"/>
  <c r="F233" i="9"/>
  <c r="M233" i="9" s="1"/>
  <c r="E233" i="9"/>
  <c r="D233" i="9"/>
  <c r="J232" i="9"/>
  <c r="H232" i="9"/>
  <c r="G232" i="9"/>
  <c r="F232" i="9"/>
  <c r="E232" i="9"/>
  <c r="M232" i="9" s="1"/>
  <c r="M235" i="9" s="1"/>
  <c r="D232" i="9"/>
  <c r="I226" i="9"/>
  <c r="H226" i="9"/>
  <c r="G226" i="9"/>
  <c r="F226" i="9"/>
  <c r="M226" i="9" s="1"/>
  <c r="M225" i="9"/>
  <c r="M227" i="9" s="1"/>
  <c r="G225" i="9"/>
  <c r="I218" i="9"/>
  <c r="H218" i="9"/>
  <c r="G218" i="9"/>
  <c r="F218" i="9"/>
  <c r="M218" i="9" s="1"/>
  <c r="M217" i="9"/>
  <c r="K217" i="9"/>
  <c r="G217" i="9"/>
  <c r="F217" i="9"/>
  <c r="J210" i="9"/>
  <c r="I210" i="9"/>
  <c r="M210" i="9" s="1"/>
  <c r="H210" i="9"/>
  <c r="G210" i="9"/>
  <c r="F210" i="9"/>
  <c r="E210" i="9"/>
  <c r="D210" i="9"/>
  <c r="H209" i="9"/>
  <c r="G209" i="9"/>
  <c r="M209" i="9" s="1"/>
  <c r="F209" i="9"/>
  <c r="K208" i="9"/>
  <c r="J208" i="9"/>
  <c r="I208" i="9"/>
  <c r="H208" i="9"/>
  <c r="G208" i="9"/>
  <c r="F208" i="9"/>
  <c r="E208" i="9"/>
  <c r="D208" i="9"/>
  <c r="M208" i="9" s="1"/>
  <c r="K201" i="9"/>
  <c r="J201" i="9"/>
  <c r="I201" i="9"/>
  <c r="H201" i="9"/>
  <c r="G201" i="9"/>
  <c r="N201" i="9" s="1"/>
  <c r="F201" i="9"/>
  <c r="E201" i="9"/>
  <c r="I200" i="9"/>
  <c r="H200" i="9"/>
  <c r="E200" i="9"/>
  <c r="N200" i="9" s="1"/>
  <c r="N202" i="9" s="1"/>
  <c r="L193" i="9"/>
  <c r="K193" i="9"/>
  <c r="J193" i="9"/>
  <c r="H193" i="9"/>
  <c r="G193" i="9"/>
  <c r="N193" i="9" s="1"/>
  <c r="N192" i="9"/>
  <c r="N194" i="9" s="1"/>
  <c r="L192" i="9"/>
  <c r="K192" i="9"/>
  <c r="I192" i="9"/>
  <c r="H192" i="9"/>
  <c r="G192" i="9"/>
  <c r="F192" i="9"/>
  <c r="M177" i="9"/>
  <c r="I177" i="9"/>
  <c r="H177" i="9"/>
  <c r="G177" i="9"/>
  <c r="F177" i="9"/>
  <c r="E177" i="9"/>
  <c r="D177" i="9"/>
  <c r="K176" i="9"/>
  <c r="M176" i="9" s="1"/>
  <c r="J176" i="9"/>
  <c r="I176" i="9"/>
  <c r="H176" i="9"/>
  <c r="G176" i="9"/>
  <c r="F176" i="9"/>
  <c r="E176" i="9"/>
  <c r="D176" i="9"/>
  <c r="M175" i="9"/>
  <c r="M178" i="9" s="1"/>
  <c r="K175" i="9"/>
  <c r="I175" i="9"/>
  <c r="H175" i="9"/>
  <c r="G175" i="9"/>
  <c r="F175" i="9"/>
  <c r="E175" i="9"/>
  <c r="D175" i="9"/>
  <c r="G168" i="9"/>
  <c r="F168" i="9"/>
  <c r="E168" i="9"/>
  <c r="D168" i="9"/>
  <c r="M168" i="9" s="1"/>
  <c r="L167" i="9"/>
  <c r="J167" i="9"/>
  <c r="I167" i="9"/>
  <c r="H167" i="9"/>
  <c r="G167" i="9"/>
  <c r="F167" i="9"/>
  <c r="E167" i="9"/>
  <c r="D167" i="9"/>
  <c r="M167" i="9" s="1"/>
  <c r="J166" i="9"/>
  <c r="M166" i="9" s="1"/>
  <c r="I166" i="9"/>
  <c r="H166" i="9"/>
  <c r="G166" i="9"/>
  <c r="F166" i="9"/>
  <c r="E166" i="9"/>
  <c r="D166" i="9"/>
  <c r="I165" i="9"/>
  <c r="M165" i="9" s="1"/>
  <c r="H165" i="9"/>
  <c r="G165" i="9"/>
  <c r="F165" i="9"/>
  <c r="E165" i="9"/>
  <c r="D165" i="9"/>
  <c r="J164" i="9"/>
  <c r="I164" i="9"/>
  <c r="M164" i="9" s="1"/>
  <c r="H164" i="9"/>
  <c r="G164" i="9"/>
  <c r="F164" i="9"/>
  <c r="E164" i="9"/>
  <c r="D164" i="9"/>
  <c r="J163" i="9"/>
  <c r="I163" i="9"/>
  <c r="M163" i="9" s="1"/>
  <c r="H163" i="9"/>
  <c r="G163" i="9"/>
  <c r="F163" i="9"/>
  <c r="E163" i="9"/>
  <c r="D163" i="9"/>
  <c r="J156" i="9"/>
  <c r="M156" i="9" s="1"/>
  <c r="G156" i="9"/>
  <c r="F156" i="9"/>
  <c r="E156" i="9"/>
  <c r="F155" i="9"/>
  <c r="E155" i="9"/>
  <c r="M155" i="9" s="1"/>
  <c r="H154" i="9"/>
  <c r="M154" i="9" s="1"/>
  <c r="E154" i="9"/>
  <c r="G153" i="9"/>
  <c r="E153" i="9"/>
  <c r="D153" i="9"/>
  <c r="M153" i="9" s="1"/>
  <c r="H152" i="9"/>
  <c r="M152" i="9" s="1"/>
  <c r="L151" i="9"/>
  <c r="K151" i="9"/>
  <c r="I151" i="9"/>
  <c r="H151" i="9"/>
  <c r="G151" i="9"/>
  <c r="F151" i="9"/>
  <c r="E151" i="9"/>
  <c r="D151" i="9"/>
  <c r="M151" i="9" s="1"/>
  <c r="M157" i="9" s="1"/>
  <c r="I144" i="9"/>
  <c r="G144" i="9"/>
  <c r="F144" i="9"/>
  <c r="M144" i="9" s="1"/>
  <c r="H143" i="9"/>
  <c r="F143" i="9"/>
  <c r="M143" i="9" s="1"/>
  <c r="E143" i="9"/>
  <c r="D142" i="9"/>
  <c r="M142" i="9" s="1"/>
  <c r="L141" i="9"/>
  <c r="K141" i="9"/>
  <c r="J141" i="9"/>
  <c r="I141" i="9"/>
  <c r="G141" i="9"/>
  <c r="M141" i="9" s="1"/>
  <c r="F141" i="9"/>
  <c r="E141" i="9"/>
  <c r="J140" i="9"/>
  <c r="H140" i="9"/>
  <c r="G140" i="9"/>
  <c r="F140" i="9"/>
  <c r="E140" i="9"/>
  <c r="M140" i="9" s="1"/>
  <c r="K139" i="9"/>
  <c r="I139" i="9"/>
  <c r="H139" i="9"/>
  <c r="G139" i="9"/>
  <c r="F139" i="9"/>
  <c r="E139" i="9"/>
  <c r="D139" i="9"/>
  <c r="M139" i="9" s="1"/>
  <c r="M145" i="9" s="1"/>
  <c r="H132" i="9"/>
  <c r="G132" i="9"/>
  <c r="F132" i="9"/>
  <c r="E132" i="9"/>
  <c r="M132" i="9" s="1"/>
  <c r="M131" i="9"/>
  <c r="H131" i="9"/>
  <c r="G131" i="9"/>
  <c r="F131" i="9"/>
  <c r="E131" i="9"/>
  <c r="I130" i="9"/>
  <c r="F130" i="9"/>
  <c r="M130" i="9" s="1"/>
  <c r="M129" i="9"/>
  <c r="J129" i="9"/>
  <c r="I129" i="9"/>
  <c r="H129" i="9"/>
  <c r="G129" i="9"/>
  <c r="F129" i="9"/>
  <c r="E129" i="9"/>
  <c r="D129" i="9"/>
  <c r="M128" i="9"/>
  <c r="I128" i="9"/>
  <c r="G128" i="9"/>
  <c r="F128" i="9"/>
  <c r="E128" i="9"/>
  <c r="D128" i="9"/>
  <c r="J127" i="9"/>
  <c r="H127" i="9"/>
  <c r="M127" i="9" s="1"/>
  <c r="G127" i="9"/>
  <c r="F127" i="9"/>
  <c r="E127" i="9"/>
  <c r="D127" i="9"/>
  <c r="J126" i="9"/>
  <c r="H126" i="9"/>
  <c r="G126" i="9"/>
  <c r="M126" i="9" s="1"/>
  <c r="F126" i="9"/>
  <c r="D126" i="9"/>
  <c r="I125" i="9"/>
  <c r="F125" i="9"/>
  <c r="E125" i="9"/>
  <c r="M125" i="9" s="1"/>
  <c r="M133" i="9" s="1"/>
  <c r="V112" i="9"/>
  <c r="S112" i="9"/>
  <c r="O112" i="9"/>
  <c r="N112" i="9"/>
  <c r="L112" i="9"/>
  <c r="K112" i="9"/>
  <c r="H112" i="9"/>
  <c r="F112" i="9"/>
  <c r="D112" i="9"/>
  <c r="U111" i="9"/>
  <c r="T111" i="9"/>
  <c r="S111" i="9"/>
  <c r="Q111" i="9"/>
  <c r="P111" i="9"/>
  <c r="N111" i="9"/>
  <c r="M111" i="9"/>
  <c r="L111" i="9"/>
  <c r="J111" i="9"/>
  <c r="I111" i="9"/>
  <c r="H111" i="9"/>
  <c r="G111" i="9"/>
  <c r="D111" i="9"/>
  <c r="V111" i="9" s="1"/>
  <c r="U110" i="9"/>
  <c r="S110" i="9"/>
  <c r="R110" i="9"/>
  <c r="Q110" i="9"/>
  <c r="P110" i="9"/>
  <c r="O110" i="9"/>
  <c r="N110" i="9"/>
  <c r="M110" i="9"/>
  <c r="K110" i="9"/>
  <c r="V110" i="9" s="1"/>
  <c r="J110" i="9"/>
  <c r="I110" i="9"/>
  <c r="G110" i="9"/>
  <c r="F110" i="9"/>
  <c r="E110" i="9"/>
  <c r="U109" i="9"/>
  <c r="R109" i="9"/>
  <c r="P109" i="9"/>
  <c r="O109" i="9"/>
  <c r="N109" i="9"/>
  <c r="L109" i="9"/>
  <c r="J109" i="9"/>
  <c r="H109" i="9"/>
  <c r="G109" i="9"/>
  <c r="F109" i="9"/>
  <c r="V109" i="9" s="1"/>
  <c r="D109" i="9"/>
  <c r="U108" i="9"/>
  <c r="T108" i="9"/>
  <c r="R108" i="9"/>
  <c r="Q108" i="9"/>
  <c r="P108" i="9"/>
  <c r="O108" i="9"/>
  <c r="N108" i="9"/>
  <c r="M108" i="9"/>
  <c r="I108" i="9"/>
  <c r="H108" i="9"/>
  <c r="G108" i="9"/>
  <c r="F108" i="9"/>
  <c r="V108" i="9" s="1"/>
  <c r="U107" i="9"/>
  <c r="T107" i="9"/>
  <c r="Q107" i="9"/>
  <c r="P107" i="9"/>
  <c r="N107" i="9"/>
  <c r="H107" i="9"/>
  <c r="G107" i="9"/>
  <c r="F107" i="9"/>
  <c r="E107" i="9"/>
  <c r="V107" i="9" s="1"/>
  <c r="D107" i="9"/>
  <c r="T106" i="9"/>
  <c r="S106" i="9"/>
  <c r="Q106" i="9"/>
  <c r="N106" i="9"/>
  <c r="M106" i="9"/>
  <c r="K106" i="9"/>
  <c r="J106" i="9"/>
  <c r="I106" i="9"/>
  <c r="H106" i="9"/>
  <c r="D106" i="9"/>
  <c r="V106" i="9" s="1"/>
  <c r="U105" i="9"/>
  <c r="L105" i="9"/>
  <c r="K105" i="9"/>
  <c r="V105" i="9" s="1"/>
  <c r="D105" i="9"/>
  <c r="U104" i="9"/>
  <c r="T104" i="9"/>
  <c r="S104" i="9"/>
  <c r="Q104" i="9"/>
  <c r="P104" i="9"/>
  <c r="O104" i="9"/>
  <c r="N104" i="9"/>
  <c r="M104" i="9"/>
  <c r="L104" i="9"/>
  <c r="K104" i="9"/>
  <c r="J104" i="9"/>
  <c r="I104" i="9"/>
  <c r="G104" i="9"/>
  <c r="F104" i="9"/>
  <c r="E104" i="9"/>
  <c r="D104" i="9"/>
  <c r="V104" i="9" s="1"/>
  <c r="U103" i="9"/>
  <c r="T103" i="9"/>
  <c r="S103" i="9"/>
  <c r="P103" i="9"/>
  <c r="M103" i="9"/>
  <c r="I103" i="9"/>
  <c r="H103" i="9"/>
  <c r="F103" i="9"/>
  <c r="V103" i="9" s="1"/>
  <c r="U102" i="9"/>
  <c r="T102" i="9"/>
  <c r="Q102" i="9"/>
  <c r="P102" i="9"/>
  <c r="O102" i="9"/>
  <c r="N102" i="9"/>
  <c r="M102" i="9"/>
  <c r="H102" i="9"/>
  <c r="G102" i="9"/>
  <c r="F102" i="9"/>
  <c r="E102" i="9"/>
  <c r="D102" i="9"/>
  <c r="V102" i="9" s="1"/>
  <c r="U101" i="9"/>
  <c r="T101" i="9"/>
  <c r="Q101" i="9"/>
  <c r="P101" i="9"/>
  <c r="O101" i="9"/>
  <c r="N101" i="9"/>
  <c r="M101" i="9"/>
  <c r="K101" i="9"/>
  <c r="I101" i="9"/>
  <c r="H101" i="9"/>
  <c r="G101" i="9"/>
  <c r="F101" i="9"/>
  <c r="D101" i="9"/>
  <c r="V101" i="9" s="1"/>
  <c r="U100" i="9"/>
  <c r="T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V100" i="9" s="1"/>
  <c r="G92" i="9"/>
  <c r="F92" i="9"/>
  <c r="E92" i="9"/>
  <c r="D92" i="9"/>
  <c r="H92" i="9" s="1"/>
  <c r="G87" i="9"/>
  <c r="F87" i="9"/>
  <c r="H87" i="9" s="1"/>
  <c r="E87" i="9"/>
  <c r="D87" i="9"/>
  <c r="G86" i="9"/>
  <c r="F86" i="9"/>
  <c r="E86" i="9"/>
  <c r="D86" i="9"/>
  <c r="H86" i="9" s="1"/>
  <c r="H81" i="9"/>
  <c r="G81" i="9"/>
  <c r="F81" i="9"/>
  <c r="E81" i="9"/>
  <c r="D81" i="9"/>
  <c r="H76" i="9"/>
  <c r="G76" i="9"/>
  <c r="F76" i="9"/>
  <c r="I76" i="9" s="1"/>
  <c r="E76" i="9"/>
  <c r="D76" i="9"/>
  <c r="H71" i="9"/>
  <c r="G71" i="9"/>
  <c r="F71" i="9"/>
  <c r="E71" i="9"/>
  <c r="D71" i="9"/>
  <c r="I71" i="9" s="1"/>
  <c r="R65" i="9"/>
  <c r="Q65" i="9"/>
  <c r="P65" i="9"/>
  <c r="O65" i="9"/>
  <c r="N65" i="9"/>
  <c r="M65" i="9"/>
  <c r="S65" i="9" s="1"/>
  <c r="H65" i="9"/>
  <c r="G65" i="9"/>
  <c r="F65" i="9"/>
  <c r="E65" i="9"/>
  <c r="D65" i="9"/>
  <c r="I65" i="9" s="1"/>
  <c r="S64" i="9"/>
  <c r="R64" i="9"/>
  <c r="Q64" i="9"/>
  <c r="P64" i="9"/>
  <c r="O64" i="9"/>
  <c r="N64" i="9"/>
  <c r="M64" i="9"/>
  <c r="H64" i="9"/>
  <c r="I64" i="9" s="1"/>
  <c r="I66" i="9" s="1"/>
  <c r="G64" i="9"/>
  <c r="F64" i="9"/>
  <c r="E64" i="9"/>
  <c r="D64" i="9"/>
  <c r="W57" i="9"/>
  <c r="V57" i="9"/>
  <c r="X57" i="9" s="1"/>
  <c r="U57" i="9"/>
  <c r="T57" i="9"/>
  <c r="S57" i="9"/>
  <c r="R57" i="9"/>
  <c r="Q57" i="9"/>
  <c r="H57" i="9"/>
  <c r="G57" i="9"/>
  <c r="M57" i="9" s="1"/>
  <c r="F57" i="9"/>
  <c r="E57" i="9"/>
  <c r="H56" i="9"/>
  <c r="G56" i="9"/>
  <c r="F56" i="9"/>
  <c r="M56" i="9" s="1"/>
  <c r="K55" i="9"/>
  <c r="M55" i="9" s="1"/>
  <c r="I55" i="9"/>
  <c r="H55" i="9"/>
  <c r="G55" i="9"/>
  <c r="F55" i="9"/>
  <c r="E55" i="9"/>
  <c r="H54" i="9"/>
  <c r="G54" i="9"/>
  <c r="M54" i="9" s="1"/>
  <c r="F54" i="9"/>
  <c r="E54" i="9"/>
  <c r="D54" i="9"/>
  <c r="I53" i="9"/>
  <c r="H53" i="9"/>
  <c r="G53" i="9"/>
  <c r="F53" i="9"/>
  <c r="E53" i="9"/>
  <c r="D53" i="9"/>
  <c r="M53" i="9" s="1"/>
  <c r="Q52" i="9"/>
  <c r="R52" i="9" s="1"/>
  <c r="J52" i="9"/>
  <c r="I52" i="9"/>
  <c r="H52" i="9"/>
  <c r="M52" i="9" s="1"/>
  <c r="G52" i="9"/>
  <c r="F52" i="9"/>
  <c r="E52" i="9"/>
  <c r="S46" i="9"/>
  <c r="R46" i="9"/>
  <c r="Q46" i="9"/>
  <c r="P46" i="9"/>
  <c r="O46" i="9"/>
  <c r="N46" i="9"/>
  <c r="H46" i="9"/>
  <c r="G46" i="9"/>
  <c r="F46" i="9"/>
  <c r="E46" i="9"/>
  <c r="D46" i="9"/>
  <c r="V46" i="9" s="1"/>
  <c r="S45" i="9"/>
  <c r="Q45" i="9"/>
  <c r="P45" i="9"/>
  <c r="O45" i="9"/>
  <c r="N45" i="9"/>
  <c r="M45" i="9"/>
  <c r="I45" i="9"/>
  <c r="H45" i="9"/>
  <c r="V45" i="9" s="1"/>
  <c r="G45" i="9"/>
  <c r="F45" i="9"/>
  <c r="E45" i="9"/>
  <c r="Q44" i="9"/>
  <c r="P44" i="9"/>
  <c r="O44" i="9"/>
  <c r="V44" i="9" s="1"/>
  <c r="N44" i="9"/>
  <c r="M44" i="9"/>
  <c r="D44" i="9"/>
  <c r="S43" i="9"/>
  <c r="Q43" i="9"/>
  <c r="P43" i="9"/>
  <c r="O43" i="9"/>
  <c r="N43" i="9"/>
  <c r="M43" i="9"/>
  <c r="K43" i="9"/>
  <c r="H43" i="9"/>
  <c r="G43" i="9"/>
  <c r="F43" i="9"/>
  <c r="E43" i="9"/>
  <c r="D43" i="9"/>
  <c r="V43" i="9" s="1"/>
  <c r="S42" i="9"/>
  <c r="R42" i="9"/>
  <c r="Q42" i="9"/>
  <c r="P42" i="9"/>
  <c r="O42" i="9"/>
  <c r="N42" i="9"/>
  <c r="M42" i="9"/>
  <c r="J42" i="9"/>
  <c r="I42" i="9"/>
  <c r="H42" i="9"/>
  <c r="G42" i="9"/>
  <c r="F42" i="9"/>
  <c r="E42" i="9"/>
  <c r="D42" i="9"/>
  <c r="V42" i="9" s="1"/>
  <c r="V41" i="9"/>
  <c r="U41" i="9"/>
  <c r="S41" i="9"/>
  <c r="R41" i="9"/>
  <c r="Q41" i="9"/>
  <c r="P41" i="9"/>
  <c r="O41" i="9"/>
  <c r="N41" i="9"/>
  <c r="J41" i="9"/>
  <c r="H41" i="9"/>
  <c r="G41" i="9"/>
  <c r="F41" i="9"/>
  <c r="E41" i="9"/>
  <c r="S40" i="9"/>
  <c r="R40" i="9"/>
  <c r="Q40" i="9"/>
  <c r="P40" i="9"/>
  <c r="O40" i="9"/>
  <c r="N40" i="9"/>
  <c r="M40" i="9"/>
  <c r="I40" i="9"/>
  <c r="H40" i="9"/>
  <c r="G40" i="9"/>
  <c r="F40" i="9"/>
  <c r="V40" i="9" s="1"/>
  <c r="E40" i="9"/>
  <c r="D40" i="9"/>
  <c r="T32" i="9"/>
  <c r="R32" i="9"/>
  <c r="Q32" i="9"/>
  <c r="P32" i="9"/>
  <c r="O32" i="9"/>
  <c r="L32" i="9"/>
  <c r="I32" i="9"/>
  <c r="H32" i="9"/>
  <c r="E32" i="9"/>
  <c r="V32" i="9" s="1"/>
  <c r="R31" i="9"/>
  <c r="J31" i="9"/>
  <c r="I31" i="9"/>
  <c r="H31" i="9"/>
  <c r="G31" i="9"/>
  <c r="F31" i="9"/>
  <c r="E31" i="9"/>
  <c r="D31" i="9"/>
  <c r="V31" i="9" s="1"/>
  <c r="S30" i="9"/>
  <c r="R30" i="9"/>
  <c r="Q30" i="9"/>
  <c r="P30" i="9"/>
  <c r="O30" i="9"/>
  <c r="N30" i="9"/>
  <c r="M30" i="9"/>
  <c r="J30" i="9"/>
  <c r="I30" i="9"/>
  <c r="V30" i="9" s="1"/>
  <c r="H30" i="9"/>
  <c r="G30" i="9"/>
  <c r="F30" i="9"/>
  <c r="E30" i="9"/>
  <c r="D30" i="9"/>
  <c r="S29" i="9"/>
  <c r="R29" i="9"/>
  <c r="Q29" i="9"/>
  <c r="P29" i="9"/>
  <c r="O29" i="9"/>
  <c r="N29" i="9"/>
  <c r="K29" i="9"/>
  <c r="G29" i="9"/>
  <c r="F29" i="9"/>
  <c r="E29" i="9"/>
  <c r="V29" i="9" s="1"/>
  <c r="T28" i="9"/>
  <c r="P28" i="9"/>
  <c r="O28" i="9"/>
  <c r="N28" i="9"/>
  <c r="I28" i="9"/>
  <c r="H28" i="9"/>
  <c r="F28" i="9"/>
  <c r="D28" i="9"/>
  <c r="V28" i="9" s="1"/>
  <c r="T27" i="9"/>
  <c r="S27" i="9"/>
  <c r="R27" i="9"/>
  <c r="Q27" i="9"/>
  <c r="P27" i="9"/>
  <c r="O27" i="9"/>
  <c r="N27" i="9"/>
  <c r="M27" i="9"/>
  <c r="K27" i="9"/>
  <c r="J27" i="9"/>
  <c r="I27" i="9"/>
  <c r="H27" i="9"/>
  <c r="G27" i="9"/>
  <c r="F27" i="9"/>
  <c r="E27" i="9"/>
  <c r="D27" i="9"/>
  <c r="V27" i="9" s="1"/>
  <c r="T26" i="9"/>
  <c r="S26" i="9"/>
  <c r="R26" i="9"/>
  <c r="Q26" i="9"/>
  <c r="P26" i="9"/>
  <c r="O26" i="9"/>
  <c r="N26" i="9"/>
  <c r="M26" i="9"/>
  <c r="L26" i="9"/>
  <c r="J26" i="9"/>
  <c r="I26" i="9"/>
  <c r="H26" i="9"/>
  <c r="G26" i="9"/>
  <c r="F26" i="9"/>
  <c r="E26" i="9"/>
  <c r="D26" i="9"/>
  <c r="V26" i="9" s="1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V25" i="9" s="1"/>
  <c r="S24" i="9"/>
  <c r="R24" i="9"/>
  <c r="Q24" i="9"/>
  <c r="P24" i="9"/>
  <c r="O24" i="9"/>
  <c r="N24" i="9"/>
  <c r="M24" i="9"/>
  <c r="K24" i="9"/>
  <c r="I24" i="9"/>
  <c r="H24" i="9"/>
  <c r="G24" i="9"/>
  <c r="V24" i="9" s="1"/>
  <c r="F24" i="9"/>
  <c r="E24" i="9"/>
  <c r="D24" i="9"/>
  <c r="S23" i="9"/>
  <c r="Q23" i="9"/>
  <c r="P23" i="9"/>
  <c r="O23" i="9"/>
  <c r="N23" i="9"/>
  <c r="M23" i="9"/>
  <c r="I23" i="9"/>
  <c r="H23" i="9"/>
  <c r="G23" i="9"/>
  <c r="F23" i="9"/>
  <c r="E23" i="9"/>
  <c r="D23" i="9"/>
  <c r="V23" i="9" s="1"/>
  <c r="S22" i="9"/>
  <c r="R22" i="9"/>
  <c r="P22" i="9"/>
  <c r="O22" i="9"/>
  <c r="N22" i="9"/>
  <c r="M22" i="9"/>
  <c r="J22" i="9"/>
  <c r="I22" i="9"/>
  <c r="H22" i="9"/>
  <c r="G22" i="9"/>
  <c r="F22" i="9"/>
  <c r="E22" i="9"/>
  <c r="D22" i="9"/>
  <c r="V22" i="9" s="1"/>
  <c r="S21" i="9"/>
  <c r="R21" i="9"/>
  <c r="Q21" i="9"/>
  <c r="P21" i="9"/>
  <c r="O21" i="9"/>
  <c r="N21" i="9"/>
  <c r="M21" i="9"/>
  <c r="J21" i="9"/>
  <c r="I21" i="9"/>
  <c r="V21" i="9" s="1"/>
  <c r="H21" i="9"/>
  <c r="G21" i="9"/>
  <c r="F21" i="9"/>
  <c r="E21" i="9"/>
  <c r="D21" i="9"/>
  <c r="S20" i="9"/>
  <c r="R20" i="9"/>
  <c r="Q20" i="9"/>
  <c r="P20" i="9"/>
  <c r="O20" i="9"/>
  <c r="I20" i="9"/>
  <c r="H20" i="9"/>
  <c r="G20" i="9"/>
  <c r="F20" i="9"/>
  <c r="E20" i="9"/>
  <c r="V20" i="9" s="1"/>
  <c r="D20" i="9"/>
  <c r="S19" i="9"/>
  <c r="R19" i="9"/>
  <c r="Q19" i="9"/>
  <c r="P19" i="9"/>
  <c r="O19" i="9"/>
  <c r="N19" i="9"/>
  <c r="L19" i="9"/>
  <c r="K19" i="9"/>
  <c r="I19" i="9"/>
  <c r="H19" i="9"/>
  <c r="G19" i="9"/>
  <c r="F19" i="9"/>
  <c r="E19" i="9"/>
  <c r="D19" i="9"/>
  <c r="V19" i="9" s="1"/>
  <c r="T18" i="9"/>
  <c r="R18" i="9"/>
  <c r="Q18" i="9"/>
  <c r="P18" i="9"/>
  <c r="O18" i="9"/>
  <c r="K18" i="9"/>
  <c r="J18" i="9"/>
  <c r="I18" i="9"/>
  <c r="V18" i="9" s="1"/>
  <c r="H18" i="9"/>
  <c r="F18" i="9"/>
  <c r="E18" i="9"/>
  <c r="Q17" i="9"/>
  <c r="O17" i="9"/>
  <c r="N17" i="9"/>
  <c r="M17" i="9"/>
  <c r="L17" i="9"/>
  <c r="I17" i="9"/>
  <c r="H17" i="9"/>
  <c r="G17" i="9"/>
  <c r="F17" i="9"/>
  <c r="E17" i="9"/>
  <c r="D17" i="9"/>
  <c r="V17" i="9" s="1"/>
  <c r="R16" i="9"/>
  <c r="Q16" i="9"/>
  <c r="P16" i="9"/>
  <c r="O16" i="9"/>
  <c r="N16" i="9"/>
  <c r="M16" i="9"/>
  <c r="K16" i="9"/>
  <c r="J16" i="9"/>
  <c r="I16" i="9"/>
  <c r="H16" i="9"/>
  <c r="G16" i="9"/>
  <c r="F16" i="9"/>
  <c r="E16" i="9"/>
  <c r="D16" i="9"/>
  <c r="V16" i="9" s="1"/>
  <c r="V15" i="9"/>
  <c r="U15" i="9"/>
  <c r="T15" i="9"/>
  <c r="S15" i="9"/>
  <c r="Q15" i="9"/>
  <c r="P15" i="9"/>
  <c r="O15" i="9"/>
  <c r="N15" i="9"/>
  <c r="M15" i="9"/>
  <c r="L15" i="9"/>
  <c r="I15" i="9"/>
  <c r="H15" i="9"/>
  <c r="G15" i="9"/>
  <c r="F15" i="9"/>
  <c r="E15" i="9"/>
  <c r="D15" i="9"/>
  <c r="S14" i="9"/>
  <c r="R14" i="9"/>
  <c r="Q14" i="9"/>
  <c r="P14" i="9"/>
  <c r="O14" i="9"/>
  <c r="N14" i="9"/>
  <c r="M14" i="9"/>
  <c r="I14" i="9"/>
  <c r="V14" i="9" s="1"/>
  <c r="H14" i="9"/>
  <c r="G14" i="9"/>
  <c r="F14" i="9"/>
  <c r="E14" i="9"/>
  <c r="D14" i="9"/>
  <c r="U13" i="9"/>
  <c r="T13" i="9"/>
  <c r="S13" i="9"/>
  <c r="R13" i="9"/>
  <c r="Q13" i="9"/>
  <c r="P13" i="9"/>
  <c r="O13" i="9"/>
  <c r="N13" i="9"/>
  <c r="M13" i="9"/>
  <c r="I13" i="9"/>
  <c r="V13" i="9" s="1"/>
  <c r="H13" i="9"/>
  <c r="G13" i="9"/>
  <c r="F13" i="9"/>
  <c r="E13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V12" i="9" s="1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V11" i="9" s="1"/>
  <c r="D11" i="9"/>
  <c r="U10" i="9"/>
  <c r="S10" i="9"/>
  <c r="R10" i="9"/>
  <c r="Q10" i="9"/>
  <c r="P10" i="9"/>
  <c r="O10" i="9"/>
  <c r="N10" i="9"/>
  <c r="M10" i="9"/>
  <c r="L10" i="9"/>
  <c r="J10" i="9"/>
  <c r="I10" i="9"/>
  <c r="H10" i="9"/>
  <c r="G10" i="9"/>
  <c r="F10" i="9"/>
  <c r="E10" i="9"/>
  <c r="D10" i="9"/>
  <c r="V10" i="9" s="1"/>
  <c r="U9" i="9"/>
  <c r="T9" i="9"/>
  <c r="S9" i="9"/>
  <c r="R9" i="9"/>
  <c r="Q9" i="9"/>
  <c r="P9" i="9"/>
  <c r="O9" i="9"/>
  <c r="N9" i="9"/>
  <c r="M9" i="9"/>
  <c r="K9" i="9"/>
  <c r="J9" i="9"/>
  <c r="I9" i="9"/>
  <c r="H9" i="9"/>
  <c r="G9" i="9"/>
  <c r="F9" i="9"/>
  <c r="E9" i="9"/>
  <c r="D9" i="9"/>
  <c r="V9" i="9" s="1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V8" i="9" s="1"/>
  <c r="L67" i="10" l="1"/>
  <c r="M81" i="10"/>
  <c r="L53" i="10"/>
  <c r="L17" i="10"/>
  <c r="L33" i="10"/>
  <c r="M88" i="10"/>
  <c r="M58" i="9"/>
  <c r="M219" i="9"/>
  <c r="V33" i="9"/>
  <c r="M211" i="9"/>
  <c r="M169" i="9"/>
  <c r="V113" i="9"/>
  <c r="S66" i="9"/>
  <c r="V47" i="9"/>
  <c r="L402" i="8" l="1"/>
  <c r="K402" i="8"/>
  <c r="J402" i="8"/>
  <c r="I402" i="8"/>
  <c r="H402" i="8"/>
  <c r="G402" i="8"/>
  <c r="F402" i="8"/>
  <c r="E402" i="8"/>
  <c r="D402" i="8"/>
  <c r="M402" i="8" s="1"/>
  <c r="L395" i="8"/>
  <c r="K395" i="8"/>
  <c r="J395" i="8"/>
  <c r="I395" i="8"/>
  <c r="H395" i="8"/>
  <c r="G395" i="8"/>
  <c r="F395" i="8"/>
  <c r="E395" i="8"/>
  <c r="D395" i="8"/>
  <c r="Q388" i="8"/>
  <c r="P388" i="8"/>
  <c r="O388" i="8"/>
  <c r="N388" i="8"/>
  <c r="M388" i="8"/>
  <c r="L388" i="8"/>
  <c r="F388" i="8"/>
  <c r="E388" i="8"/>
  <c r="T388" i="8" s="1"/>
  <c r="D388" i="8"/>
  <c r="N387" i="8"/>
  <c r="M387" i="8"/>
  <c r="L387" i="8"/>
  <c r="T387" i="8" s="1"/>
  <c r="S386" i="8"/>
  <c r="Q386" i="8"/>
  <c r="P386" i="8"/>
  <c r="O386" i="8"/>
  <c r="N386" i="8"/>
  <c r="M386" i="8"/>
  <c r="L386" i="8"/>
  <c r="J386" i="8"/>
  <c r="H386" i="8"/>
  <c r="G386" i="8"/>
  <c r="T386" i="8" s="1"/>
  <c r="F386" i="8"/>
  <c r="E386" i="8"/>
  <c r="D386" i="8"/>
  <c r="C386" i="8"/>
  <c r="C377" i="8"/>
  <c r="C375" i="8"/>
  <c r="C374" i="8"/>
  <c r="C378" i="8" s="1"/>
  <c r="M368" i="8"/>
  <c r="H367" i="8"/>
  <c r="G367" i="8"/>
  <c r="F367" i="8"/>
  <c r="E367" i="8"/>
  <c r="M367" i="8" s="1"/>
  <c r="M366" i="8"/>
  <c r="H366" i="8"/>
  <c r="G365" i="8"/>
  <c r="M365" i="8" s="1"/>
  <c r="F365" i="8"/>
  <c r="I364" i="8"/>
  <c r="M364" i="8" s="1"/>
  <c r="F364" i="8"/>
  <c r="E364" i="8"/>
  <c r="M363" i="8"/>
  <c r="G362" i="8"/>
  <c r="M362" i="8" s="1"/>
  <c r="E362" i="8"/>
  <c r="M361" i="8"/>
  <c r="J361" i="8"/>
  <c r="I361" i="8"/>
  <c r="H361" i="8"/>
  <c r="G361" i="8"/>
  <c r="F361" i="8"/>
  <c r="E361" i="8"/>
  <c r="D361" i="8"/>
  <c r="M360" i="8"/>
  <c r="M369" i="8" s="1"/>
  <c r="F360" i="8"/>
  <c r="I354" i="8"/>
  <c r="F354" i="8"/>
  <c r="E354" i="8"/>
  <c r="D354" i="8"/>
  <c r="S351" i="8"/>
  <c r="S350" i="8"/>
  <c r="S349" i="8"/>
  <c r="S348" i="8"/>
  <c r="S347" i="8"/>
  <c r="S346" i="8"/>
  <c r="S345" i="8"/>
  <c r="L339" i="8"/>
  <c r="S338" i="8"/>
  <c r="S337" i="8"/>
  <c r="S336" i="8"/>
  <c r="S335" i="8"/>
  <c r="S334" i="8"/>
  <c r="S339" i="8" s="1"/>
  <c r="E332" i="8"/>
  <c r="K332" i="8" s="1"/>
  <c r="B331" i="8"/>
  <c r="K331" i="8" s="1"/>
  <c r="D329" i="8"/>
  <c r="K329" i="8" s="1"/>
  <c r="K328" i="8"/>
  <c r="H327" i="8"/>
  <c r="G327" i="8"/>
  <c r="F327" i="8"/>
  <c r="D327" i="8"/>
  <c r="C327" i="8"/>
  <c r="B327" i="8"/>
  <c r="K327" i="8" s="1"/>
  <c r="M318" i="8"/>
  <c r="T316" i="8"/>
  <c r="S316" i="8"/>
  <c r="R316" i="8"/>
  <c r="Q316" i="8"/>
  <c r="O316" i="8"/>
  <c r="N316" i="8"/>
  <c r="M316" i="8"/>
  <c r="L316" i="8"/>
  <c r="K316" i="8"/>
  <c r="J316" i="8"/>
  <c r="I316" i="8"/>
  <c r="H316" i="8"/>
  <c r="G316" i="8"/>
  <c r="F316" i="8"/>
  <c r="E316" i="8"/>
  <c r="D316" i="8"/>
  <c r="C316" i="8"/>
  <c r="B316" i="8"/>
  <c r="V316" i="8" s="1"/>
  <c r="K304" i="8"/>
  <c r="B304" i="8"/>
  <c r="S304" i="8" s="1"/>
  <c r="S303" i="8"/>
  <c r="K303" i="8"/>
  <c r="B303" i="8"/>
  <c r="B297" i="8"/>
  <c r="R297" i="8" s="1"/>
  <c r="B296" i="8"/>
  <c r="R296" i="8" s="1"/>
  <c r="R295" i="8"/>
  <c r="Q298" i="8" s="1"/>
  <c r="B295" i="8"/>
  <c r="P289" i="8"/>
  <c r="O289" i="8"/>
  <c r="N289" i="8"/>
  <c r="M289" i="8"/>
  <c r="L289" i="8"/>
  <c r="K289" i="8"/>
  <c r="J289" i="8"/>
  <c r="I289" i="8"/>
  <c r="Q289" i="8" s="1"/>
  <c r="H289" i="8"/>
  <c r="P288" i="8"/>
  <c r="O288" i="8"/>
  <c r="N288" i="8"/>
  <c r="M288" i="8"/>
  <c r="L288" i="8"/>
  <c r="K288" i="8"/>
  <c r="J288" i="8"/>
  <c r="I288" i="8"/>
  <c r="H288" i="8"/>
  <c r="Q288" i="8" s="1"/>
  <c r="P287" i="8"/>
  <c r="O287" i="8"/>
  <c r="N287" i="8"/>
  <c r="M287" i="8"/>
  <c r="L287" i="8"/>
  <c r="K287" i="8"/>
  <c r="J287" i="8"/>
  <c r="I287" i="8"/>
  <c r="H287" i="8"/>
  <c r="Q287" i="8" s="1"/>
  <c r="T277" i="8"/>
  <c r="C277" i="8"/>
  <c r="C271" i="8"/>
  <c r="L270" i="8"/>
  <c r="C269" i="8"/>
  <c r="L269" i="8" s="1"/>
  <c r="L268" i="8"/>
  <c r="C268" i="8"/>
  <c r="L267" i="8"/>
  <c r="C267" i="8"/>
  <c r="C266" i="8"/>
  <c r="L266" i="8" s="1"/>
  <c r="C265" i="8"/>
  <c r="L265" i="8" s="1"/>
  <c r="L264" i="8"/>
  <c r="C264" i="8"/>
  <c r="L263" i="8"/>
  <c r="C263" i="8"/>
  <c r="C262" i="8"/>
  <c r="C261" i="8"/>
  <c r="L261" i="8" s="1"/>
  <c r="L260" i="8"/>
  <c r="C260" i="8"/>
  <c r="L254" i="8"/>
  <c r="C254" i="8"/>
  <c r="C253" i="8"/>
  <c r="L253" i="8" s="1"/>
  <c r="L255" i="8" s="1"/>
  <c r="S248" i="8"/>
  <c r="R248" i="8"/>
  <c r="Q248" i="8"/>
  <c r="P248" i="8"/>
  <c r="M248" i="8"/>
  <c r="L248" i="8"/>
  <c r="K248" i="8"/>
  <c r="J248" i="8"/>
  <c r="I248" i="8"/>
  <c r="H248" i="8"/>
  <c r="G248" i="8"/>
  <c r="F248" i="8"/>
  <c r="E248" i="8"/>
  <c r="D248" i="8"/>
  <c r="C248" i="8"/>
  <c r="B248" i="8"/>
  <c r="T248" i="8" s="1"/>
  <c r="O242" i="8"/>
  <c r="N242" i="8"/>
  <c r="M242" i="8"/>
  <c r="L242" i="8"/>
  <c r="K242" i="8"/>
  <c r="J242" i="8"/>
  <c r="I242" i="8"/>
  <c r="R242" i="8" s="1"/>
  <c r="O241" i="8"/>
  <c r="N241" i="8"/>
  <c r="M241" i="8"/>
  <c r="L241" i="8"/>
  <c r="K241" i="8"/>
  <c r="J241" i="8"/>
  <c r="I241" i="8"/>
  <c r="R241" i="8" s="1"/>
  <c r="O240" i="8"/>
  <c r="N240" i="8"/>
  <c r="M240" i="8"/>
  <c r="L240" i="8"/>
  <c r="K240" i="8"/>
  <c r="J240" i="8"/>
  <c r="I240" i="8"/>
  <c r="R240" i="8" s="1"/>
  <c r="S232" i="8"/>
  <c r="R232" i="8"/>
  <c r="Q232" i="8"/>
  <c r="P232" i="8"/>
  <c r="O232" i="8"/>
  <c r="N232" i="8"/>
  <c r="M232" i="8"/>
  <c r="L232" i="8"/>
  <c r="K232" i="8"/>
  <c r="J232" i="8"/>
  <c r="I232" i="8"/>
  <c r="H232" i="8"/>
  <c r="G232" i="8"/>
  <c r="F232" i="8"/>
  <c r="E232" i="8"/>
  <c r="D232" i="8"/>
  <c r="C232" i="8"/>
  <c r="T232" i="8" s="1"/>
  <c r="T233" i="8" s="1"/>
  <c r="B232" i="8"/>
  <c r="I227" i="8"/>
  <c r="H227" i="8"/>
  <c r="G227" i="8"/>
  <c r="F227" i="8"/>
  <c r="E227" i="8"/>
  <c r="D227" i="8"/>
  <c r="C227" i="8"/>
  <c r="B227" i="8"/>
  <c r="K227" i="8" s="1"/>
  <c r="S216" i="8"/>
  <c r="R216" i="8"/>
  <c r="Q216" i="8"/>
  <c r="P216" i="8"/>
  <c r="O216" i="8"/>
  <c r="N216" i="8"/>
  <c r="M216" i="8"/>
  <c r="L216" i="8"/>
  <c r="K216" i="8"/>
  <c r="J216" i="8"/>
  <c r="I216" i="8"/>
  <c r="H216" i="8"/>
  <c r="G216" i="8"/>
  <c r="F216" i="8"/>
  <c r="E216" i="8"/>
  <c r="D216" i="8"/>
  <c r="C216" i="8"/>
  <c r="T216" i="8" s="1"/>
  <c r="B216" i="8"/>
  <c r="S215" i="8"/>
  <c r="R215" i="8"/>
  <c r="Q215" i="8"/>
  <c r="P215" i="8"/>
  <c r="O215" i="8"/>
  <c r="N215" i="8"/>
  <c r="M215" i="8"/>
  <c r="L215" i="8"/>
  <c r="K215" i="8"/>
  <c r="J215" i="8"/>
  <c r="I215" i="8"/>
  <c r="H215" i="8"/>
  <c r="G215" i="8"/>
  <c r="F215" i="8"/>
  <c r="E215" i="8"/>
  <c r="D215" i="8"/>
  <c r="C215" i="8"/>
  <c r="T215" i="8" s="1"/>
  <c r="B215" i="8"/>
  <c r="S214" i="8"/>
  <c r="R214" i="8"/>
  <c r="Q214" i="8"/>
  <c r="P214" i="8"/>
  <c r="O214" i="8"/>
  <c r="N214" i="8"/>
  <c r="M214" i="8"/>
  <c r="L214" i="8"/>
  <c r="K214" i="8"/>
  <c r="J214" i="8"/>
  <c r="I214" i="8"/>
  <c r="H214" i="8"/>
  <c r="G214" i="8"/>
  <c r="F214" i="8"/>
  <c r="E214" i="8"/>
  <c r="D214" i="8"/>
  <c r="C214" i="8"/>
  <c r="B214" i="8"/>
  <c r="T214" i="8" s="1"/>
  <c r="S208" i="8"/>
  <c r="R208" i="8"/>
  <c r="Q208" i="8"/>
  <c r="P208" i="8"/>
  <c r="O208" i="8"/>
  <c r="N208" i="8"/>
  <c r="M208" i="8"/>
  <c r="L208" i="8"/>
  <c r="K208" i="8"/>
  <c r="J208" i="8"/>
  <c r="I208" i="8"/>
  <c r="H208" i="8"/>
  <c r="F208" i="8"/>
  <c r="E208" i="8"/>
  <c r="D208" i="8"/>
  <c r="C208" i="8"/>
  <c r="B208" i="8"/>
  <c r="T208" i="8" s="1"/>
  <c r="S207" i="8"/>
  <c r="R207" i="8"/>
  <c r="Q207" i="8"/>
  <c r="P207" i="8"/>
  <c r="O207" i="8"/>
  <c r="N207" i="8"/>
  <c r="M207" i="8"/>
  <c r="L207" i="8"/>
  <c r="K207" i="8"/>
  <c r="J207" i="8"/>
  <c r="I207" i="8"/>
  <c r="H207" i="8"/>
  <c r="G207" i="8"/>
  <c r="F207" i="8"/>
  <c r="E207" i="8"/>
  <c r="D207" i="8"/>
  <c r="C207" i="8"/>
  <c r="B207" i="8"/>
  <c r="T207" i="8" s="1"/>
  <c r="T209" i="8" s="1"/>
  <c r="U201" i="8"/>
  <c r="T201" i="8"/>
  <c r="S201" i="8"/>
  <c r="R201" i="8"/>
  <c r="Q201" i="8"/>
  <c r="P201" i="8"/>
  <c r="O201" i="8"/>
  <c r="N201" i="8"/>
  <c r="M201" i="8"/>
  <c r="L201" i="8"/>
  <c r="K201" i="8"/>
  <c r="J201" i="8"/>
  <c r="I201" i="8"/>
  <c r="H201" i="8"/>
  <c r="G201" i="8"/>
  <c r="F201" i="8"/>
  <c r="E201" i="8"/>
  <c r="V201" i="8" s="1"/>
  <c r="V202" i="8" s="1"/>
  <c r="D201" i="8"/>
  <c r="C201" i="8"/>
  <c r="B201" i="8"/>
  <c r="S194" i="8"/>
  <c r="R194" i="8"/>
  <c r="Q194" i="8"/>
  <c r="P194" i="8"/>
  <c r="O194" i="8"/>
  <c r="N194" i="8"/>
  <c r="M194" i="8"/>
  <c r="L194" i="8"/>
  <c r="K194" i="8"/>
  <c r="J194" i="8"/>
  <c r="I194" i="8"/>
  <c r="H194" i="8"/>
  <c r="G194" i="8"/>
  <c r="F194" i="8"/>
  <c r="E194" i="8"/>
  <c r="D194" i="8"/>
  <c r="C194" i="8"/>
  <c r="B194" i="8"/>
  <c r="V194" i="8" s="1"/>
  <c r="V195" i="8" s="1"/>
  <c r="Q186" i="8"/>
  <c r="P186" i="8"/>
  <c r="O186" i="8"/>
  <c r="N186" i="8"/>
  <c r="M186" i="8"/>
  <c r="L186" i="8"/>
  <c r="K186" i="8"/>
  <c r="J186" i="8"/>
  <c r="G186" i="8"/>
  <c r="F186" i="8"/>
  <c r="E186" i="8"/>
  <c r="D186" i="8"/>
  <c r="C186" i="8"/>
  <c r="B186" i="8"/>
  <c r="T186" i="8" s="1"/>
  <c r="T185" i="8"/>
  <c r="Q185" i="8"/>
  <c r="P185" i="8"/>
  <c r="O185" i="8"/>
  <c r="N185" i="8"/>
  <c r="M185" i="8"/>
  <c r="K185" i="8"/>
  <c r="S184" i="8"/>
  <c r="R184" i="8"/>
  <c r="Q184" i="8"/>
  <c r="P184" i="8"/>
  <c r="O184" i="8"/>
  <c r="N184" i="8"/>
  <c r="M184" i="8"/>
  <c r="L184" i="8"/>
  <c r="K184" i="8"/>
  <c r="J184" i="8"/>
  <c r="I184" i="8"/>
  <c r="H184" i="8"/>
  <c r="G184" i="8"/>
  <c r="F184" i="8"/>
  <c r="E184" i="8"/>
  <c r="D184" i="8"/>
  <c r="C184" i="8"/>
  <c r="T184" i="8" s="1"/>
  <c r="B184" i="8"/>
  <c r="S183" i="8"/>
  <c r="R183" i="8"/>
  <c r="Q183" i="8"/>
  <c r="P183" i="8"/>
  <c r="O183" i="8"/>
  <c r="N183" i="8"/>
  <c r="M183" i="8"/>
  <c r="L183" i="8"/>
  <c r="K183" i="8"/>
  <c r="J183" i="8"/>
  <c r="I183" i="8"/>
  <c r="H183" i="8"/>
  <c r="G183" i="8"/>
  <c r="F183" i="8"/>
  <c r="E183" i="8"/>
  <c r="D183" i="8"/>
  <c r="C183" i="8"/>
  <c r="T183" i="8" s="1"/>
  <c r="B183" i="8"/>
  <c r="S182" i="8"/>
  <c r="R182" i="8"/>
  <c r="Q182" i="8"/>
  <c r="P182" i="8"/>
  <c r="O182" i="8"/>
  <c r="N182" i="8"/>
  <c r="M182" i="8"/>
  <c r="L182" i="8"/>
  <c r="K182" i="8"/>
  <c r="J182" i="8"/>
  <c r="I182" i="8"/>
  <c r="H182" i="8"/>
  <c r="G182" i="8"/>
  <c r="F182" i="8"/>
  <c r="E182" i="8"/>
  <c r="D182" i="8"/>
  <c r="C182" i="8"/>
  <c r="T182" i="8" s="1"/>
  <c r="S181" i="8"/>
  <c r="R181" i="8"/>
  <c r="Q181" i="8"/>
  <c r="P181" i="8"/>
  <c r="O181" i="8"/>
  <c r="N181" i="8"/>
  <c r="M181" i="8"/>
  <c r="L181" i="8"/>
  <c r="K181" i="8"/>
  <c r="J181" i="8"/>
  <c r="I181" i="8"/>
  <c r="H181" i="8"/>
  <c r="G181" i="8"/>
  <c r="F181" i="8"/>
  <c r="E181" i="8"/>
  <c r="D181" i="8"/>
  <c r="C181" i="8"/>
  <c r="T181" i="8" s="1"/>
  <c r="B181" i="8"/>
  <c r="S174" i="8"/>
  <c r="R174" i="8"/>
  <c r="Q174" i="8"/>
  <c r="P174" i="8"/>
  <c r="O174" i="8"/>
  <c r="N174" i="8"/>
  <c r="M174" i="8"/>
  <c r="L174" i="8"/>
  <c r="K174" i="8"/>
  <c r="J174" i="8"/>
  <c r="I174" i="8"/>
  <c r="H174" i="8"/>
  <c r="G174" i="8"/>
  <c r="F174" i="8"/>
  <c r="E174" i="8"/>
  <c r="D174" i="8"/>
  <c r="C174" i="8"/>
  <c r="B174" i="8"/>
  <c r="T174" i="8" s="1"/>
  <c r="S173" i="8"/>
  <c r="R173" i="8"/>
  <c r="Q173" i="8"/>
  <c r="P173" i="8"/>
  <c r="O173" i="8"/>
  <c r="N173" i="8"/>
  <c r="M173" i="8"/>
  <c r="L173" i="8"/>
  <c r="K173" i="8"/>
  <c r="J173" i="8"/>
  <c r="I173" i="8"/>
  <c r="H173" i="8"/>
  <c r="G173" i="8"/>
  <c r="F173" i="8"/>
  <c r="E173" i="8"/>
  <c r="D173" i="8"/>
  <c r="C173" i="8"/>
  <c r="T173" i="8" s="1"/>
  <c r="B173" i="8"/>
  <c r="S172" i="8"/>
  <c r="R172" i="8"/>
  <c r="Q172" i="8"/>
  <c r="P172" i="8"/>
  <c r="O172" i="8"/>
  <c r="N172" i="8"/>
  <c r="M172" i="8"/>
  <c r="L172" i="8"/>
  <c r="K172" i="8"/>
  <c r="J172" i="8"/>
  <c r="I172" i="8"/>
  <c r="H172" i="8"/>
  <c r="G172" i="8"/>
  <c r="F172" i="8"/>
  <c r="E172" i="8"/>
  <c r="D172" i="8"/>
  <c r="C172" i="8"/>
  <c r="B172" i="8"/>
  <c r="T172" i="8" s="1"/>
  <c r="S171" i="8"/>
  <c r="R171" i="8"/>
  <c r="Q171" i="8"/>
  <c r="P171" i="8"/>
  <c r="O171" i="8"/>
  <c r="N171" i="8"/>
  <c r="M171" i="8"/>
  <c r="L171" i="8"/>
  <c r="K171" i="8"/>
  <c r="J171" i="8"/>
  <c r="I171" i="8"/>
  <c r="H171" i="8"/>
  <c r="G171" i="8"/>
  <c r="F171" i="8"/>
  <c r="E171" i="8"/>
  <c r="D171" i="8"/>
  <c r="C171" i="8"/>
  <c r="B171" i="8"/>
  <c r="T171" i="8" s="1"/>
  <c r="S165" i="8"/>
  <c r="R165" i="8"/>
  <c r="Q165" i="8"/>
  <c r="P165" i="8"/>
  <c r="O165" i="8"/>
  <c r="N165" i="8"/>
  <c r="M165" i="8"/>
  <c r="L165" i="8"/>
  <c r="K165" i="8"/>
  <c r="J165" i="8"/>
  <c r="I165" i="8"/>
  <c r="H165" i="8"/>
  <c r="G165" i="8"/>
  <c r="F165" i="8"/>
  <c r="E165" i="8"/>
  <c r="D165" i="8"/>
  <c r="T165" i="8" s="1"/>
  <c r="C165" i="8"/>
  <c r="B165" i="8"/>
  <c r="S164" i="8"/>
  <c r="R164" i="8"/>
  <c r="Q164" i="8"/>
  <c r="P164" i="8"/>
  <c r="O164" i="8"/>
  <c r="N164" i="8"/>
  <c r="M164" i="8"/>
  <c r="L164" i="8"/>
  <c r="K164" i="8"/>
  <c r="J164" i="8"/>
  <c r="I164" i="8"/>
  <c r="H164" i="8"/>
  <c r="G164" i="8"/>
  <c r="F164" i="8"/>
  <c r="E164" i="8"/>
  <c r="D164" i="8"/>
  <c r="C164" i="8"/>
  <c r="B164" i="8"/>
  <c r="T164" i="8" s="1"/>
  <c r="S163" i="8"/>
  <c r="R163" i="8"/>
  <c r="Q163" i="8"/>
  <c r="P163" i="8"/>
  <c r="O163" i="8"/>
  <c r="N163" i="8"/>
  <c r="M163" i="8"/>
  <c r="L163" i="8"/>
  <c r="K163" i="8"/>
  <c r="J163" i="8"/>
  <c r="I163" i="8"/>
  <c r="H163" i="8"/>
  <c r="G163" i="8"/>
  <c r="F163" i="8"/>
  <c r="E163" i="8"/>
  <c r="D163" i="8"/>
  <c r="T163" i="8" s="1"/>
  <c r="C163" i="8"/>
  <c r="B163" i="8"/>
  <c r="S162" i="8"/>
  <c r="R162" i="8"/>
  <c r="Q162" i="8"/>
  <c r="P162" i="8"/>
  <c r="O162" i="8"/>
  <c r="N162" i="8"/>
  <c r="M162" i="8"/>
  <c r="L162" i="8"/>
  <c r="K162" i="8"/>
  <c r="J162" i="8"/>
  <c r="I162" i="8"/>
  <c r="H162" i="8"/>
  <c r="G162" i="8"/>
  <c r="F162" i="8"/>
  <c r="E162" i="8"/>
  <c r="D162" i="8"/>
  <c r="C162" i="8"/>
  <c r="B162" i="8"/>
  <c r="T162" i="8" s="1"/>
  <c r="S161" i="8"/>
  <c r="R161" i="8"/>
  <c r="Q161" i="8"/>
  <c r="P161" i="8"/>
  <c r="O161" i="8"/>
  <c r="N161" i="8"/>
  <c r="M161" i="8"/>
  <c r="L161" i="8"/>
  <c r="K161" i="8"/>
  <c r="J161" i="8"/>
  <c r="I161" i="8"/>
  <c r="H161" i="8"/>
  <c r="G161" i="8"/>
  <c r="F161" i="8"/>
  <c r="E161" i="8"/>
  <c r="D161" i="8"/>
  <c r="C161" i="8"/>
  <c r="B161" i="8"/>
  <c r="T161" i="8" s="1"/>
  <c r="S154" i="8"/>
  <c r="R154" i="8"/>
  <c r="Q154" i="8"/>
  <c r="P154" i="8"/>
  <c r="O154" i="8"/>
  <c r="N154" i="8"/>
  <c r="M154" i="8"/>
  <c r="L154" i="8"/>
  <c r="K154" i="8"/>
  <c r="J154" i="8"/>
  <c r="I154" i="8"/>
  <c r="H154" i="8"/>
  <c r="G154" i="8"/>
  <c r="F154" i="8"/>
  <c r="E154" i="8"/>
  <c r="D154" i="8"/>
  <c r="T154" i="8" s="1"/>
  <c r="C154" i="8"/>
  <c r="B154" i="8"/>
  <c r="S153" i="8"/>
  <c r="R153" i="8"/>
  <c r="Q153" i="8"/>
  <c r="P153" i="8"/>
  <c r="O153" i="8"/>
  <c r="N153" i="8"/>
  <c r="M153" i="8"/>
  <c r="L153" i="8"/>
  <c r="K153" i="8"/>
  <c r="J153" i="8"/>
  <c r="I153" i="8"/>
  <c r="H153" i="8"/>
  <c r="G153" i="8"/>
  <c r="F153" i="8"/>
  <c r="E153" i="8"/>
  <c r="D153" i="8"/>
  <c r="C153" i="8"/>
  <c r="B153" i="8"/>
  <c r="T153" i="8" s="1"/>
  <c r="S152" i="8"/>
  <c r="R152" i="8"/>
  <c r="Q152" i="8"/>
  <c r="P152" i="8"/>
  <c r="O152" i="8"/>
  <c r="N152" i="8"/>
  <c r="M152" i="8"/>
  <c r="L152" i="8"/>
  <c r="K152" i="8"/>
  <c r="J152" i="8"/>
  <c r="I152" i="8"/>
  <c r="H152" i="8"/>
  <c r="G152" i="8"/>
  <c r="F152" i="8"/>
  <c r="E152" i="8"/>
  <c r="D152" i="8"/>
  <c r="T152" i="8" s="1"/>
  <c r="C152" i="8"/>
  <c r="B152" i="8"/>
  <c r="S151" i="8"/>
  <c r="R151" i="8"/>
  <c r="Q151" i="8"/>
  <c r="P151" i="8"/>
  <c r="O151" i="8"/>
  <c r="N151" i="8"/>
  <c r="M151" i="8"/>
  <c r="L151" i="8"/>
  <c r="K151" i="8"/>
  <c r="J151" i="8"/>
  <c r="I151" i="8"/>
  <c r="H151" i="8"/>
  <c r="G151" i="8"/>
  <c r="F151" i="8"/>
  <c r="E151" i="8"/>
  <c r="D151" i="8"/>
  <c r="C151" i="8"/>
  <c r="B151" i="8"/>
  <c r="T151" i="8" s="1"/>
  <c r="S150" i="8"/>
  <c r="R150" i="8"/>
  <c r="Q150" i="8"/>
  <c r="P150" i="8"/>
  <c r="O150" i="8"/>
  <c r="N150" i="8"/>
  <c r="M150" i="8"/>
  <c r="L150" i="8"/>
  <c r="K150" i="8"/>
  <c r="J150" i="8"/>
  <c r="I150" i="8"/>
  <c r="H150" i="8"/>
  <c r="G150" i="8"/>
  <c r="F150" i="8"/>
  <c r="E150" i="8"/>
  <c r="D150" i="8"/>
  <c r="C150" i="8"/>
  <c r="B150" i="8"/>
  <c r="T150" i="8" s="1"/>
  <c r="S149" i="8"/>
  <c r="R149" i="8"/>
  <c r="Q149" i="8"/>
  <c r="P149" i="8"/>
  <c r="O149" i="8"/>
  <c r="N149" i="8"/>
  <c r="M149" i="8"/>
  <c r="L149" i="8"/>
  <c r="K149" i="8"/>
  <c r="J149" i="8"/>
  <c r="I149" i="8"/>
  <c r="H149" i="8"/>
  <c r="G149" i="8"/>
  <c r="F149" i="8"/>
  <c r="E149" i="8"/>
  <c r="D149" i="8"/>
  <c r="C149" i="8"/>
  <c r="B149" i="8"/>
  <c r="S148" i="8"/>
  <c r="R148" i="8"/>
  <c r="Q148" i="8"/>
  <c r="P148" i="8"/>
  <c r="O148" i="8"/>
  <c r="N148" i="8"/>
  <c r="M148" i="8"/>
  <c r="L148" i="8"/>
  <c r="K148" i="8"/>
  <c r="J148" i="8"/>
  <c r="I148" i="8"/>
  <c r="H148" i="8"/>
  <c r="G148" i="8"/>
  <c r="F148" i="8"/>
  <c r="E148" i="8"/>
  <c r="D148" i="8"/>
  <c r="C148" i="8"/>
  <c r="B148" i="8"/>
  <c r="T148" i="8" s="1"/>
  <c r="S147" i="8"/>
  <c r="R147" i="8"/>
  <c r="Q147" i="8"/>
  <c r="P147" i="8"/>
  <c r="O147" i="8"/>
  <c r="N147" i="8"/>
  <c r="M147" i="8"/>
  <c r="L147" i="8"/>
  <c r="K147" i="8"/>
  <c r="J147" i="8"/>
  <c r="I147" i="8"/>
  <c r="H147" i="8"/>
  <c r="G147" i="8"/>
  <c r="F147" i="8"/>
  <c r="E147" i="8"/>
  <c r="D147" i="8"/>
  <c r="C147" i="8"/>
  <c r="B147" i="8"/>
  <c r="T147" i="8" s="1"/>
  <c r="S146" i="8"/>
  <c r="R146" i="8"/>
  <c r="Q146" i="8"/>
  <c r="P146" i="8"/>
  <c r="O146" i="8"/>
  <c r="N146" i="8"/>
  <c r="M146" i="8"/>
  <c r="L146" i="8"/>
  <c r="K146" i="8"/>
  <c r="J146" i="8"/>
  <c r="I146" i="8"/>
  <c r="H146" i="8"/>
  <c r="G146" i="8"/>
  <c r="F146" i="8"/>
  <c r="E146" i="8"/>
  <c r="D146" i="8"/>
  <c r="C146" i="8"/>
  <c r="T146" i="8" s="1"/>
  <c r="B146" i="8"/>
  <c r="S145" i="8"/>
  <c r="R145" i="8"/>
  <c r="Q145" i="8"/>
  <c r="P145" i="8"/>
  <c r="O145" i="8"/>
  <c r="N145" i="8"/>
  <c r="M145" i="8"/>
  <c r="L145" i="8"/>
  <c r="K145" i="8"/>
  <c r="J145" i="8"/>
  <c r="I145" i="8"/>
  <c r="H145" i="8"/>
  <c r="G145" i="8"/>
  <c r="F145" i="8"/>
  <c r="E145" i="8"/>
  <c r="D145" i="8"/>
  <c r="C145" i="8"/>
  <c r="B145" i="8"/>
  <c r="T145" i="8" s="1"/>
  <c r="S144" i="8"/>
  <c r="R144" i="8"/>
  <c r="Q144" i="8"/>
  <c r="P144" i="8"/>
  <c r="O144" i="8"/>
  <c r="N144" i="8"/>
  <c r="M144" i="8"/>
  <c r="L144" i="8"/>
  <c r="K144" i="8"/>
  <c r="J144" i="8"/>
  <c r="I144" i="8"/>
  <c r="H144" i="8"/>
  <c r="G144" i="8"/>
  <c r="F144" i="8"/>
  <c r="E144" i="8"/>
  <c r="D144" i="8"/>
  <c r="C144" i="8"/>
  <c r="B144" i="8"/>
  <c r="T144" i="8" s="1"/>
  <c r="S143" i="8"/>
  <c r="R143" i="8"/>
  <c r="Q143" i="8"/>
  <c r="P143" i="8"/>
  <c r="O143" i="8"/>
  <c r="N143" i="8"/>
  <c r="M143" i="8"/>
  <c r="L143" i="8"/>
  <c r="K143" i="8"/>
  <c r="J143" i="8"/>
  <c r="I143" i="8"/>
  <c r="H143" i="8"/>
  <c r="G143" i="8"/>
  <c r="F143" i="8"/>
  <c r="E143" i="8"/>
  <c r="D143" i="8"/>
  <c r="T143" i="8" s="1"/>
  <c r="C143" i="8"/>
  <c r="B143" i="8"/>
  <c r="S142" i="8"/>
  <c r="R142" i="8"/>
  <c r="Q142" i="8"/>
  <c r="P142" i="8"/>
  <c r="O142" i="8"/>
  <c r="N142" i="8"/>
  <c r="M142" i="8"/>
  <c r="L142" i="8"/>
  <c r="K142" i="8"/>
  <c r="J142" i="8"/>
  <c r="I142" i="8"/>
  <c r="H142" i="8"/>
  <c r="G142" i="8"/>
  <c r="F142" i="8"/>
  <c r="E142" i="8"/>
  <c r="D142" i="8"/>
  <c r="C142" i="8"/>
  <c r="B142" i="8"/>
  <c r="T142" i="8" s="1"/>
  <c r="S141" i="8"/>
  <c r="R141" i="8"/>
  <c r="Q141" i="8"/>
  <c r="P141" i="8"/>
  <c r="O141" i="8"/>
  <c r="N141" i="8"/>
  <c r="M141" i="8"/>
  <c r="L141" i="8"/>
  <c r="K141" i="8"/>
  <c r="J141" i="8"/>
  <c r="I141" i="8"/>
  <c r="H141" i="8"/>
  <c r="G141" i="8"/>
  <c r="F141" i="8"/>
  <c r="E141" i="8"/>
  <c r="D141" i="8"/>
  <c r="C141" i="8"/>
  <c r="B141" i="8"/>
  <c r="T141" i="8" s="1"/>
  <c r="S140" i="8"/>
  <c r="R140" i="8"/>
  <c r="Q140" i="8"/>
  <c r="P140" i="8"/>
  <c r="O140" i="8"/>
  <c r="N140" i="8"/>
  <c r="M140" i="8"/>
  <c r="L140" i="8"/>
  <c r="K140" i="8"/>
  <c r="J140" i="8"/>
  <c r="I140" i="8"/>
  <c r="H140" i="8"/>
  <c r="G140" i="8"/>
  <c r="F140" i="8"/>
  <c r="E140" i="8"/>
  <c r="D140" i="8"/>
  <c r="C140" i="8"/>
  <c r="B140" i="8"/>
  <c r="T140" i="8" s="1"/>
  <c r="J134" i="8"/>
  <c r="I134" i="8"/>
  <c r="H134" i="8"/>
  <c r="G134" i="8"/>
  <c r="F134" i="8"/>
  <c r="E134" i="8"/>
  <c r="D134" i="8"/>
  <c r="C134" i="8"/>
  <c r="K134" i="8" s="1"/>
  <c r="J127" i="8"/>
  <c r="I127" i="8"/>
  <c r="H127" i="8"/>
  <c r="G127" i="8"/>
  <c r="F127" i="8"/>
  <c r="E127" i="8"/>
  <c r="D127" i="8"/>
  <c r="C127" i="8"/>
  <c r="B127" i="8"/>
  <c r="K127" i="8" s="1"/>
  <c r="K126" i="8"/>
  <c r="I126" i="8"/>
  <c r="H126" i="8"/>
  <c r="G126" i="8"/>
  <c r="F126" i="8"/>
  <c r="E126" i="8"/>
  <c r="D126" i="8"/>
  <c r="B126" i="8"/>
  <c r="J125" i="8"/>
  <c r="I125" i="8"/>
  <c r="H125" i="8"/>
  <c r="G125" i="8"/>
  <c r="F125" i="8"/>
  <c r="E125" i="8"/>
  <c r="D125" i="8"/>
  <c r="C125" i="8"/>
  <c r="K125" i="8" s="1"/>
  <c r="B125" i="8"/>
  <c r="J124" i="8"/>
  <c r="I124" i="8"/>
  <c r="H124" i="8"/>
  <c r="G124" i="8"/>
  <c r="F124" i="8"/>
  <c r="E124" i="8"/>
  <c r="D124" i="8"/>
  <c r="C124" i="8"/>
  <c r="B124" i="8"/>
  <c r="K124" i="8" s="1"/>
  <c r="J123" i="8"/>
  <c r="I123" i="8"/>
  <c r="H123" i="8"/>
  <c r="G123" i="8"/>
  <c r="F123" i="8"/>
  <c r="E123" i="8"/>
  <c r="D123" i="8"/>
  <c r="C123" i="8"/>
  <c r="B123" i="8"/>
  <c r="K123" i="8" s="1"/>
  <c r="K128" i="8" s="1"/>
  <c r="J118" i="8"/>
  <c r="I118" i="8"/>
  <c r="H118" i="8"/>
  <c r="G118" i="8"/>
  <c r="F118" i="8"/>
  <c r="E118" i="8"/>
  <c r="D118" i="8"/>
  <c r="C118" i="8"/>
  <c r="B118" i="8"/>
  <c r="K118" i="8" s="1"/>
  <c r="J117" i="8"/>
  <c r="I117" i="8"/>
  <c r="H117" i="8"/>
  <c r="G117" i="8"/>
  <c r="F117" i="8"/>
  <c r="E117" i="8"/>
  <c r="D117" i="8"/>
  <c r="C117" i="8"/>
  <c r="K117" i="8" s="1"/>
  <c r="B117" i="8"/>
  <c r="J116" i="8"/>
  <c r="I116" i="8"/>
  <c r="H116" i="8"/>
  <c r="G116" i="8"/>
  <c r="F116" i="8"/>
  <c r="K116" i="8" s="1"/>
  <c r="E116" i="8"/>
  <c r="B116" i="8"/>
  <c r="J115" i="8"/>
  <c r="I115" i="8"/>
  <c r="H115" i="8"/>
  <c r="G115" i="8"/>
  <c r="F115" i="8"/>
  <c r="E115" i="8"/>
  <c r="D115" i="8"/>
  <c r="C115" i="8"/>
  <c r="K115" i="8" s="1"/>
  <c r="K119" i="8" s="1"/>
  <c r="B115" i="8"/>
  <c r="N111" i="8"/>
  <c r="M111" i="8"/>
  <c r="R111" i="8" s="1"/>
  <c r="I111" i="8"/>
  <c r="Q110" i="8"/>
  <c r="P110" i="8"/>
  <c r="O110" i="8"/>
  <c r="N110" i="8"/>
  <c r="M110" i="8"/>
  <c r="L110" i="8"/>
  <c r="K110" i="8"/>
  <c r="J110" i="8"/>
  <c r="I110" i="8"/>
  <c r="R110" i="8" s="1"/>
  <c r="T109" i="8"/>
  <c r="Q109" i="8"/>
  <c r="P109" i="8"/>
  <c r="O109" i="8"/>
  <c r="N109" i="8"/>
  <c r="M109" i="8"/>
  <c r="L109" i="8"/>
  <c r="K109" i="8"/>
  <c r="J109" i="8"/>
  <c r="I109" i="8"/>
  <c r="R109" i="8" s="1"/>
  <c r="R112" i="8" s="1"/>
  <c r="S102" i="8"/>
  <c r="R102" i="8"/>
  <c r="Q102" i="8"/>
  <c r="P102" i="8"/>
  <c r="O102" i="8"/>
  <c r="N102" i="8"/>
  <c r="M102" i="8"/>
  <c r="L102" i="8"/>
  <c r="K102" i="8"/>
  <c r="J102" i="8"/>
  <c r="I102" i="8"/>
  <c r="H102" i="8"/>
  <c r="G102" i="8"/>
  <c r="F102" i="8"/>
  <c r="E102" i="8"/>
  <c r="D102" i="8"/>
  <c r="C102" i="8"/>
  <c r="T102" i="8" s="1"/>
  <c r="B102" i="8"/>
  <c r="S101" i="8"/>
  <c r="N101" i="8"/>
  <c r="M101" i="8"/>
  <c r="L101" i="8"/>
  <c r="K101" i="8"/>
  <c r="H101" i="8"/>
  <c r="G101" i="8"/>
  <c r="F101" i="8"/>
  <c r="E101" i="8"/>
  <c r="D101" i="8"/>
  <c r="C101" i="8"/>
  <c r="B101" i="8"/>
  <c r="T101" i="8" s="1"/>
  <c r="S100" i="8"/>
  <c r="R100" i="8"/>
  <c r="Q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D100" i="8"/>
  <c r="C100" i="8"/>
  <c r="T100" i="8" s="1"/>
  <c r="B100" i="8"/>
  <c r="S99" i="8"/>
  <c r="R99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D99" i="8"/>
  <c r="C99" i="8"/>
  <c r="T99" i="8" s="1"/>
  <c r="B99" i="8"/>
  <c r="S92" i="8"/>
  <c r="R92" i="8"/>
  <c r="Q92" i="8"/>
  <c r="P92" i="8"/>
  <c r="O92" i="8"/>
  <c r="N92" i="8"/>
  <c r="M92" i="8"/>
  <c r="L92" i="8"/>
  <c r="K92" i="8"/>
  <c r="J92" i="8"/>
  <c r="I92" i="8"/>
  <c r="H92" i="8"/>
  <c r="G92" i="8"/>
  <c r="F92" i="8"/>
  <c r="E92" i="8"/>
  <c r="D92" i="8"/>
  <c r="C92" i="8"/>
  <c r="B92" i="8"/>
  <c r="U92" i="8" s="1"/>
  <c r="T91" i="8"/>
  <c r="S91" i="8"/>
  <c r="R91" i="8"/>
  <c r="Q91" i="8"/>
  <c r="P91" i="8"/>
  <c r="O91" i="8"/>
  <c r="N91" i="8"/>
  <c r="M91" i="8"/>
  <c r="L91" i="8"/>
  <c r="K91" i="8"/>
  <c r="J91" i="8"/>
  <c r="I91" i="8"/>
  <c r="H91" i="8"/>
  <c r="G91" i="8"/>
  <c r="F91" i="8"/>
  <c r="E91" i="8"/>
  <c r="U91" i="8" s="1"/>
  <c r="U93" i="8" s="1"/>
  <c r="D91" i="8"/>
  <c r="C91" i="8"/>
  <c r="B91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D84" i="8"/>
  <c r="C84" i="8"/>
  <c r="B84" i="8"/>
  <c r="T84" i="8" s="1"/>
  <c r="S83" i="8"/>
  <c r="R83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T83" i="8" s="1"/>
  <c r="T85" i="8" s="1"/>
  <c r="C83" i="8"/>
  <c r="B83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C75" i="8"/>
  <c r="B75" i="8"/>
  <c r="T75" i="8" s="1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T74" i="8" s="1"/>
  <c r="T76" i="8" s="1"/>
  <c r="C74" i="8"/>
  <c r="B74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B67" i="8"/>
  <c r="T67" i="8" s="1"/>
  <c r="S66" i="8"/>
  <c r="R66" i="8"/>
  <c r="Q66" i="8"/>
  <c r="P66" i="8"/>
  <c r="N66" i="8"/>
  <c r="M66" i="8"/>
  <c r="L66" i="8"/>
  <c r="K66" i="8"/>
  <c r="J66" i="8"/>
  <c r="I66" i="8"/>
  <c r="H66" i="8"/>
  <c r="G66" i="8"/>
  <c r="F66" i="8"/>
  <c r="E66" i="8"/>
  <c r="D66" i="8"/>
  <c r="C66" i="8"/>
  <c r="T66" i="8" s="1"/>
  <c r="S65" i="8"/>
  <c r="R65" i="8"/>
  <c r="P65" i="8"/>
  <c r="L65" i="8"/>
  <c r="K65" i="8"/>
  <c r="J65" i="8"/>
  <c r="I65" i="8"/>
  <c r="H65" i="8"/>
  <c r="G65" i="8"/>
  <c r="F65" i="8"/>
  <c r="E65" i="8"/>
  <c r="D65" i="8"/>
  <c r="C65" i="8"/>
  <c r="B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T64" i="8" s="1"/>
  <c r="B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T63" i="8" s="1"/>
  <c r="B63" i="8"/>
  <c r="Q53" i="8"/>
  <c r="P53" i="8"/>
  <c r="O53" i="8"/>
  <c r="N53" i="8"/>
  <c r="M53" i="8"/>
  <c r="L53" i="8"/>
  <c r="K53" i="8"/>
  <c r="J53" i="8"/>
  <c r="I53" i="8"/>
  <c r="R53" i="8" s="1"/>
  <c r="Q52" i="8"/>
  <c r="P52" i="8"/>
  <c r="O52" i="8"/>
  <c r="N52" i="8"/>
  <c r="M52" i="8"/>
  <c r="L52" i="8"/>
  <c r="K52" i="8"/>
  <c r="J52" i="8"/>
  <c r="R52" i="8" s="1"/>
  <c r="R54" i="8" s="1"/>
  <c r="I52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T44" i="8" s="1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T43" i="8" s="1"/>
  <c r="T45" i="8" s="1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T35" i="8" s="1"/>
  <c r="B35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T34" i="8" s="1"/>
  <c r="T26" i="8"/>
  <c r="Q26" i="8"/>
  <c r="O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T25" i="8" s="1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T24" i="8" s="1"/>
  <c r="B24" i="8"/>
  <c r="S23" i="8"/>
  <c r="R23" i="8"/>
  <c r="L23" i="8"/>
  <c r="K23" i="8"/>
  <c r="J23" i="8"/>
  <c r="I23" i="8"/>
  <c r="H23" i="8"/>
  <c r="G23" i="8"/>
  <c r="F23" i="8"/>
  <c r="E23" i="8"/>
  <c r="D23" i="8"/>
  <c r="C23" i="8"/>
  <c r="B23" i="8"/>
  <c r="T23" i="8" s="1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T22" i="8" s="1"/>
  <c r="C22" i="8"/>
  <c r="B22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T21" i="8" s="1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T20" i="8" s="1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T12" i="8" s="1"/>
  <c r="B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T11" i="8" s="1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T10" i="8" s="1"/>
  <c r="C10" i="8"/>
  <c r="B10" i="8"/>
  <c r="Q37" i="1"/>
  <c r="P37" i="1"/>
  <c r="O37" i="1"/>
  <c r="N37" i="1"/>
  <c r="M37" i="1"/>
  <c r="F30" i="1"/>
  <c r="N30" i="1"/>
  <c r="M30" i="1"/>
  <c r="Q13" i="1"/>
  <c r="P13" i="1"/>
  <c r="O13" i="1"/>
  <c r="N13" i="1"/>
  <c r="M13" i="1"/>
  <c r="L13" i="1"/>
  <c r="G13" i="1"/>
  <c r="F13" i="1"/>
  <c r="E13" i="1"/>
  <c r="C13" i="1"/>
  <c r="Q10" i="1"/>
  <c r="P10" i="1"/>
  <c r="O10" i="1"/>
  <c r="N10" i="1"/>
  <c r="M10" i="1"/>
  <c r="L10" i="1"/>
  <c r="O25" i="1"/>
  <c r="N25" i="1"/>
  <c r="M25" i="1"/>
  <c r="L25" i="1"/>
  <c r="E25" i="1"/>
  <c r="D25" i="1"/>
  <c r="C25" i="1"/>
  <c r="N23" i="1"/>
  <c r="D23" i="1"/>
  <c r="S24" i="1"/>
  <c r="O24" i="1"/>
  <c r="R27" i="1"/>
  <c r="Q27" i="1"/>
  <c r="P27" i="1"/>
  <c r="O27" i="1"/>
  <c r="N27" i="1"/>
  <c r="J27" i="1"/>
  <c r="I27" i="1"/>
  <c r="F27" i="1"/>
  <c r="E27" i="1"/>
  <c r="C27" i="1"/>
  <c r="S26" i="1"/>
  <c r="R26" i="1"/>
  <c r="Q26" i="1"/>
  <c r="P26" i="1"/>
  <c r="O26" i="1"/>
  <c r="N26" i="1"/>
  <c r="M26" i="1"/>
  <c r="D26" i="1"/>
  <c r="R22" i="1"/>
  <c r="K22" i="1"/>
  <c r="G22" i="1"/>
  <c r="C22" i="1"/>
  <c r="P14" i="1"/>
  <c r="O14" i="1"/>
  <c r="N14" i="1"/>
  <c r="M14" i="1"/>
  <c r="F14" i="1"/>
  <c r="F19" i="1"/>
  <c r="E19" i="1"/>
  <c r="D19" i="1"/>
  <c r="D30" i="1"/>
  <c r="Q18" i="1"/>
  <c r="P18" i="1"/>
  <c r="N18" i="1"/>
  <c r="E18" i="1"/>
  <c r="D18" i="1"/>
  <c r="R28" i="1"/>
  <c r="Q28" i="1"/>
  <c r="O28" i="1"/>
  <c r="H28" i="1"/>
  <c r="G28" i="1"/>
  <c r="F28" i="1"/>
  <c r="E28" i="1"/>
  <c r="D28" i="1"/>
  <c r="O17" i="1"/>
  <c r="N17" i="1"/>
  <c r="F17" i="1"/>
  <c r="E17" i="1"/>
  <c r="D17" i="1"/>
  <c r="S15" i="1"/>
  <c r="O15" i="1"/>
  <c r="N15" i="1"/>
  <c r="E15" i="1"/>
  <c r="D15" i="1"/>
  <c r="N20" i="1"/>
  <c r="M20" i="1"/>
  <c r="L20" i="1"/>
  <c r="H20" i="1"/>
  <c r="E20" i="1"/>
  <c r="D20" i="1"/>
  <c r="P16" i="1"/>
  <c r="M16" i="1"/>
  <c r="F16" i="1"/>
  <c r="D16" i="1"/>
  <c r="R21" i="1"/>
  <c r="F21" i="1"/>
  <c r="D21" i="1"/>
  <c r="H10" i="1"/>
  <c r="G10" i="1"/>
  <c r="F10" i="1"/>
  <c r="E10" i="1"/>
  <c r="D10" i="1"/>
  <c r="Q9" i="1"/>
  <c r="P9" i="1"/>
  <c r="O9" i="1"/>
  <c r="N9" i="1"/>
  <c r="M9" i="1"/>
  <c r="L9" i="1"/>
  <c r="H9" i="1"/>
  <c r="F9" i="1"/>
  <c r="P11" i="1"/>
  <c r="O11" i="1"/>
  <c r="N11" i="1"/>
  <c r="M11" i="1"/>
  <c r="L11" i="1"/>
  <c r="H11" i="1"/>
  <c r="G11" i="1"/>
  <c r="F11" i="1"/>
  <c r="E11" i="1"/>
  <c r="D11" i="1"/>
  <c r="P12" i="1"/>
  <c r="O12" i="1"/>
  <c r="N12" i="1"/>
  <c r="M12" i="1"/>
  <c r="F12" i="1"/>
  <c r="D12" i="1"/>
  <c r="R8" i="1"/>
  <c r="Q8" i="1"/>
  <c r="P8" i="1"/>
  <c r="O8" i="1"/>
  <c r="N8" i="1"/>
  <c r="M8" i="1"/>
  <c r="I8" i="1"/>
  <c r="H8" i="1"/>
  <c r="E8" i="1"/>
  <c r="Q7" i="1"/>
  <c r="P7" i="1"/>
  <c r="O7" i="1"/>
  <c r="N7" i="1"/>
  <c r="M7" i="1"/>
  <c r="L7" i="1"/>
  <c r="G7" i="1"/>
  <c r="F7" i="1"/>
  <c r="E7" i="1"/>
  <c r="D7" i="1"/>
  <c r="C7" i="1"/>
  <c r="I9" i="1"/>
  <c r="D9" i="1"/>
  <c r="H7" i="1"/>
  <c r="R7" i="1"/>
  <c r="G15" i="1"/>
  <c r="C19" i="1"/>
  <c r="N19" i="1"/>
  <c r="F22" i="1"/>
  <c r="N22" i="1"/>
  <c r="P21" i="1"/>
  <c r="O21" i="1"/>
  <c r="N21" i="1"/>
  <c r="C37" i="1"/>
  <c r="R9" i="1"/>
  <c r="G9" i="1"/>
  <c r="E9" i="1"/>
  <c r="C9" i="1"/>
  <c r="E14" i="1"/>
  <c r="P17" i="1"/>
  <c r="O41" i="1"/>
  <c r="F43" i="1"/>
  <c r="Q43" i="1"/>
  <c r="P43" i="1"/>
  <c r="Q16" i="1"/>
  <c r="O16" i="1"/>
  <c r="N16" i="1"/>
  <c r="Q21" i="1"/>
  <c r="M21" i="1"/>
  <c r="D8" i="1"/>
  <c r="E21" i="1"/>
  <c r="R19" i="1"/>
  <c r="Q19" i="1"/>
  <c r="P19" i="1"/>
  <c r="O19" i="1"/>
  <c r="M19" i="1"/>
  <c r="L19" i="1"/>
  <c r="I19" i="1"/>
  <c r="H19" i="1"/>
  <c r="G19" i="1"/>
  <c r="P15" i="1"/>
  <c r="G30" i="1"/>
  <c r="E43" i="1"/>
  <c r="D43" i="1"/>
  <c r="D29" i="1"/>
  <c r="K9" i="1"/>
  <c r="J9" i="1"/>
  <c r="T9" i="1"/>
  <c r="S9" i="1"/>
  <c r="P39" i="1"/>
  <c r="O39" i="1"/>
  <c r="P38" i="1"/>
  <c r="O38" i="1"/>
  <c r="N38" i="1"/>
  <c r="O18" i="1"/>
  <c r="O23" i="1"/>
  <c r="L14" i="1"/>
  <c r="O20" i="1"/>
  <c r="O22" i="1"/>
  <c r="F38" i="1"/>
  <c r="T12" i="1"/>
  <c r="S12" i="1"/>
  <c r="R12" i="1"/>
  <c r="Q12" i="1"/>
  <c r="K12" i="1"/>
  <c r="J12" i="1"/>
  <c r="I12" i="1"/>
  <c r="H12" i="1"/>
  <c r="K13" i="1"/>
  <c r="J13" i="1"/>
  <c r="I13" i="1"/>
  <c r="H13" i="1"/>
  <c r="T13" i="1"/>
  <c r="R13" i="1"/>
  <c r="G25" i="1"/>
  <c r="F25" i="1"/>
  <c r="G52" i="1"/>
  <c r="F52" i="1"/>
  <c r="E52" i="1"/>
  <c r="G54" i="1"/>
  <c r="F54" i="1"/>
  <c r="E54" i="1"/>
  <c r="T27" i="8" l="1"/>
  <c r="T217" i="8"/>
  <c r="R243" i="8"/>
  <c r="T166" i="8"/>
  <c r="L271" i="8"/>
  <c r="L272" i="8" s="1"/>
  <c r="T36" i="8"/>
  <c r="K333" i="8"/>
  <c r="T155" i="8"/>
  <c r="T175" i="8"/>
  <c r="Q290" i="8"/>
  <c r="T13" i="8"/>
  <c r="T187" i="8"/>
  <c r="S305" i="8"/>
  <c r="R37" i="1"/>
  <c r="R38" i="1"/>
  <c r="R42" i="1"/>
  <c r="I26" i="1"/>
  <c r="H26" i="1"/>
  <c r="I11" i="1"/>
  <c r="F41" i="1"/>
  <c r="E38" i="1"/>
  <c r="E50" i="1"/>
  <c r="F50" i="1"/>
  <c r="G29" i="1"/>
  <c r="N29" i="1"/>
  <c r="D13" i="1"/>
  <c r="G12" i="1"/>
  <c r="P24" i="1"/>
  <c r="F42" i="1"/>
  <c r="P42" i="1"/>
  <c r="O42" i="1"/>
  <c r="N42" i="1"/>
  <c r="T40" i="1" l="1"/>
  <c r="S40" i="1"/>
  <c r="R40" i="1"/>
  <c r="Q40" i="1"/>
  <c r="P40" i="1"/>
  <c r="O40" i="1"/>
  <c r="N40" i="1"/>
  <c r="M40" i="1"/>
  <c r="Q38" i="1"/>
  <c r="M38" i="1"/>
  <c r="H22" i="1"/>
  <c r="E22" i="1"/>
  <c r="H14" i="1"/>
  <c r="G14" i="1"/>
  <c r="H15" i="1"/>
  <c r="F15" i="1"/>
  <c r="G24" i="1"/>
  <c r="F24" i="1"/>
  <c r="G21" i="1"/>
  <c r="P28" i="1"/>
  <c r="N28" i="1"/>
  <c r="M28" i="1"/>
  <c r="Q22" i="1"/>
  <c r="P22" i="1"/>
  <c r="M22" i="1"/>
  <c r="G27" i="1" l="1"/>
  <c r="C17" i="1"/>
  <c r="L12" i="1"/>
  <c r="T10" i="1"/>
  <c r="C10" i="1"/>
  <c r="E12" i="1"/>
  <c r="M42" i="1"/>
  <c r="I10" i="1"/>
  <c r="I25" i="1"/>
  <c r="I20" i="1"/>
  <c r="G20" i="1"/>
  <c r="F20" i="1"/>
  <c r="P25" i="1"/>
  <c r="Q20" i="1" l="1"/>
  <c r="P20" i="1"/>
  <c r="S7" i="1"/>
  <c r="T8" i="1"/>
  <c r="D38" i="1"/>
  <c r="D53" i="1"/>
  <c r="H54" i="1"/>
  <c r="D54" i="1"/>
  <c r="F8" i="1"/>
  <c r="N31" i="1"/>
  <c r="M29" i="1"/>
  <c r="P30" i="1"/>
  <c r="T7" i="1"/>
  <c r="Q14" i="1"/>
  <c r="P31" i="1"/>
  <c r="O31" i="1"/>
  <c r="R10" i="1" l="1"/>
  <c r="R16" i="1"/>
  <c r="H37" i="1"/>
  <c r="R39" i="1"/>
  <c r="P41" i="1"/>
  <c r="S27" i="1"/>
  <c r="D39" i="1"/>
  <c r="M39" i="1"/>
  <c r="L39" i="1"/>
  <c r="J20" i="1"/>
  <c r="C26" i="1"/>
  <c r="G8" i="1"/>
  <c r="E39" i="1"/>
  <c r="D37" i="1"/>
  <c r="I54" i="1"/>
  <c r="H52" i="1"/>
  <c r="G51" i="1"/>
  <c r="E53" i="1"/>
  <c r="J31" i="1"/>
  <c r="S31" i="1"/>
  <c r="R25" i="1"/>
  <c r="J14" i="1"/>
  <c r="L26" i="1"/>
  <c r="I22" i="1"/>
  <c r="S19" i="1"/>
  <c r="R18" i="1"/>
  <c r="M23" i="1"/>
  <c r="D50" i="1"/>
  <c r="F40" i="1"/>
  <c r="C49" i="1"/>
  <c r="F49" i="1"/>
  <c r="E49" i="1"/>
  <c r="F51" i="1"/>
  <c r="E51" i="1"/>
  <c r="D51" i="1"/>
  <c r="K11" i="1"/>
  <c r="D22" i="1"/>
  <c r="G18" i="1"/>
  <c r="F18" i="1"/>
  <c r="E24" i="1"/>
  <c r="D24" i="1"/>
  <c r="C8" i="1"/>
  <c r="M18" i="1"/>
  <c r="Q24" i="1"/>
  <c r="N24" i="1"/>
  <c r="L8" i="1"/>
  <c r="G40" i="1"/>
  <c r="E40" i="1"/>
  <c r="D40" i="1"/>
  <c r="H21" i="1" l="1"/>
  <c r="H27" i="1"/>
  <c r="D27" i="1"/>
  <c r="K26" i="1"/>
  <c r="J26" i="1"/>
  <c r="N41" i="1" l="1"/>
  <c r="G41" i="1"/>
  <c r="E41" i="1"/>
  <c r="D41" i="1"/>
  <c r="G42" i="1"/>
  <c r="G38" i="1"/>
  <c r="L37" i="1"/>
  <c r="F37" i="1"/>
  <c r="E37" i="1"/>
  <c r="Q25" i="1"/>
  <c r="H25" i="1"/>
  <c r="R23" i="1"/>
  <c r="Q23" i="1"/>
  <c r="H30" i="1"/>
  <c r="E30" i="1"/>
  <c r="H18" i="1"/>
  <c r="G17" i="1"/>
  <c r="Q11" i="1"/>
  <c r="M17" i="1"/>
  <c r="E16" i="1"/>
  <c r="M15" i="1"/>
  <c r="D14" i="1"/>
  <c r="O30" i="1"/>
  <c r="C30" i="1"/>
  <c r="R43" i="1"/>
  <c r="R30" i="1"/>
  <c r="Q30" i="1"/>
  <c r="I38" i="1"/>
  <c r="I30" i="1"/>
  <c r="Q41" i="1"/>
  <c r="N43" i="1"/>
  <c r="P23" i="1"/>
  <c r="L23" i="1"/>
  <c r="L15" i="1"/>
  <c r="C12" i="1"/>
  <c r="C20" i="1"/>
  <c r="T27" i="1"/>
  <c r="T22" i="1"/>
  <c r="H31" i="1" l="1"/>
  <c r="G31" i="1"/>
  <c r="F31" i="1"/>
  <c r="E31" i="1"/>
  <c r="D31" i="1"/>
  <c r="L29" i="1" l="1"/>
  <c r="C16" i="1"/>
  <c r="Q39" i="1"/>
  <c r="J22" i="1"/>
  <c r="J17" i="1"/>
  <c r="J28" i="1"/>
  <c r="Q42" i="1"/>
  <c r="R17" i="1" l="1"/>
  <c r="Q17" i="1"/>
  <c r="O43" i="1" l="1"/>
  <c r="S10" i="1" l="1"/>
  <c r="E42" i="1"/>
  <c r="S8" i="1"/>
  <c r="T25" i="1" l="1"/>
  <c r="H17" i="1"/>
  <c r="I49" i="1"/>
  <c r="G49" i="1"/>
  <c r="I50" i="1"/>
  <c r="G50" i="1"/>
  <c r="M41" i="1"/>
  <c r="I7" i="1"/>
  <c r="G43" i="1" l="1"/>
  <c r="M43" i="1"/>
  <c r="I28" i="1"/>
  <c r="I21" i="1"/>
  <c r="M27" i="1"/>
  <c r="K7" i="1"/>
  <c r="J7" i="1"/>
  <c r="Q15" i="1"/>
  <c r="F39" i="1"/>
  <c r="G39" i="1"/>
  <c r="C28" i="1"/>
  <c r="R11" i="1"/>
  <c r="L38" i="1"/>
  <c r="M24" i="1"/>
  <c r="L28" i="1"/>
  <c r="N39" i="1"/>
  <c r="C39" i="1"/>
  <c r="F29" i="1"/>
  <c r="I23" i="1"/>
  <c r="H23" i="1"/>
  <c r="G23" i="1"/>
  <c r="L27" i="1"/>
  <c r="L43" i="1" l="1"/>
  <c r="I43" i="1"/>
  <c r="C43" i="1"/>
  <c r="L42" i="1"/>
  <c r="I42" i="1"/>
  <c r="H42" i="1"/>
  <c r="C42" i="1"/>
  <c r="L41" i="1"/>
  <c r="I41" i="1"/>
  <c r="H41" i="1"/>
  <c r="C41" i="1"/>
  <c r="L40" i="1"/>
  <c r="C40" i="1"/>
  <c r="T39" i="1"/>
  <c r="K39" i="1"/>
  <c r="J39" i="1"/>
  <c r="I39" i="1"/>
  <c r="H39" i="1"/>
  <c r="T38" i="1"/>
  <c r="J38" i="1"/>
  <c r="H38" i="1"/>
  <c r="C38" i="1"/>
  <c r="K37" i="1"/>
  <c r="J37" i="1"/>
  <c r="I37" i="1"/>
  <c r="S30" i="1"/>
  <c r="T30" i="1"/>
  <c r="L30" i="1"/>
  <c r="K30" i="1"/>
  <c r="S25" i="1"/>
  <c r="K25" i="1"/>
  <c r="J25" i="1"/>
  <c r="T21" i="1"/>
  <c r="S21" i="1"/>
  <c r="L21" i="1"/>
  <c r="K21" i="1"/>
  <c r="J21" i="1"/>
  <c r="C21" i="1"/>
  <c r="T20" i="1"/>
  <c r="S20" i="1"/>
  <c r="R20" i="1"/>
  <c r="K20" i="1"/>
  <c r="T19" i="1"/>
  <c r="K19" i="1"/>
  <c r="J19" i="1"/>
  <c r="T17" i="1"/>
  <c r="S17" i="1"/>
  <c r="L17" i="1"/>
  <c r="K17" i="1"/>
  <c r="T16" i="1"/>
  <c r="S16" i="1"/>
  <c r="L16" i="1"/>
  <c r="K16" i="1"/>
  <c r="J16" i="1"/>
  <c r="I16" i="1"/>
  <c r="G16" i="1"/>
  <c r="T15" i="1"/>
  <c r="K15" i="1"/>
  <c r="J15" i="1"/>
  <c r="C15" i="1"/>
  <c r="T14" i="1"/>
  <c r="S14" i="1"/>
  <c r="R14" i="1"/>
  <c r="K14" i="1"/>
  <c r="I14" i="1"/>
  <c r="S13" i="1"/>
  <c r="T11" i="1"/>
  <c r="S11" i="1"/>
  <c r="J11" i="1"/>
  <c r="C11" i="1"/>
  <c r="K10" i="1"/>
  <c r="J10" i="1"/>
  <c r="K8" i="1"/>
  <c r="J8" i="1"/>
  <c r="G37" i="1"/>
  <c r="H49" i="1"/>
  <c r="M31" i="1"/>
  <c r="H29" i="1"/>
  <c r="E29" i="1"/>
  <c r="O29" i="1"/>
  <c r="K53" i="1"/>
  <c r="C53" i="1"/>
  <c r="H24" i="1"/>
  <c r="H50" i="1"/>
  <c r="F26" i="1"/>
  <c r="F23" i="1"/>
  <c r="E23" i="1"/>
  <c r="C54" i="1"/>
  <c r="S39" i="1"/>
  <c r="T18" i="1"/>
  <c r="H51" i="1"/>
  <c r="C51" i="1"/>
  <c r="D49" i="1"/>
  <c r="L18" i="1"/>
  <c r="I18" i="1"/>
  <c r="C18" i="1"/>
  <c r="R41" i="1"/>
  <c r="I53" i="1" l="1"/>
  <c r="H53" i="1"/>
  <c r="G53" i="1"/>
  <c r="F53" i="1"/>
  <c r="D52" i="1" l="1"/>
  <c r="S42" i="1" l="1"/>
  <c r="L22" i="1"/>
  <c r="I15" i="1"/>
  <c r="G26" i="1"/>
  <c r="E26" i="1"/>
  <c r="T26" i="1"/>
  <c r="R29" i="1"/>
  <c r="T23" i="1" l="1"/>
  <c r="S23" i="1"/>
  <c r="C23" i="1"/>
  <c r="I17" i="1" l="1"/>
  <c r="C14" i="1"/>
  <c r="S22" i="1"/>
  <c r="C52" i="1" l="1"/>
  <c r="H16" i="1"/>
  <c r="S38" i="1" l="1"/>
  <c r="S28" i="1" l="1"/>
  <c r="S37" i="1" l="1"/>
  <c r="R24" i="1" l="1"/>
  <c r="I52" i="1" l="1"/>
  <c r="R15" i="1" l="1"/>
  <c r="R31" i="1" l="1"/>
  <c r="H43" i="1" l="1"/>
  <c r="C24" i="1" l="1"/>
  <c r="S29" i="1" l="1"/>
  <c r="Q29" i="1"/>
  <c r="P29" i="1"/>
  <c r="Q31" i="1"/>
  <c r="J23" i="1"/>
  <c r="J18" i="1" l="1"/>
  <c r="J49" i="1" l="1"/>
  <c r="J30" i="1" l="1"/>
  <c r="K52" i="1"/>
  <c r="T31" i="1"/>
  <c r="K31" i="1"/>
  <c r="J53" i="1" l="1"/>
  <c r="J41" i="1" l="1"/>
  <c r="S18" i="1" l="1"/>
  <c r="D42" i="1"/>
  <c r="K38" i="1" l="1"/>
  <c r="K49" i="1"/>
  <c r="I31" i="1" l="1"/>
  <c r="J52" i="1" l="1"/>
  <c r="I40" i="1"/>
  <c r="T24" i="1"/>
  <c r="I24" i="1"/>
  <c r="K42" i="1" l="1"/>
  <c r="J42" i="1"/>
  <c r="T41" i="1"/>
  <c r="K50" i="1"/>
  <c r="K51" i="1"/>
  <c r="J51" i="1"/>
  <c r="I51" i="1"/>
  <c r="K54" i="1"/>
  <c r="J54" i="1"/>
  <c r="J50" i="1"/>
  <c r="C50" i="1"/>
  <c r="H40" i="1"/>
  <c r="T29" i="1"/>
  <c r="K29" i="1"/>
  <c r="J29" i="1"/>
  <c r="I29" i="1"/>
  <c r="C29" i="1"/>
  <c r="L31" i="1"/>
  <c r="C31" i="1"/>
  <c r="K23" i="1"/>
  <c r="L24" i="1"/>
  <c r="K24" i="1"/>
  <c r="J24" i="1"/>
  <c r="K27" i="1"/>
  <c r="K18" i="1"/>
  <c r="T28" i="1"/>
  <c r="K28" i="1"/>
  <c r="T42" i="1" l="1"/>
  <c r="K40" i="1" l="1"/>
  <c r="J40" i="1"/>
  <c r="T43" i="1"/>
  <c r="S43" i="1"/>
  <c r="K43" i="1"/>
  <c r="J43" i="1"/>
  <c r="S41" i="1"/>
  <c r="K41" i="1"/>
  <c r="T37" i="1"/>
  <c r="Z7" i="1" l="1"/>
  <c r="O1" i="1" l="1"/>
  <c r="U12" i="1" l="1"/>
  <c r="L53" i="1" l="1"/>
  <c r="L52" i="1"/>
  <c r="L51" i="1"/>
  <c r="L49" i="1"/>
  <c r="Z30" i="1"/>
  <c r="Y30" i="1"/>
  <c r="Z29" i="1"/>
  <c r="Y29" i="1"/>
  <c r="Z28" i="1"/>
  <c r="Y28" i="1"/>
  <c r="Z27" i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Z19" i="1"/>
  <c r="Y19" i="1"/>
  <c r="Z18" i="1"/>
  <c r="Y18" i="1"/>
  <c r="Z17" i="1"/>
  <c r="Y17" i="1"/>
  <c r="Z16" i="1"/>
  <c r="Y16" i="1"/>
  <c r="Z15" i="1"/>
  <c r="Y15" i="1"/>
  <c r="Z14" i="1"/>
  <c r="Y14" i="1"/>
  <c r="Z13" i="1"/>
  <c r="Y13" i="1"/>
  <c r="Z12" i="1"/>
  <c r="Y12" i="1"/>
  <c r="Z11" i="1"/>
  <c r="Y11" i="1"/>
  <c r="Z10" i="1"/>
  <c r="Y10" i="1"/>
  <c r="Z9" i="1"/>
  <c r="Y9" i="1"/>
  <c r="Z8" i="1"/>
  <c r="Y8" i="1"/>
  <c r="Y7" i="1"/>
  <c r="Z6" i="1"/>
  <c r="Y6" i="1"/>
  <c r="U37" i="1" l="1"/>
  <c r="U22" i="1"/>
  <c r="U31" i="1"/>
  <c r="U42" i="1"/>
  <c r="U40" i="1"/>
  <c r="U43" i="1"/>
  <c r="U29" i="1"/>
  <c r="U28" i="1"/>
  <c r="U13" i="1"/>
  <c r="U8" i="1"/>
  <c r="U27" i="1"/>
  <c r="U25" i="1"/>
  <c r="U38" i="1"/>
  <c r="L50" i="1"/>
  <c r="L54" i="1"/>
  <c r="U41" i="1"/>
  <c r="U39" i="1"/>
  <c r="U30" i="1"/>
  <c r="U24" i="1"/>
  <c r="U17" i="1"/>
  <c r="U18" i="1"/>
  <c r="U9" i="1"/>
  <c r="U10" i="1"/>
  <c r="U26" i="1"/>
  <c r="U23" i="1"/>
  <c r="U21" i="1"/>
  <c r="U20" i="1"/>
  <c r="U19" i="1"/>
  <c r="U16" i="1"/>
  <c r="U15" i="1"/>
  <c r="U14" i="1"/>
  <c r="U11" i="1"/>
  <c r="U7" i="1"/>
  <c r="L55" i="1" l="1"/>
  <c r="U44" i="1"/>
  <c r="U32" i="1"/>
  <c r="A201" i="9"/>
  <c r="M65" i="8"/>
  <c r="T65" i="8"/>
  <c r="T389" i="8"/>
</calcChain>
</file>

<file path=xl/sharedStrings.xml><?xml version="1.0" encoding="utf-8"?>
<sst xmlns="http://schemas.openxmlformats.org/spreadsheetml/2006/main" count="18041" uniqueCount="280">
  <si>
    <t>INVENTARIO GENERAL BE FRESH</t>
  </si>
  <si>
    <t xml:space="preserve"> </t>
  </si>
  <si>
    <t xml:space="preserve">PLAYERA BE FRESH  TIPO POLO MANGA CORTA </t>
  </si>
  <si>
    <t>DAMA</t>
  </si>
  <si>
    <t>CABALLERO</t>
  </si>
  <si>
    <t xml:space="preserve">COLOR </t>
  </si>
  <si>
    <t>KILOS</t>
  </si>
  <si>
    <t xml:space="preserve">MANGA CORTA </t>
  </si>
  <si>
    <t xml:space="preserve">MANGA LARGA </t>
  </si>
  <si>
    <t>COLOR /TALLA</t>
  </si>
  <si>
    <t>XCH</t>
  </si>
  <si>
    <t>CH</t>
  </si>
  <si>
    <t>MD</t>
  </si>
  <si>
    <t>GD</t>
  </si>
  <si>
    <t>XG</t>
  </si>
  <si>
    <t>2X</t>
  </si>
  <si>
    <t>3X</t>
  </si>
  <si>
    <t>4X</t>
  </si>
  <si>
    <t>5X</t>
  </si>
  <si>
    <t>NEGRO</t>
  </si>
  <si>
    <t>MARINO</t>
  </si>
  <si>
    <t>GRIS OXFORD</t>
  </si>
  <si>
    <t>VINO</t>
  </si>
  <si>
    <t>ROJO</t>
  </si>
  <si>
    <t xml:space="preserve">BLANCO </t>
  </si>
  <si>
    <t xml:space="preserve">REY </t>
  </si>
  <si>
    <t>GRIS PERLA</t>
  </si>
  <si>
    <t xml:space="preserve">FIUSHA </t>
  </si>
  <si>
    <t>NARANJA</t>
  </si>
  <si>
    <t xml:space="preserve">MORADO / VIOLETA </t>
  </si>
  <si>
    <t>TURQUESA</t>
  </si>
  <si>
    <t>CAQUI</t>
  </si>
  <si>
    <t>ROSA</t>
  </si>
  <si>
    <t>AMARILLO</t>
  </si>
  <si>
    <t>AZUL CIELO</t>
  </si>
  <si>
    <t>VERDE LIMON</t>
  </si>
  <si>
    <t xml:space="preserve">VERDE MANZANA </t>
  </si>
  <si>
    <t xml:space="preserve">VERDE BANDERA </t>
  </si>
  <si>
    <t xml:space="preserve">MENTA </t>
  </si>
  <si>
    <t>VERDE BOTELLA</t>
  </si>
  <si>
    <t>LILA</t>
  </si>
  <si>
    <t>AMARILLO NEON</t>
  </si>
  <si>
    <t>NARANJA NEON</t>
  </si>
  <si>
    <t>BUGAMBILIA</t>
  </si>
  <si>
    <t>BUGANBILIA</t>
  </si>
  <si>
    <t>PLAYERA BE FRESH  TIPO POLO MANGA LARGA</t>
  </si>
  <si>
    <t>GRIS</t>
  </si>
  <si>
    <t xml:space="preserve">PLAYERA BE FRESH CUELLO REDONDO </t>
  </si>
  <si>
    <t>UNISEX</t>
  </si>
  <si>
    <t xml:space="preserve">CHALECOS </t>
  </si>
  <si>
    <t>CHALECO SHELL</t>
  </si>
  <si>
    <t>GENERO</t>
  </si>
  <si>
    <t>COLOR / TALLA</t>
  </si>
  <si>
    <t>S</t>
  </si>
  <si>
    <t>M</t>
  </si>
  <si>
    <t>L</t>
  </si>
  <si>
    <t>XL</t>
  </si>
  <si>
    <t>TOTAL</t>
  </si>
  <si>
    <t xml:space="preserve">MARINO </t>
  </si>
  <si>
    <t>.</t>
  </si>
  <si>
    <t>CHALECO FIT</t>
  </si>
  <si>
    <t xml:space="preserve">NEGRO </t>
  </si>
  <si>
    <t>VERDE</t>
  </si>
  <si>
    <t xml:space="preserve">VINO </t>
  </si>
  <si>
    <t xml:space="preserve">EXISTENCIA EN TLAXCALA, CONFIRMAR TALLAS </t>
  </si>
  <si>
    <t xml:space="preserve">CHALECO HYDRO </t>
  </si>
  <si>
    <t>CHALECO CHIC 2024</t>
  </si>
  <si>
    <t xml:space="preserve">CHALECO FULL </t>
  </si>
  <si>
    <t>Tallas / Modelo</t>
  </si>
  <si>
    <t>Total</t>
  </si>
  <si>
    <t>2XL</t>
  </si>
  <si>
    <t>3XL</t>
  </si>
  <si>
    <t>4XL</t>
  </si>
  <si>
    <t>5XL</t>
  </si>
  <si>
    <t>MARINO 2025</t>
  </si>
  <si>
    <t>CHAMARRAS</t>
  </si>
  <si>
    <t>CHAMARRA SHELL 2023</t>
  </si>
  <si>
    <t>Color</t>
  </si>
  <si>
    <t>MARINO PUNTO NARANJA</t>
  </si>
  <si>
    <t>MARINO S/PUNTO</t>
  </si>
  <si>
    <t>MARINO PUNTO ROSA</t>
  </si>
  <si>
    <t xml:space="preserve">CHAMARRA CHIC </t>
  </si>
  <si>
    <t xml:space="preserve">CHAMARRA HYDRO </t>
  </si>
  <si>
    <t xml:space="preserve">GENERO </t>
  </si>
  <si>
    <t xml:space="preserve">TOTAL </t>
  </si>
  <si>
    <t xml:space="preserve">CHAMARRA ATRACTIVE  </t>
  </si>
  <si>
    <t>XXCH</t>
  </si>
  <si>
    <t>CHAMARRA REACTION</t>
  </si>
  <si>
    <t>ROJA</t>
  </si>
  <si>
    <t xml:space="preserve">CHAMARRA FULL </t>
  </si>
  <si>
    <t>COLOR</t>
  </si>
  <si>
    <t>6xl</t>
  </si>
  <si>
    <t>MARINO OBSCURO</t>
  </si>
  <si>
    <t>ROMPEVIENTOS SOF NEW / TELA PLASTIFICADA</t>
  </si>
  <si>
    <t>BLANCO</t>
  </si>
  <si>
    <t xml:space="preserve">ROJO  </t>
  </si>
  <si>
    <t xml:space="preserve">ROMPEVIENTOS SOF NEW / TELA MEMORI </t>
  </si>
  <si>
    <t xml:space="preserve">BLANCO AMARILLENTO </t>
  </si>
  <si>
    <t>CHAMARRA CAPITONADA</t>
  </si>
  <si>
    <t>BLUSAS Y CAMISAS</t>
  </si>
  <si>
    <t xml:space="preserve">BLUSA Y CAMISA PESCADORA </t>
  </si>
  <si>
    <t>ARENA</t>
  </si>
  <si>
    <t>A. CIELO</t>
  </si>
  <si>
    <t>VERDE MILITAR</t>
  </si>
  <si>
    <t>REY</t>
  </si>
  <si>
    <t>|</t>
  </si>
  <si>
    <t>GRIS ACERO</t>
  </si>
  <si>
    <t>PETROLEO</t>
  </si>
  <si>
    <t>PISTACHE</t>
  </si>
  <si>
    <t xml:space="preserve">BLUSA Y CAMISA VERONA </t>
  </si>
  <si>
    <t>A. FRANCIA</t>
  </si>
  <si>
    <t>ROJO  2023</t>
  </si>
  <si>
    <t xml:space="preserve">BLUSA Y CAMISA OXFORD </t>
  </si>
  <si>
    <t>PAJA</t>
  </si>
  <si>
    <t xml:space="preserve">BLUSA Y CAMISA MEETING </t>
  </si>
  <si>
    <t>AZUL FRANCIA</t>
  </si>
  <si>
    <t>LILA VIEJO</t>
  </si>
  <si>
    <t>BLUSA Y CAMISA PESCADORA MANGA CORTA</t>
  </si>
  <si>
    <t>6X</t>
  </si>
  <si>
    <t>7X</t>
  </si>
  <si>
    <t>BLANCA</t>
  </si>
  <si>
    <t xml:space="preserve">  </t>
  </si>
  <si>
    <t>BLUSA Y CAMISA MEZCLILLA 7.5 oz</t>
  </si>
  <si>
    <t>PRODUCCIÒN</t>
  </si>
  <si>
    <t>STONE</t>
  </si>
  <si>
    <t xml:space="preserve">BLUSA Y CAMISA AMALFI </t>
  </si>
  <si>
    <t xml:space="preserve">AZUL </t>
  </si>
  <si>
    <t>TELA X LLEGAR</t>
  </si>
  <si>
    <t>BLUSA Y CAMISA TURIN</t>
  </si>
  <si>
    <t>AZUL. CIELO</t>
  </si>
  <si>
    <t xml:space="preserve">VARIACIÓN EN TONOS / 2 REMESAS </t>
  </si>
  <si>
    <t>LINEA SECURITY</t>
  </si>
  <si>
    <t xml:space="preserve">CAMISOLA DE SEGURIDAD / GABARDINA </t>
  </si>
  <si>
    <t>GABARDINA MARINO-AMARILLO NEON</t>
  </si>
  <si>
    <t>BLUSA Y CAMISA MEZCLILLA SECURITY 7.5 oz</t>
  </si>
  <si>
    <t>STONE / MEZCLILLA</t>
  </si>
  <si>
    <t>CHALECO SECURITY</t>
  </si>
  <si>
    <t>BLUSA Y CAMISA PESCADORA C/REFLEJANTE</t>
  </si>
  <si>
    <t>CHALECO ALTA VISIBILIDAD</t>
  </si>
  <si>
    <t>MODELO</t>
  </si>
  <si>
    <t>UNITALLA</t>
  </si>
  <si>
    <t>NARANJA S4</t>
  </si>
  <si>
    <t>NEON C6</t>
  </si>
  <si>
    <t>CHALECO BRIGADISTA</t>
  </si>
  <si>
    <t xml:space="preserve"> A. NEON   </t>
  </si>
  <si>
    <t>KAKI</t>
  </si>
  <si>
    <t xml:space="preserve">AZUL REY  OBSCURO </t>
  </si>
  <si>
    <t xml:space="preserve">AZUL REY CLARO </t>
  </si>
  <si>
    <t xml:space="preserve"> PANTALON MEZCLILLA C/REFLEJANTE</t>
  </si>
  <si>
    <t xml:space="preserve">CABALLERO </t>
  </si>
  <si>
    <t>TALLAS</t>
  </si>
  <si>
    <t>PANTALON MEZCLILLA</t>
  </si>
  <si>
    <t>LINEA CHEF</t>
  </si>
  <si>
    <t>FILIPINA BASIC</t>
  </si>
  <si>
    <t xml:space="preserve">XXCH </t>
  </si>
  <si>
    <t xml:space="preserve">   </t>
  </si>
  <si>
    <t>MANDIL LONETA</t>
  </si>
  <si>
    <t>Mandil Larry</t>
  </si>
  <si>
    <t>CORTO</t>
  </si>
  <si>
    <t xml:space="preserve">LARGO </t>
  </si>
  <si>
    <t>PANTALONES</t>
  </si>
  <si>
    <t xml:space="preserve"> PANTALON MEZCLILLA</t>
  </si>
  <si>
    <t xml:space="preserve">PANTALON MEZCLILLA DIFENTE TONO </t>
  </si>
  <si>
    <t>CAMPAÑA / ALMACEN TLAXCALA</t>
  </si>
  <si>
    <t>CHALECO CAMPING</t>
  </si>
  <si>
    <t>UVA</t>
  </si>
  <si>
    <t xml:space="preserve">NARANJA </t>
  </si>
  <si>
    <t xml:space="preserve">VERDE NEON </t>
  </si>
  <si>
    <t xml:space="preserve">TURQUESA </t>
  </si>
  <si>
    <t>CHALECO MEXICO</t>
  </si>
  <si>
    <t>COLORES:</t>
  </si>
  <si>
    <t>TALLAS / UNISEX</t>
  </si>
  <si>
    <t>G</t>
  </si>
  <si>
    <t>XXL</t>
  </si>
  <si>
    <t>TOTAL:</t>
  </si>
  <si>
    <t>MARINO S/REFLEJANTE</t>
  </si>
  <si>
    <t>MORADO</t>
  </si>
  <si>
    <t xml:space="preserve">PLAYERA BOMBAY </t>
  </si>
  <si>
    <t xml:space="preserve"> CASTORES</t>
  </si>
  <si>
    <t>CHALECO HYDRO</t>
  </si>
  <si>
    <t>CHAMARRA FULL</t>
  </si>
  <si>
    <t>CHAMARRA SHELL</t>
  </si>
  <si>
    <t>PLAYERA SUBLIMADA MEXICO</t>
  </si>
  <si>
    <t>PLAYERA MEXICO</t>
  </si>
  <si>
    <t>CHAMARRA SUBLIMADA MEXICO</t>
  </si>
  <si>
    <t xml:space="preserve"> MEXICO</t>
  </si>
  <si>
    <t>INVENTARIO BODEGA TORIBIO</t>
  </si>
  <si>
    <t xml:space="preserve">POLO PLAYERA BE FRESH MANGA CORTA </t>
  </si>
  <si>
    <t xml:space="preserve">ROJO </t>
  </si>
  <si>
    <t xml:space="preserve">AMARILLO </t>
  </si>
  <si>
    <t xml:space="preserve">ROSA </t>
  </si>
  <si>
    <t xml:space="preserve">MORADO </t>
  </si>
  <si>
    <t xml:space="preserve">BUGAMBILIA </t>
  </si>
  <si>
    <t xml:space="preserve">CAQUI </t>
  </si>
  <si>
    <t xml:space="preserve">GRIS PERLA </t>
  </si>
  <si>
    <t xml:space="preserve">VERDE BOTELLA </t>
  </si>
  <si>
    <t xml:space="preserve">VERDE LIMON </t>
  </si>
  <si>
    <t>VERDE BANDERA</t>
  </si>
  <si>
    <t xml:space="preserve">NARANJA NEON </t>
  </si>
  <si>
    <t xml:space="preserve">AMARILLO NEON </t>
  </si>
  <si>
    <t xml:space="preserve">BE FRESH MANGA  LARGA </t>
  </si>
  <si>
    <t>BE FRESH CUELLO REDONDO</t>
  </si>
  <si>
    <t xml:space="preserve">PLAYERA MUNDIALISTA </t>
  </si>
  <si>
    <t>MEXICO</t>
  </si>
  <si>
    <t>CHAMARRA MUNDIALISTA</t>
  </si>
  <si>
    <t>PLAYERA CUELLO REDONDO ALGODON PEINADO</t>
  </si>
  <si>
    <t>PLAYERA PARA SUBLIMAR BLANCA</t>
  </si>
  <si>
    <t>PLAYERA BOMBAY NIÑOS</t>
  </si>
  <si>
    <t>PLAYERA TACTO NIÑOS</t>
  </si>
  <si>
    <t>PLAYERA BOMBAY ADULTOS</t>
  </si>
  <si>
    <t>PLAYERA TACTO ADULTO</t>
  </si>
  <si>
    <t>BLANCA DAMA</t>
  </si>
  <si>
    <t>BLANCA CABALLERO</t>
  </si>
  <si>
    <t>PAÑALEROS</t>
  </si>
  <si>
    <t xml:space="preserve">PESCADORA </t>
  </si>
  <si>
    <t xml:space="preserve">DAMA </t>
  </si>
  <si>
    <t xml:space="preserve">NEGRA </t>
  </si>
  <si>
    <t>CIELO</t>
  </si>
  <si>
    <t xml:space="preserve">    MILITAR</t>
  </si>
  <si>
    <t>SUDADERAS</t>
  </si>
  <si>
    <t>HOODIE</t>
  </si>
  <si>
    <t>NEGRO CONTINENTAL</t>
  </si>
  <si>
    <t>NEGRO FIAT</t>
  </si>
  <si>
    <t>MARINO FIAT</t>
  </si>
  <si>
    <t>JASPE</t>
  </si>
  <si>
    <t>BLANCO azulado</t>
  </si>
  <si>
    <t xml:space="preserve">BLANCO AMARILLO </t>
  </si>
  <si>
    <t>CIERRE</t>
  </si>
  <si>
    <t>BASICA</t>
  </si>
  <si>
    <t>FLEECE</t>
  </si>
  <si>
    <t>BE FRESH</t>
  </si>
  <si>
    <t xml:space="preserve">LINEA DE SEGURIDAD </t>
  </si>
  <si>
    <t xml:space="preserve">   PLAYERA POLO AIRON SECURITY M/CORTA</t>
  </si>
  <si>
    <t>2XCH</t>
  </si>
  <si>
    <t xml:space="preserve">NARANJA/ MARINO </t>
  </si>
  <si>
    <t>AMARILLO/ MARINO</t>
  </si>
  <si>
    <t xml:space="preserve">   PLAYERA POLO AIRON SECURITY M/LARGA</t>
  </si>
  <si>
    <t xml:space="preserve">   PLAYERA VERSUS SECURITY</t>
  </si>
  <si>
    <t xml:space="preserve">   SUDADERA ONIX </t>
  </si>
  <si>
    <t>SUDADERA GALAXY</t>
  </si>
  <si>
    <t>CHALECO MEXICO SECURITY</t>
  </si>
  <si>
    <t xml:space="preserve"> AMARILLO  NEON   </t>
  </si>
  <si>
    <t>CAMISA DE SEGURIDAD MEZLILLA</t>
  </si>
  <si>
    <t xml:space="preserve">STONE C/ REFLEJANTE </t>
  </si>
  <si>
    <t>CHAMARRA COLLEGE</t>
  </si>
  <si>
    <t>NEGRO/OXFORD</t>
  </si>
  <si>
    <t>NEGRO/BLANCO</t>
  </si>
  <si>
    <t>NEGRO/NEGRO</t>
  </si>
  <si>
    <t>REY/GRIS</t>
  </si>
  <si>
    <t>MARINO/JASPE</t>
  </si>
  <si>
    <t>MARINO/OXFORD</t>
  </si>
  <si>
    <t>ROJO/NEGRO</t>
  </si>
  <si>
    <t xml:space="preserve">  INVENTARIO SUDADERAS       </t>
  </si>
  <si>
    <t xml:space="preserve">              17/04/26</t>
  </si>
  <si>
    <t>SUDADERA HOODIE</t>
  </si>
  <si>
    <t>NEGRO CONT.</t>
  </si>
  <si>
    <t>MARINO CONT.</t>
  </si>
  <si>
    <t>ROJO tela anterior</t>
  </si>
  <si>
    <t>BLANCO AZ</t>
  </si>
  <si>
    <t xml:space="preserve">SUDADERA BASICA </t>
  </si>
  <si>
    <t>MARINO ANTERIOR</t>
  </si>
  <si>
    <t>JASPE CONT</t>
  </si>
  <si>
    <t>JASPE FIAT</t>
  </si>
  <si>
    <t>ROJO ANT</t>
  </si>
  <si>
    <t>BLANCO  ANT</t>
  </si>
  <si>
    <t>BLANCO AZULADOS</t>
  </si>
  <si>
    <t>SUDADERA FRESH   /FIT</t>
  </si>
  <si>
    <t>SUDADERA CON CIERRE</t>
  </si>
  <si>
    <t>MARINO CONT</t>
  </si>
  <si>
    <t>SUDADERA FLEECE</t>
  </si>
  <si>
    <t>NEGRO 2025</t>
  </si>
  <si>
    <t>NEGRO 2026</t>
  </si>
  <si>
    <t>MARINO 2026</t>
  </si>
  <si>
    <t>PLAYERA POLO AIRON SECURITY M/CORTA</t>
  </si>
  <si>
    <t>NARANJA/MARINO</t>
  </si>
  <si>
    <t>AMARILLO/MARINO</t>
  </si>
  <si>
    <t>PLAYERA POLO AIRON SECURITY M/LARGA</t>
  </si>
  <si>
    <t>SUDADERA SECURITY GALAXY</t>
  </si>
  <si>
    <t>PLAYERA VERSUS SECURITY M/L CR</t>
  </si>
  <si>
    <t>SUDADERA SECURITY ONIX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</si>
</sst>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#,##0;[Red]\(#,##0\);&quot;-&quot;"/>
    <numFmt numFmtId="166" formatCode="_-* #,##0_-;\-* #,##0_-;_-* &quot;-&quot;_-;_-@"/>
    <numFmt numFmtId="168" formatCode="#\ ?/4"/>
    <numFmt numFmtId="169" formatCode="#\ ?/8"/>
    <numFmt numFmtId="170" formatCode="#\ ??/16"/>
  </numFmts>
  <fonts count="9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36"/>
      <color theme="1"/>
      <name val="Arial"/>
      <family val="2"/>
    </font>
    <font>
      <b/>
      <sz val="24"/>
      <color theme="1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26"/>
      <color theme="1"/>
      <name val="Arial Black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24"/>
      <color theme="1"/>
      <name val="Arial"/>
      <family val="2"/>
    </font>
    <font>
      <sz val="11"/>
      <name val="Aptos Narrow"/>
      <family val="2"/>
      <scheme val="minor"/>
    </font>
    <font>
      <b/>
      <sz val="14"/>
      <color theme="1"/>
      <name val="Arial"/>
      <family val="2"/>
    </font>
    <font>
      <sz val="48"/>
      <color theme="1"/>
      <name val="Arial Black"/>
      <family val="2"/>
    </font>
    <font>
      <sz val="28"/>
      <color theme="1"/>
      <name val="Arial Black"/>
      <family val="2"/>
    </font>
    <font>
      <sz val="48"/>
      <name val="Aptos Black"/>
      <family val="2"/>
    </font>
    <font>
      <sz val="16"/>
      <name val="Biome"/>
      <family val="2"/>
    </font>
    <font>
      <b/>
      <sz val="20"/>
      <name val="Aptos Black"/>
      <family val="2"/>
    </font>
    <font>
      <sz val="12"/>
      <name val="Arial"/>
      <family val="2"/>
    </font>
    <font>
      <b/>
      <sz val="16"/>
      <name val="Biome"/>
      <family val="2"/>
    </font>
    <font>
      <sz val="16"/>
      <color rgb="FFFF0000"/>
      <name val="Biome"/>
      <family val="2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0"/>
      <color theme="1"/>
      <name val="Arial Black"/>
      <family val="2"/>
    </font>
    <font>
      <b/>
      <sz val="20"/>
      <name val="Arial Black"/>
      <family val="2"/>
    </font>
    <font>
      <sz val="16"/>
      <name val="Biome"/>
    </font>
    <font>
      <b/>
      <sz val="8"/>
      <color theme="3" tint="0.499984740745262"/>
      <name val="Biome"/>
      <family val="2"/>
    </font>
    <font>
      <b/>
      <sz val="16"/>
      <color theme="3" tint="0.499984740745262"/>
      <name val="Biome"/>
      <family val="2"/>
    </font>
    <font>
      <sz val="8"/>
      <name val="Arial"/>
      <family val="2"/>
    </font>
    <font>
      <sz val="20"/>
      <name val="Arial Black"/>
      <family val="2"/>
    </font>
    <font>
      <sz val="9"/>
      <name val="Arial"/>
      <family val="2"/>
    </font>
    <font>
      <b/>
      <sz val="36"/>
      <name val="Arial Black"/>
      <family val="2"/>
    </font>
    <font>
      <b/>
      <sz val="12"/>
      <name val="Arial"/>
      <family val="2"/>
    </font>
    <font>
      <sz val="20"/>
      <name val="Aptos Black"/>
      <family val="2"/>
    </font>
    <font>
      <sz val="12"/>
      <color theme="1"/>
      <name val="Arial"/>
      <family val="2"/>
    </font>
    <font>
      <b/>
      <sz val="16"/>
      <name val="Arial"/>
      <family val="2"/>
    </font>
    <font>
      <sz val="12"/>
      <name val="Biome"/>
      <family val="2"/>
    </font>
    <font>
      <sz val="8"/>
      <name val="Biome"/>
      <family val="2"/>
    </font>
    <font>
      <sz val="16"/>
      <name val="Arial"/>
      <family val="2"/>
    </font>
    <font>
      <sz val="10"/>
      <name val="Arial"/>
      <family val="2"/>
    </font>
    <font>
      <sz val="24"/>
      <color theme="1"/>
      <name val="Aptos Narrow"/>
      <family val="2"/>
      <scheme val="minor"/>
    </font>
    <font>
      <b/>
      <sz val="24"/>
      <name val="Arial"/>
      <family val="2"/>
    </font>
    <font>
      <sz val="16"/>
      <color rgb="FF000000"/>
      <name val="Biome"/>
      <family val="2"/>
    </font>
    <font>
      <sz val="18"/>
      <color theme="1"/>
      <name val="Aptos Narrow"/>
      <family val="2"/>
      <scheme val="minor"/>
    </font>
    <font>
      <b/>
      <sz val="48"/>
      <name val="Arial Black"/>
      <family val="2"/>
    </font>
    <font>
      <b/>
      <sz val="10"/>
      <name val="Arial"/>
      <family val="2"/>
    </font>
    <font>
      <sz val="16"/>
      <color theme="0"/>
      <name val="Biome"/>
      <family val="2"/>
    </font>
    <font>
      <b/>
      <sz val="24"/>
      <color theme="1"/>
      <name val="Biome"/>
      <family val="2"/>
    </font>
    <font>
      <sz val="48"/>
      <name val="Biome"/>
      <family val="2"/>
    </font>
    <font>
      <sz val="26"/>
      <color theme="1"/>
      <name val="Aptos Narrow"/>
      <family val="2"/>
      <scheme val="minor"/>
    </font>
    <font>
      <b/>
      <sz val="20"/>
      <color theme="1"/>
      <name val="Arial Black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sz val="20"/>
      <name val="Biome"/>
      <family val="2"/>
    </font>
    <font>
      <b/>
      <sz val="18"/>
      <name val="Biome"/>
      <family val="2"/>
    </font>
    <font>
      <sz val="16"/>
      <color rgb="FFC00000"/>
      <name val="Biome"/>
      <family val="2"/>
    </font>
    <font>
      <sz val="14"/>
      <name val="Biome"/>
      <family val="2"/>
    </font>
    <font>
      <b/>
      <sz val="24"/>
      <name val="Biome"/>
      <family val="2"/>
    </font>
    <font>
      <sz val="12"/>
      <name val="Arial"/>
    </font>
    <font>
      <sz val="18"/>
      <color rgb="FF000000"/>
      <name val="Biome"/>
    </font>
    <font>
      <sz val="18"/>
      <name val="Biome"/>
      <family val="2"/>
    </font>
    <font>
      <b/>
      <i/>
      <sz val="11"/>
      <name val="Aptos Narrow"/>
      <family val="2"/>
      <scheme val="minor"/>
    </font>
    <font>
      <b/>
      <i/>
      <sz val="26"/>
      <name val="Arial Black"/>
      <family val="2"/>
    </font>
    <font>
      <b/>
      <i/>
      <sz val="11"/>
      <color theme="1"/>
      <name val="Aptos Narrow"/>
      <family val="2"/>
      <scheme val="minor"/>
    </font>
    <font>
      <b/>
      <i/>
      <sz val="18"/>
      <color theme="0"/>
      <name val="Arimo"/>
    </font>
    <font>
      <b/>
      <i/>
      <sz val="26"/>
      <color theme="0"/>
      <name val="Arimo"/>
    </font>
    <font>
      <b/>
      <i/>
      <sz val="18"/>
      <name val="Aptos Narrow"/>
      <family val="2"/>
      <scheme val="minor"/>
    </font>
    <font>
      <b/>
      <i/>
      <sz val="18"/>
      <name val="Arial Black"/>
      <family val="2"/>
    </font>
    <font>
      <b/>
      <i/>
      <sz val="18"/>
      <name val="Calibri"/>
      <family val="2"/>
    </font>
    <font>
      <b/>
      <i/>
      <sz val="18"/>
      <name val="Arial"/>
      <family val="2"/>
    </font>
    <font>
      <b/>
      <i/>
      <sz val="18"/>
      <color rgb="FFFF0000"/>
      <name val="Calibri"/>
      <family val="2"/>
    </font>
    <font>
      <b/>
      <i/>
      <sz val="12"/>
      <name val="Calibri"/>
      <family val="2"/>
    </font>
    <font>
      <b/>
      <i/>
      <sz val="20"/>
      <name val="Aptos Narrow"/>
      <family val="2"/>
      <scheme val="minor"/>
    </font>
    <font>
      <b/>
      <i/>
      <sz val="20"/>
      <name val="Calibri"/>
      <family val="2"/>
    </font>
    <font>
      <b/>
      <i/>
      <sz val="20"/>
      <name val="Arial Black"/>
      <family val="2"/>
    </font>
    <font>
      <b/>
      <i/>
      <sz val="20"/>
      <name val="Arial"/>
      <family val="2"/>
    </font>
    <font>
      <b/>
      <i/>
      <sz val="20"/>
      <color rgb="FFFF0000"/>
      <name val="Calibri"/>
      <family val="2"/>
    </font>
    <font>
      <b/>
      <sz val="18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i/>
      <sz val="20"/>
      <color theme="1"/>
      <name val="Arial Black"/>
      <family val="2"/>
    </font>
    <font>
      <b/>
      <i/>
      <sz val="2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i/>
      <sz val="48"/>
      <color theme="1"/>
      <name val="Arial Black"/>
      <family val="2"/>
    </font>
    <font>
      <b/>
      <i/>
      <sz val="28"/>
      <color theme="1"/>
      <name val="Aptos Narrow"/>
      <family val="2"/>
      <scheme val="minor"/>
    </font>
    <font>
      <b/>
      <i/>
      <sz val="18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b/>
      <i/>
      <sz val="20"/>
      <color theme="1"/>
      <name val="Calibri"/>
      <family val="2"/>
    </font>
    <font>
      <b/>
      <i/>
      <sz val="48"/>
      <color theme="1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sz val="14"/>
      <color theme="1"/>
      <name val="Arial"/>
      <family val="2"/>
    </font>
    <font>
      <b/>
      <sz val="10"/>
      <color theme="1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499984740745262"/>
        <bgColor rgb="FFFFCCCC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theme="0"/>
        <bgColor rgb="FFFFCCCC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E7E6E6"/>
      </patternFill>
    </fill>
    <fill>
      <patternFill patternType="solid">
        <fgColor theme="3" tint="0.749992370372631"/>
        <bgColor rgb="FFFFCCCC"/>
      </patternFill>
    </fill>
    <fill>
      <patternFill patternType="solid">
        <fgColor theme="8" tint="0.79998168889431442"/>
        <bgColor rgb="FFFFCCCC"/>
      </patternFill>
    </fill>
    <fill>
      <patternFill patternType="solid">
        <fgColor theme="3" tint="0.499984740745262"/>
        <bgColor rgb="FFFFFF00"/>
      </patternFill>
    </fill>
    <fill>
      <patternFill patternType="solid">
        <fgColor theme="3" tint="0.749992370372631"/>
        <bgColor rgb="FFE7E6E6"/>
      </patternFill>
    </fill>
    <fill>
      <patternFill patternType="solid">
        <fgColor theme="4" tint="0.39997558519241921"/>
        <bgColor rgb="FFC8C8C8"/>
      </patternFill>
    </fill>
    <fill>
      <patternFill patternType="solid">
        <fgColor theme="7" tint="0.59999389629810485"/>
        <bgColor rgb="FFE7E6E6"/>
      </patternFill>
    </fill>
    <fill>
      <patternFill patternType="solid">
        <fgColor theme="0"/>
        <bgColor rgb="FFC8C8C8"/>
      </patternFill>
    </fill>
    <fill>
      <patternFill patternType="solid">
        <fgColor theme="4" tint="0.39997558519241921"/>
        <bgColor rgb="FFFFFF00"/>
      </patternFill>
    </fill>
    <fill>
      <patternFill patternType="solid">
        <fgColor theme="0"/>
        <bgColor rgb="FFFBE4D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rgb="FFFFCC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FCCCC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rgb="FFE7E6E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1"/>
      </patternFill>
    </fill>
    <fill>
      <patternFill patternType="solid">
        <fgColor theme="5" tint="0.59999389629810485"/>
        <bgColor rgb="FFFFCCCC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5" tint="0.59999389629810485"/>
        <bgColor rgb="FFE7E6E6"/>
      </patternFill>
    </fill>
    <fill>
      <patternFill patternType="solid">
        <fgColor theme="0"/>
        <bgColor rgb="FF1BA1CB"/>
      </patternFill>
    </fill>
    <fill>
      <patternFill patternType="solid">
        <fgColor theme="8" tint="0.79998168889431442"/>
        <bgColor rgb="FF1BA1CB"/>
      </patternFill>
    </fill>
    <fill>
      <patternFill patternType="solid">
        <fgColor theme="0"/>
        <bgColor rgb="FFFFC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rgb="FF7030A0"/>
      </patternFill>
    </fill>
    <fill>
      <patternFill patternType="solid">
        <fgColor theme="0"/>
        <bgColor rgb="FF7030A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rgb="FFFFCCCC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rgb="FFBDD6EE"/>
      </patternFill>
    </fill>
    <fill>
      <patternFill patternType="solid">
        <fgColor rgb="FF66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rgb="FFFFCCCC"/>
      </patternFill>
    </fill>
    <fill>
      <patternFill patternType="solid">
        <fgColor theme="9" tint="0.79998168889431442"/>
        <bgColor rgb="FFE7E6E6"/>
      </patternFill>
    </fill>
    <fill>
      <patternFill patternType="solid">
        <fgColor rgb="FFFF0000"/>
        <bgColor rgb="FFE7E6E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rgb="FFE7E6E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E7E6E6"/>
      </patternFill>
    </fill>
    <fill>
      <patternFill patternType="solid">
        <fgColor rgb="FFFFCCCC"/>
        <bgColor indexed="64"/>
      </patternFill>
    </fill>
    <fill>
      <patternFill patternType="solid">
        <fgColor theme="8" tint="0.79998168889431442"/>
        <bgColor rgb="FFBDD6EE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rgb="FFBDD6E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rgb="FFE7E6E6"/>
      </patternFill>
    </fill>
    <fill>
      <patternFill patternType="solid">
        <fgColor rgb="FF00FFFF"/>
        <bgColor indexed="64"/>
      </patternFill>
    </fill>
    <fill>
      <patternFill patternType="solid">
        <fgColor rgb="FF92D050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/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5"/>
      </left>
      <right/>
      <top/>
      <bottom/>
      <diagonal/>
    </border>
    <border>
      <left style="thin">
        <color theme="5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35">
    <xf numFmtId="0" fontId="0" fillId="0" borderId="0" xfId="0"/>
    <xf numFmtId="0" fontId="2" fillId="2" borderId="0" xfId="0" applyFont="1" applyFill="1" applyAlignment="1">
      <alignment horizontal="center" vertical="center"/>
    </xf>
    <xf numFmtId="164" fontId="5" fillId="2" borderId="0" xfId="1" applyNumberFormat="1" applyFont="1" applyFill="1" applyAlignment="1">
      <alignment horizontal="center" vertical="center" wrapText="1"/>
    </xf>
    <xf numFmtId="164" fontId="6" fillId="2" borderId="0" xfId="1" applyNumberFormat="1" applyFont="1" applyFill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164" fontId="5" fillId="2" borderId="20" xfId="1" applyNumberFormat="1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4" fontId="5" fillId="2" borderId="21" xfId="1" applyNumberFormat="1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164" fontId="5" fillId="2" borderId="31" xfId="1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12" fillId="6" borderId="32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164" fontId="5" fillId="2" borderId="13" xfId="1" applyNumberFormat="1" applyFont="1" applyFill="1" applyBorder="1" applyAlignment="1">
      <alignment horizontal="center" vertical="center" wrapText="1"/>
    </xf>
    <xf numFmtId="164" fontId="5" fillId="0" borderId="13" xfId="1" applyNumberFormat="1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164" fontId="5" fillId="2" borderId="24" xfId="1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" fontId="10" fillId="0" borderId="2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1" fontId="10" fillId="0" borderId="13" xfId="0" applyNumberFormat="1" applyFont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1" fontId="10" fillId="0" borderId="18" xfId="1" applyNumberFormat="1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164" fontId="12" fillId="6" borderId="13" xfId="1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0" fontId="2" fillId="7" borderId="29" xfId="0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10" borderId="15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right" vertical="center"/>
    </xf>
    <xf numFmtId="0" fontId="10" fillId="11" borderId="14" xfId="0" applyFont="1" applyFill="1" applyBorder="1" applyAlignment="1">
      <alignment horizontal="center" vertical="center"/>
    </xf>
    <xf numFmtId="165" fontId="18" fillId="2" borderId="13" xfId="0" applyNumberFormat="1" applyFont="1" applyFill="1" applyBorder="1" applyAlignment="1">
      <alignment horizontal="center" vertical="center"/>
    </xf>
    <xf numFmtId="165" fontId="18" fillId="2" borderId="13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0" fillId="12" borderId="14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65" fontId="25" fillId="13" borderId="13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6" fillId="10" borderId="31" xfId="0" applyFont="1" applyFill="1" applyBorder="1" applyAlignment="1">
      <alignment horizontal="center" vertical="center"/>
    </xf>
    <xf numFmtId="0" fontId="20" fillId="12" borderId="13" xfId="0" applyFont="1" applyFill="1" applyBorder="1" applyAlignment="1">
      <alignment horizontal="center" vertical="center"/>
    </xf>
    <xf numFmtId="165" fontId="18" fillId="6" borderId="13" xfId="0" applyNumberFormat="1" applyFont="1" applyFill="1" applyBorder="1" applyAlignment="1">
      <alignment horizontal="center" vertical="center"/>
    </xf>
    <xf numFmtId="165" fontId="27" fillId="2" borderId="13" xfId="0" applyNumberFormat="1" applyFont="1" applyFill="1" applyBorder="1" applyAlignment="1">
      <alignment horizontal="center" vertical="center"/>
    </xf>
    <xf numFmtId="165" fontId="21" fillId="14" borderId="13" xfId="0" applyNumberFormat="1" applyFont="1" applyFill="1" applyBorder="1" applyAlignment="1">
      <alignment horizontal="center" vertical="center"/>
    </xf>
    <xf numFmtId="165" fontId="21" fillId="14" borderId="13" xfId="0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165" fontId="18" fillId="2" borderId="0" xfId="0" applyNumberFormat="1" applyFont="1" applyFill="1" applyAlignment="1">
      <alignment horizontal="center" vertical="center"/>
    </xf>
    <xf numFmtId="165" fontId="31" fillId="13" borderId="13" xfId="0" applyNumberFormat="1" applyFont="1" applyFill="1" applyBorder="1" applyAlignment="1">
      <alignment horizontal="right" vertical="center"/>
    </xf>
    <xf numFmtId="0" fontId="26" fillId="10" borderId="13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vertical="center"/>
    </xf>
    <xf numFmtId="0" fontId="21" fillId="2" borderId="13" xfId="0" applyFont="1" applyFill="1" applyBorder="1" applyAlignment="1">
      <alignment horizontal="right" vertical="center"/>
    </xf>
    <xf numFmtId="0" fontId="18" fillId="0" borderId="13" xfId="0" applyFont="1" applyBorder="1" applyAlignment="1">
      <alignment horizontal="center" vertical="center"/>
    </xf>
    <xf numFmtId="166" fontId="18" fillId="15" borderId="13" xfId="0" applyNumberFormat="1" applyFont="1" applyFill="1" applyBorder="1" applyAlignment="1">
      <alignment horizontal="right" vertical="center"/>
    </xf>
    <xf numFmtId="166" fontId="25" fillId="13" borderId="13" xfId="0" applyNumberFormat="1" applyFont="1" applyFill="1" applyBorder="1" applyAlignment="1">
      <alignment horizontal="right" vertical="center"/>
    </xf>
    <xf numFmtId="0" fontId="32" fillId="12" borderId="36" xfId="0" applyFont="1" applyFill="1" applyBorder="1" applyAlignment="1">
      <alignment horizontal="center" vertical="center" wrapText="1"/>
    </xf>
    <xf numFmtId="165" fontId="18" fillId="12" borderId="36" xfId="0" applyNumberFormat="1" applyFont="1" applyFill="1" applyBorder="1" applyAlignment="1">
      <alignment horizontal="center" vertical="center" wrapText="1"/>
    </xf>
    <xf numFmtId="166" fontId="31" fillId="16" borderId="13" xfId="0" applyNumberFormat="1" applyFont="1" applyFill="1" applyBorder="1" applyAlignment="1">
      <alignment horizontal="right" vertical="center" wrapText="1"/>
    </xf>
    <xf numFmtId="0" fontId="32" fillId="12" borderId="0" xfId="0" applyFont="1" applyFill="1" applyAlignment="1">
      <alignment horizontal="center" vertical="center" wrapText="1"/>
    </xf>
    <xf numFmtId="0" fontId="32" fillId="17" borderId="0" xfId="0" applyFont="1" applyFill="1" applyAlignment="1">
      <alignment horizontal="center" vertical="center" wrapText="1"/>
    </xf>
    <xf numFmtId="0" fontId="18" fillId="12" borderId="0" xfId="0" applyFont="1" applyFill="1" applyAlignment="1">
      <alignment horizontal="center" vertical="center" wrapText="1"/>
    </xf>
    <xf numFmtId="0" fontId="18" fillId="12" borderId="0" xfId="0" applyFont="1" applyFill="1" applyAlignment="1">
      <alignment horizontal="right" vertical="center" wrapText="1"/>
    </xf>
    <xf numFmtId="0" fontId="20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166" fontId="18" fillId="2" borderId="0" xfId="0" applyNumberFormat="1" applyFont="1" applyFill="1" applyAlignment="1">
      <alignment horizontal="center" vertical="center"/>
    </xf>
    <xf numFmtId="166" fontId="18" fillId="2" borderId="0" xfId="0" applyNumberFormat="1" applyFont="1" applyFill="1" applyAlignment="1">
      <alignment horizontal="right" vertical="center"/>
    </xf>
    <xf numFmtId="0" fontId="21" fillId="18" borderId="23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right" vertical="center"/>
    </xf>
    <xf numFmtId="0" fontId="18" fillId="13" borderId="16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12" borderId="13" xfId="0" applyFont="1" applyFill="1" applyBorder="1" applyAlignment="1">
      <alignment horizontal="center" vertical="center"/>
    </xf>
    <xf numFmtId="166" fontId="18" fillId="15" borderId="13" xfId="0" applyNumberFormat="1" applyFont="1" applyFill="1" applyBorder="1" applyAlignment="1">
      <alignment horizontal="center" vertical="center"/>
    </xf>
    <xf numFmtId="0" fontId="21" fillId="12" borderId="13" xfId="0" applyFont="1" applyFill="1" applyBorder="1" applyAlignment="1">
      <alignment horizontal="center" vertical="center"/>
    </xf>
    <xf numFmtId="166" fontId="31" fillId="19" borderId="37" xfId="0" applyNumberFormat="1" applyFont="1" applyFill="1" applyBorder="1" applyAlignment="1">
      <alignment horizontal="center" vertical="center"/>
    </xf>
    <xf numFmtId="166" fontId="31" fillId="15" borderId="0" xfId="0" applyNumberFormat="1" applyFont="1" applyFill="1" applyAlignment="1">
      <alignment horizontal="center" vertical="center"/>
    </xf>
    <xf numFmtId="0" fontId="33" fillId="2" borderId="16" xfId="0" applyFont="1" applyFill="1" applyBorder="1" applyAlignment="1">
      <alignment vertical="center"/>
    </xf>
    <xf numFmtId="0" fontId="33" fillId="2" borderId="38" xfId="0" applyFont="1" applyFill="1" applyBorder="1" applyAlignment="1">
      <alignment vertical="center"/>
    </xf>
    <xf numFmtId="0" fontId="26" fillId="20" borderId="14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vertical="center"/>
    </xf>
    <xf numFmtId="0" fontId="20" fillId="2" borderId="39" xfId="0" applyFont="1" applyFill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0" fillId="2" borderId="41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vertical="center"/>
    </xf>
    <xf numFmtId="0" fontId="20" fillId="11" borderId="41" xfId="0" applyFont="1" applyFill="1" applyBorder="1" applyAlignment="1">
      <alignment horizontal="center" vertical="center" wrapText="1"/>
    </xf>
    <xf numFmtId="165" fontId="18" fillId="15" borderId="42" xfId="0" applyNumberFormat="1" applyFont="1" applyFill="1" applyBorder="1" applyAlignment="1">
      <alignment horizontal="center" vertical="center"/>
    </xf>
    <xf numFmtId="165" fontId="18" fillId="15" borderId="13" xfId="0" applyNumberFormat="1" applyFont="1" applyFill="1" applyBorder="1" applyAlignment="1">
      <alignment horizontal="center" vertical="center"/>
    </xf>
    <xf numFmtId="0" fontId="34" fillId="12" borderId="41" xfId="0" applyFont="1" applyFill="1" applyBorder="1" applyAlignment="1">
      <alignment horizontal="center" vertical="center" wrapText="1"/>
    </xf>
    <xf numFmtId="165" fontId="18" fillId="2" borderId="42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0" fillId="12" borderId="43" xfId="0" applyFont="1" applyFill="1" applyBorder="1" applyAlignment="1">
      <alignment horizontal="center" vertical="center" wrapText="1"/>
    </xf>
    <xf numFmtId="165" fontId="18" fillId="2" borderId="24" xfId="0" applyNumberFormat="1" applyFont="1" applyFill="1" applyBorder="1" applyAlignment="1">
      <alignment horizontal="center" vertical="center"/>
    </xf>
    <xf numFmtId="165" fontId="18" fillId="2" borderId="44" xfId="0" applyNumberFormat="1" applyFont="1" applyFill="1" applyBorder="1" applyAlignment="1">
      <alignment horizontal="center" vertical="center"/>
    </xf>
    <xf numFmtId="165" fontId="18" fillId="15" borderId="24" xfId="0" applyNumberFormat="1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right" vertical="center"/>
    </xf>
    <xf numFmtId="0" fontId="31" fillId="20" borderId="14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right" vertical="center"/>
    </xf>
    <xf numFmtId="0" fontId="20" fillId="12" borderId="0" xfId="0" applyFont="1" applyFill="1" applyAlignment="1">
      <alignment horizontal="center" vertical="center"/>
    </xf>
    <xf numFmtId="165" fontId="18" fillId="15" borderId="0" xfId="0" applyNumberFormat="1" applyFont="1" applyFill="1" applyAlignment="1">
      <alignment horizontal="center" vertical="center"/>
    </xf>
    <xf numFmtId="165" fontId="18" fillId="15" borderId="0" xfId="0" quotePrefix="1" applyNumberFormat="1" applyFont="1" applyFill="1" applyAlignment="1">
      <alignment horizontal="center" vertical="center"/>
    </xf>
    <xf numFmtId="165" fontId="35" fillId="21" borderId="15" xfId="0" applyNumberFormat="1" applyFont="1" applyFill="1" applyBorder="1" applyAlignment="1">
      <alignment horizontal="right" vertical="center"/>
    </xf>
    <xf numFmtId="165" fontId="18" fillId="15" borderId="0" xfId="0" applyNumberFormat="1" applyFont="1" applyFill="1" applyAlignment="1">
      <alignment horizontal="right" vertical="center"/>
    </xf>
    <xf numFmtId="0" fontId="26" fillId="20" borderId="45" xfId="0" applyFont="1" applyFill="1" applyBorder="1" applyAlignment="1">
      <alignment horizontal="center" vertical="center"/>
    </xf>
    <xf numFmtId="0" fontId="26" fillId="20" borderId="20" xfId="0" applyFont="1" applyFill="1" applyBorder="1" applyAlignment="1">
      <alignment horizontal="center" vertical="center"/>
    </xf>
    <xf numFmtId="0" fontId="21" fillId="22" borderId="0" xfId="0" applyFont="1" applyFill="1" applyAlignment="1">
      <alignment horizontal="right" vertical="center"/>
    </xf>
    <xf numFmtId="0" fontId="21" fillId="2" borderId="45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right" vertical="center"/>
    </xf>
    <xf numFmtId="165" fontId="27" fillId="15" borderId="13" xfId="0" applyNumberFormat="1" applyFont="1" applyFill="1" applyBorder="1" applyAlignment="1">
      <alignment horizontal="center" vertical="center"/>
    </xf>
    <xf numFmtId="165" fontId="18" fillId="21" borderId="13" xfId="0" applyNumberFormat="1" applyFont="1" applyFill="1" applyBorder="1" applyAlignment="1">
      <alignment horizontal="right" vertical="center"/>
    </xf>
    <xf numFmtId="0" fontId="26" fillId="23" borderId="14" xfId="0" applyFont="1" applyFill="1" applyBorder="1" applyAlignment="1">
      <alignment horizontal="center" vertical="center"/>
    </xf>
    <xf numFmtId="0" fontId="26" fillId="23" borderId="45" xfId="0" applyFont="1" applyFill="1" applyBorder="1" applyAlignment="1">
      <alignment horizontal="center" vertical="center"/>
    </xf>
    <xf numFmtId="0" fontId="26" fillId="23" borderId="2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36" fillId="0" borderId="0" xfId="0" applyFont="1"/>
    <xf numFmtId="0" fontId="0" fillId="0" borderId="0" xfId="0" applyAlignment="1">
      <alignment horizontal="right"/>
    </xf>
    <xf numFmtId="165" fontId="18" fillId="4" borderId="13" xfId="0" applyNumberFormat="1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0" fontId="20" fillId="24" borderId="13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46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21" fillId="2" borderId="16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8" fillId="2" borderId="31" xfId="0" applyFont="1" applyFill="1" applyBorder="1" applyAlignment="1">
      <alignment horizontal="center" vertical="center"/>
    </xf>
    <xf numFmtId="0" fontId="18" fillId="12" borderId="14" xfId="0" applyFont="1" applyFill="1" applyBorder="1" applyAlignment="1">
      <alignment horizontal="center" vertical="center"/>
    </xf>
    <xf numFmtId="0" fontId="18" fillId="12" borderId="45" xfId="0" applyFont="1" applyFill="1" applyBorder="1" applyAlignment="1">
      <alignment horizontal="center" vertical="center"/>
    </xf>
    <xf numFmtId="0" fontId="18" fillId="12" borderId="20" xfId="0" applyFont="1" applyFill="1" applyBorder="1" applyAlignment="1">
      <alignment horizontal="center" vertical="center"/>
    </xf>
    <xf numFmtId="165" fontId="18" fillId="2" borderId="14" xfId="0" applyNumberFormat="1" applyFont="1" applyFill="1" applyBorder="1" applyAlignment="1">
      <alignment horizontal="center" vertical="center"/>
    </xf>
    <xf numFmtId="165" fontId="18" fillId="2" borderId="2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165" fontId="18" fillId="25" borderId="14" xfId="0" applyNumberFormat="1" applyFont="1" applyFill="1" applyBorder="1" applyAlignment="1">
      <alignment horizontal="center" vertical="center"/>
    </xf>
    <xf numFmtId="165" fontId="18" fillId="25" borderId="20" xfId="0" applyNumberFormat="1" applyFont="1" applyFill="1" applyBorder="1" applyAlignment="1">
      <alignment horizontal="center" vertical="center"/>
    </xf>
    <xf numFmtId="0" fontId="26" fillId="26" borderId="14" xfId="0" applyFont="1" applyFill="1" applyBorder="1" applyAlignment="1">
      <alignment horizontal="center" vertical="center"/>
    </xf>
    <xf numFmtId="0" fontId="26" fillId="26" borderId="45" xfId="0" applyFont="1" applyFill="1" applyBorder="1" applyAlignment="1">
      <alignment horizontal="center" vertical="center"/>
    </xf>
    <xf numFmtId="0" fontId="26" fillId="26" borderId="2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2" borderId="0" xfId="0" applyFont="1" applyFill="1" applyAlignment="1">
      <alignment horizontal="center" vertical="center" wrapText="1"/>
    </xf>
    <xf numFmtId="165" fontId="18" fillId="27" borderId="13" xfId="0" applyNumberFormat="1" applyFont="1" applyFill="1" applyBorder="1" applyAlignment="1">
      <alignment horizontal="center" vertical="center"/>
    </xf>
    <xf numFmtId="0" fontId="26" fillId="26" borderId="16" xfId="0" applyFont="1" applyFill="1" applyBorder="1" applyAlignment="1">
      <alignment horizontal="center" vertical="center"/>
    </xf>
    <xf numFmtId="0" fontId="26" fillId="26" borderId="38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0" fontId="40" fillId="2" borderId="13" xfId="0" applyFont="1" applyFill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15" fillId="2" borderId="38" xfId="0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3" fillId="28" borderId="36" xfId="0" applyFont="1" applyFill="1" applyBorder="1" applyAlignment="1">
      <alignment horizontal="center" vertical="center"/>
    </xf>
    <xf numFmtId="0" fontId="43" fillId="28" borderId="46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1" fillId="2" borderId="47" xfId="0" applyFont="1" applyFill="1" applyBorder="1" applyAlignment="1">
      <alignment horizontal="center" vertical="center"/>
    </xf>
    <xf numFmtId="0" fontId="21" fillId="2" borderId="48" xfId="0" applyFont="1" applyFill="1" applyBorder="1" applyAlignment="1">
      <alignment horizontal="center" vertical="center"/>
    </xf>
    <xf numFmtId="0" fontId="21" fillId="2" borderId="49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right" vertical="center"/>
    </xf>
    <xf numFmtId="0" fontId="21" fillId="2" borderId="14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42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165" fontId="18" fillId="2" borderId="14" xfId="0" applyNumberFormat="1" applyFont="1" applyFill="1" applyBorder="1" applyAlignment="1">
      <alignment horizontal="center" vertical="center"/>
    </xf>
    <xf numFmtId="165" fontId="18" fillId="2" borderId="41" xfId="0" applyNumberFormat="1" applyFont="1" applyFill="1" applyBorder="1" applyAlignment="1">
      <alignment horizontal="center" vertical="center"/>
    </xf>
    <xf numFmtId="165" fontId="18" fillId="2" borderId="20" xfId="0" applyNumberFormat="1" applyFont="1" applyFill="1" applyBorder="1" applyAlignment="1">
      <alignment horizontal="right" vertical="center"/>
    </xf>
    <xf numFmtId="165" fontId="44" fillId="2" borderId="1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165" fontId="18" fillId="0" borderId="0" xfId="0" applyNumberFormat="1" applyFont="1" applyAlignment="1">
      <alignment horizontal="center" vertical="center"/>
    </xf>
    <xf numFmtId="165" fontId="18" fillId="6" borderId="42" xfId="0" applyNumberFormat="1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horizontal="center" vertical="center"/>
    </xf>
    <xf numFmtId="165" fontId="18" fillId="2" borderId="51" xfId="0" applyNumberFormat="1" applyFont="1" applyFill="1" applyBorder="1" applyAlignment="1">
      <alignment horizontal="center" vertical="center"/>
    </xf>
    <xf numFmtId="165" fontId="18" fillId="2" borderId="52" xfId="0" applyNumberFormat="1" applyFont="1" applyFill="1" applyBorder="1" applyAlignment="1">
      <alignment horizontal="center" vertical="center"/>
    </xf>
    <xf numFmtId="165" fontId="18" fillId="2" borderId="50" xfId="0" applyNumberFormat="1" applyFont="1" applyFill="1" applyBorder="1" applyAlignment="1">
      <alignment horizontal="center" vertical="center"/>
    </xf>
    <xf numFmtId="165" fontId="18" fillId="2" borderId="53" xfId="0" applyNumberFormat="1" applyFont="1" applyFill="1" applyBorder="1" applyAlignment="1">
      <alignment horizontal="center" vertical="center"/>
    </xf>
    <xf numFmtId="165" fontId="18" fillId="2" borderId="51" xfId="0" applyNumberFormat="1" applyFont="1" applyFill="1" applyBorder="1" applyAlignment="1">
      <alignment horizontal="center" vertical="center" wrapText="1"/>
    </xf>
    <xf numFmtId="165" fontId="25" fillId="28" borderId="13" xfId="0" applyNumberFormat="1" applyFont="1" applyFill="1" applyBorder="1" applyAlignment="1">
      <alignment horizontal="right"/>
    </xf>
    <xf numFmtId="165" fontId="45" fillId="0" borderId="0" xfId="0" applyNumberFormat="1" applyFont="1"/>
    <xf numFmtId="165" fontId="0" fillId="0" borderId="0" xfId="0" applyNumberFormat="1"/>
    <xf numFmtId="0" fontId="26" fillId="29" borderId="45" xfId="0" applyFont="1" applyFill="1" applyBorder="1" applyAlignment="1">
      <alignment horizontal="center" vertical="center"/>
    </xf>
    <xf numFmtId="0" fontId="26" fillId="29" borderId="20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30" borderId="20" xfId="0" applyFont="1" applyFill="1" applyBorder="1" applyAlignment="1">
      <alignment horizontal="center" vertical="center"/>
    </xf>
    <xf numFmtId="0" fontId="20" fillId="31" borderId="20" xfId="0" applyFont="1" applyFill="1" applyBorder="1" applyAlignment="1">
      <alignment horizontal="center" vertical="center"/>
    </xf>
    <xf numFmtId="0" fontId="20" fillId="31" borderId="13" xfId="0" applyFont="1" applyFill="1" applyBorder="1" applyAlignment="1">
      <alignment horizontal="center" vertical="center"/>
    </xf>
    <xf numFmtId="0" fontId="20" fillId="32" borderId="0" xfId="0" applyFont="1" applyFill="1" applyAlignment="1">
      <alignment horizontal="center" vertical="center"/>
    </xf>
    <xf numFmtId="0" fontId="18" fillId="32" borderId="0" xfId="0" applyFont="1" applyFill="1" applyAlignment="1">
      <alignment horizontal="center" vertical="center"/>
    </xf>
    <xf numFmtId="165" fontId="31" fillId="14" borderId="13" xfId="0" applyNumberFormat="1" applyFont="1" applyFill="1" applyBorder="1" applyAlignment="1">
      <alignment horizontal="center" vertical="center"/>
    </xf>
    <xf numFmtId="0" fontId="20" fillId="33" borderId="13" xfId="0" applyFont="1" applyFill="1" applyBorder="1" applyAlignment="1">
      <alignment horizontal="center" vertical="center"/>
    </xf>
    <xf numFmtId="0" fontId="20" fillId="30" borderId="13" xfId="0" applyFont="1" applyFill="1" applyBorder="1" applyAlignment="1">
      <alignment horizontal="center" vertical="center" wrapText="1"/>
    </xf>
    <xf numFmtId="0" fontId="40" fillId="30" borderId="13" xfId="0" applyFont="1" applyFill="1" applyBorder="1" applyAlignment="1">
      <alignment horizontal="center" vertical="center"/>
    </xf>
    <xf numFmtId="16" fontId="18" fillId="2" borderId="13" xfId="0" applyNumberFormat="1" applyFont="1" applyFill="1" applyBorder="1" applyAlignment="1">
      <alignment horizontal="center" vertical="center"/>
    </xf>
    <xf numFmtId="165" fontId="31" fillId="14" borderId="0" xfId="0" applyNumberFormat="1" applyFont="1" applyFill="1" applyAlignment="1">
      <alignment horizontal="center" vertical="center"/>
    </xf>
    <xf numFmtId="0" fontId="26" fillId="29" borderId="16" xfId="0" applyFont="1" applyFill="1" applyBorder="1" applyAlignment="1">
      <alignment horizontal="center" vertical="center"/>
    </xf>
    <xf numFmtId="0" fontId="26" fillId="29" borderId="38" xfId="0" applyFont="1" applyFill="1" applyBorder="1" applyAlignment="1">
      <alignment horizontal="center" vertical="center"/>
    </xf>
    <xf numFmtId="165" fontId="31" fillId="30" borderId="13" xfId="0" applyNumberFormat="1" applyFont="1" applyFill="1" applyBorder="1" applyAlignment="1">
      <alignment horizontal="center" vertical="center"/>
    </xf>
    <xf numFmtId="0" fontId="31" fillId="29" borderId="38" xfId="0" applyFont="1" applyFill="1" applyBorder="1" applyAlignment="1">
      <alignment horizontal="center" vertical="center"/>
    </xf>
    <xf numFmtId="165" fontId="18" fillId="0" borderId="13" xfId="0" applyNumberFormat="1" applyFont="1" applyBorder="1" applyAlignment="1">
      <alignment horizontal="center" vertical="center"/>
    </xf>
    <xf numFmtId="0" fontId="39" fillId="30" borderId="13" xfId="0" applyFont="1" applyFill="1" applyBorder="1" applyAlignment="1">
      <alignment horizontal="center" vertical="center" wrapText="1"/>
    </xf>
    <xf numFmtId="0" fontId="20" fillId="30" borderId="20" xfId="0" applyFont="1" applyFill="1" applyBorder="1" applyAlignment="1">
      <alignment horizontal="center" vertical="center" wrapText="1"/>
    </xf>
    <xf numFmtId="165" fontId="25" fillId="30" borderId="13" xfId="0" applyNumberFormat="1" applyFont="1" applyFill="1" applyBorder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5" fillId="34" borderId="14" xfId="0" applyFont="1" applyFill="1" applyBorder="1" applyAlignment="1">
      <alignment horizontal="center"/>
    </xf>
    <xf numFmtId="0" fontId="25" fillId="34" borderId="45" xfId="0" applyFont="1" applyFill="1" applyBorder="1" applyAlignment="1">
      <alignment horizontal="center"/>
    </xf>
    <xf numFmtId="0" fontId="25" fillId="34" borderId="20" xfId="0" applyFont="1" applyFill="1" applyBorder="1" applyAlignment="1">
      <alignment horizontal="center"/>
    </xf>
    <xf numFmtId="0" fontId="37" fillId="2" borderId="14" xfId="0" applyFont="1" applyFill="1" applyBorder="1" applyAlignment="1">
      <alignment horizontal="center" vertical="center"/>
    </xf>
    <xf numFmtId="0" fontId="37" fillId="2" borderId="45" xfId="0" applyFont="1" applyFill="1" applyBorder="1" applyAlignment="1">
      <alignment horizontal="center" vertical="center"/>
    </xf>
    <xf numFmtId="0" fontId="37" fillId="2" borderId="20" xfId="0" applyFont="1" applyFill="1" applyBorder="1" applyAlignment="1">
      <alignment horizontal="center" vertical="center"/>
    </xf>
    <xf numFmtId="0" fontId="37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7" fillId="12" borderId="13" xfId="0" applyFont="1" applyFill="1" applyBorder="1" applyAlignment="1">
      <alignment horizontal="center" vertical="center" wrapText="1"/>
    </xf>
    <xf numFmtId="165" fontId="18" fillId="34" borderId="13" xfId="0" applyNumberFormat="1" applyFont="1" applyFill="1" applyBorder="1" applyAlignment="1">
      <alignment horizontal="center" vertical="center"/>
    </xf>
    <xf numFmtId="0" fontId="26" fillId="35" borderId="14" xfId="0" applyFont="1" applyFill="1" applyBorder="1" applyAlignment="1">
      <alignment horizontal="center" vertical="center"/>
    </xf>
    <xf numFmtId="0" fontId="26" fillId="35" borderId="45" xfId="0" applyFont="1" applyFill="1" applyBorder="1" applyAlignment="1">
      <alignment horizontal="center" vertical="center"/>
    </xf>
    <xf numFmtId="0" fontId="26" fillId="35" borderId="20" xfId="0" applyFont="1" applyFill="1" applyBorder="1" applyAlignment="1">
      <alignment horizontal="center" vertical="center"/>
    </xf>
    <xf numFmtId="0" fontId="34" fillId="30" borderId="13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horizontal="center" vertical="center"/>
    </xf>
    <xf numFmtId="0" fontId="20" fillId="12" borderId="46" xfId="0" applyFont="1" applyFill="1" applyBorder="1" applyAlignment="1">
      <alignment horizontal="center" vertical="center"/>
    </xf>
    <xf numFmtId="0" fontId="20" fillId="12" borderId="24" xfId="0" applyFont="1" applyFill="1" applyBorder="1" applyAlignment="1">
      <alignment horizontal="center" vertical="center"/>
    </xf>
    <xf numFmtId="0" fontId="34" fillId="12" borderId="0" xfId="0" applyFont="1" applyFill="1" applyAlignment="1">
      <alignment horizontal="center" vertical="center"/>
    </xf>
    <xf numFmtId="0" fontId="18" fillId="12" borderId="0" xfId="0" applyFont="1" applyFill="1" applyAlignment="1">
      <alignment horizontal="center" vertical="center"/>
    </xf>
    <xf numFmtId="0" fontId="18" fillId="36" borderId="13" xfId="0" applyFont="1" applyFill="1" applyBorder="1" applyAlignment="1">
      <alignment horizontal="center" vertical="center"/>
    </xf>
    <xf numFmtId="0" fontId="21" fillId="37" borderId="16" xfId="0" applyFont="1" applyFill="1" applyBorder="1" applyAlignment="1">
      <alignment horizontal="center" vertical="center"/>
    </xf>
    <xf numFmtId="0" fontId="21" fillId="37" borderId="38" xfId="0" applyFont="1" applyFill="1" applyBorder="1" applyAlignment="1">
      <alignment horizontal="center" vertical="center"/>
    </xf>
    <xf numFmtId="0" fontId="21" fillId="37" borderId="31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45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18" fillId="31" borderId="14" xfId="0" applyFont="1" applyFill="1" applyBorder="1" applyAlignment="1">
      <alignment horizontal="center" vertical="center"/>
    </xf>
    <xf numFmtId="0" fontId="18" fillId="31" borderId="45" xfId="0" applyFont="1" applyFill="1" applyBorder="1" applyAlignment="1">
      <alignment horizontal="center" vertical="center"/>
    </xf>
    <xf numFmtId="0" fontId="18" fillId="31" borderId="20" xfId="0" applyFont="1" applyFill="1" applyBorder="1" applyAlignment="1">
      <alignment horizontal="center" vertical="center"/>
    </xf>
    <xf numFmtId="166" fontId="18" fillId="15" borderId="13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left" vertical="center"/>
    </xf>
    <xf numFmtId="166" fontId="18" fillId="38" borderId="13" xfId="0" applyNumberFormat="1" applyFont="1" applyFill="1" applyBorder="1" applyAlignment="1">
      <alignment horizontal="center" vertical="center"/>
    </xf>
    <xf numFmtId="166" fontId="48" fillId="15" borderId="0" xfId="0" applyNumberFormat="1" applyFont="1" applyFill="1" applyAlignment="1">
      <alignment horizontal="center" vertical="center"/>
    </xf>
    <xf numFmtId="0" fontId="21" fillId="35" borderId="45" xfId="0" applyFont="1" applyFill="1" applyBorder="1" applyAlignment="1">
      <alignment horizontal="center" vertical="center"/>
    </xf>
    <xf numFmtId="0" fontId="21" fillId="35" borderId="20" xfId="0" applyFont="1" applyFill="1" applyBorder="1" applyAlignment="1">
      <alignment horizontal="center" vertical="center"/>
    </xf>
    <xf numFmtId="0" fontId="21" fillId="36" borderId="14" xfId="0" applyFont="1" applyFill="1" applyBorder="1" applyAlignment="1">
      <alignment horizontal="center" vertical="center"/>
    </xf>
    <xf numFmtId="0" fontId="21" fillId="36" borderId="45" xfId="0" applyFont="1" applyFill="1" applyBorder="1" applyAlignment="1">
      <alignment horizontal="center" vertical="center"/>
    </xf>
    <xf numFmtId="0" fontId="21" fillId="36" borderId="20" xfId="0" applyFont="1" applyFill="1" applyBorder="1" applyAlignment="1">
      <alignment horizontal="center" vertical="center"/>
    </xf>
    <xf numFmtId="0" fontId="18" fillId="31" borderId="14" xfId="0" applyFont="1" applyFill="1" applyBorder="1" applyAlignment="1">
      <alignment horizontal="center" vertical="center" wrapText="1"/>
    </xf>
    <xf numFmtId="0" fontId="18" fillId="31" borderId="20" xfId="0" applyFont="1" applyFill="1" applyBorder="1" applyAlignment="1">
      <alignment horizontal="center" vertical="center" wrapText="1"/>
    </xf>
    <xf numFmtId="0" fontId="18" fillId="12" borderId="14" xfId="0" applyFont="1" applyFill="1" applyBorder="1" applyAlignment="1">
      <alignment horizontal="center" vertical="center" wrapText="1"/>
    </xf>
    <xf numFmtId="0" fontId="18" fillId="12" borderId="20" xfId="0" applyFont="1" applyFill="1" applyBorder="1" applyAlignment="1">
      <alignment horizontal="center" vertical="center" wrapText="1"/>
    </xf>
    <xf numFmtId="0" fontId="18" fillId="12" borderId="36" xfId="0" applyFont="1" applyFill="1" applyBorder="1" applyAlignment="1">
      <alignment horizontal="center" vertical="center" wrapText="1"/>
    </xf>
    <xf numFmtId="166" fontId="18" fillId="34" borderId="13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34" borderId="25" xfId="0" applyFont="1" applyFill="1" applyBorder="1" applyAlignment="1">
      <alignment horizontal="center" vertical="center"/>
    </xf>
    <xf numFmtId="0" fontId="21" fillId="34" borderId="36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21" fillId="34" borderId="16" xfId="0" applyFont="1" applyFill="1" applyBorder="1" applyAlignment="1">
      <alignment horizontal="center" vertical="center"/>
    </xf>
    <xf numFmtId="0" fontId="21" fillId="34" borderId="38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/>
    </xf>
    <xf numFmtId="0" fontId="18" fillId="34" borderId="25" xfId="0" applyFont="1" applyFill="1" applyBorder="1" applyAlignment="1">
      <alignment horizontal="center" vertical="center"/>
    </xf>
    <xf numFmtId="0" fontId="18" fillId="34" borderId="46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/>
    </xf>
    <xf numFmtId="0" fontId="18" fillId="34" borderId="16" xfId="0" applyFont="1" applyFill="1" applyBorder="1" applyAlignment="1">
      <alignment horizontal="center" vertical="center"/>
    </xf>
    <xf numFmtId="0" fontId="18" fillId="34" borderId="31" xfId="0" applyFont="1" applyFill="1" applyBorder="1" applyAlignment="1">
      <alignment horizontal="center" vertical="center"/>
    </xf>
    <xf numFmtId="166" fontId="18" fillId="15" borderId="0" xfId="0" applyNumberFormat="1" applyFont="1" applyFill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0" fontId="46" fillId="2" borderId="3" xfId="0" applyFont="1" applyFill="1" applyBorder="1" applyAlignment="1">
      <alignment horizontal="center" vertical="center"/>
    </xf>
    <xf numFmtId="0" fontId="46" fillId="2" borderId="5" xfId="0" applyFont="1" applyFill="1" applyBorder="1" applyAlignment="1">
      <alignment horizontal="center" vertical="center"/>
    </xf>
    <xf numFmtId="0" fontId="46" fillId="2" borderId="6" xfId="0" applyFont="1" applyFill="1" applyBorder="1" applyAlignment="1">
      <alignment horizontal="center" vertical="center"/>
    </xf>
    <xf numFmtId="0" fontId="20" fillId="39" borderId="0" xfId="0" applyFont="1" applyFill="1" applyAlignment="1">
      <alignment vertical="center"/>
    </xf>
    <xf numFmtId="0" fontId="21" fillId="39" borderId="0" xfId="0" applyFont="1" applyFill="1" applyAlignment="1">
      <alignment vertical="center"/>
    </xf>
    <xf numFmtId="0" fontId="49" fillId="40" borderId="14" xfId="0" applyFont="1" applyFill="1" applyBorder="1" applyAlignment="1">
      <alignment horizontal="center" vertical="center"/>
    </xf>
    <xf numFmtId="0" fontId="49" fillId="40" borderId="45" xfId="0" applyFont="1" applyFill="1" applyBorder="1" applyAlignment="1">
      <alignment horizontal="center" vertical="center"/>
    </xf>
    <xf numFmtId="0" fontId="49" fillId="40" borderId="20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41" borderId="0" xfId="0" applyFont="1" applyFill="1" applyAlignment="1">
      <alignment horizontal="center" vertical="center"/>
    </xf>
    <xf numFmtId="0" fontId="18" fillId="41" borderId="14" xfId="0" applyFont="1" applyFill="1" applyBorder="1" applyAlignment="1">
      <alignment horizontal="center" vertical="center"/>
    </xf>
    <xf numFmtId="0" fontId="18" fillId="41" borderId="45" xfId="0" applyFont="1" applyFill="1" applyBorder="1" applyAlignment="1">
      <alignment horizontal="center" vertical="center"/>
    </xf>
    <xf numFmtId="0" fontId="18" fillId="41" borderId="20" xfId="0" applyFont="1" applyFill="1" applyBorder="1" applyAlignment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165" fontId="50" fillId="2" borderId="0" xfId="0" applyNumberFormat="1" applyFont="1" applyFill="1" applyAlignment="1">
      <alignment horizontal="center" vertical="center"/>
    </xf>
    <xf numFmtId="165" fontId="18" fillId="2" borderId="54" xfId="0" applyNumberFormat="1" applyFont="1" applyFill="1" applyBorder="1" applyAlignment="1">
      <alignment horizontal="center" vertical="center"/>
    </xf>
    <xf numFmtId="165" fontId="18" fillId="2" borderId="55" xfId="0" applyNumberFormat="1" applyFont="1" applyFill="1" applyBorder="1" applyAlignment="1">
      <alignment horizontal="center" vertical="center"/>
    </xf>
    <xf numFmtId="165" fontId="18" fillId="42" borderId="56" xfId="0" applyNumberFormat="1" applyFont="1" applyFill="1" applyBorder="1" applyAlignment="1">
      <alignment horizontal="center" vertical="center"/>
    </xf>
    <xf numFmtId="165" fontId="18" fillId="42" borderId="57" xfId="0" applyNumberFormat="1" applyFont="1" applyFill="1" applyBorder="1" applyAlignment="1">
      <alignment horizontal="center" vertical="center"/>
    </xf>
    <xf numFmtId="0" fontId="26" fillId="43" borderId="14" xfId="0" applyFont="1" applyFill="1" applyBorder="1" applyAlignment="1">
      <alignment horizontal="center" vertical="center"/>
    </xf>
    <xf numFmtId="0" fontId="26" fillId="43" borderId="45" xfId="0" applyFont="1" applyFill="1" applyBorder="1" applyAlignment="1">
      <alignment horizontal="center" vertical="center"/>
    </xf>
    <xf numFmtId="0" fontId="26" fillId="43" borderId="20" xfId="0" applyFont="1" applyFill="1" applyBorder="1" applyAlignment="1">
      <alignment horizontal="center" vertical="center"/>
    </xf>
    <xf numFmtId="0" fontId="21" fillId="44" borderId="0" xfId="0" applyFont="1" applyFill="1" applyAlignment="1">
      <alignment vertical="center"/>
    </xf>
    <xf numFmtId="0" fontId="21" fillId="44" borderId="0" xfId="0" applyFont="1" applyFill="1" applyAlignment="1">
      <alignment horizontal="center" vertical="center"/>
    </xf>
    <xf numFmtId="0" fontId="20" fillId="2" borderId="58" xfId="0" applyFont="1" applyFill="1" applyBorder="1" applyAlignment="1">
      <alignment horizontal="center" vertical="center"/>
    </xf>
    <xf numFmtId="0" fontId="20" fillId="41" borderId="20" xfId="0" applyFont="1" applyFill="1" applyBorder="1" applyAlignment="1">
      <alignment horizontal="center" vertical="center"/>
    </xf>
    <xf numFmtId="165" fontId="18" fillId="2" borderId="13" xfId="0" applyNumberFormat="1" applyFont="1" applyFill="1" applyBorder="1" applyAlignment="1">
      <alignment vertical="center"/>
    </xf>
    <xf numFmtId="0" fontId="18" fillId="2" borderId="36" xfId="0" applyFont="1" applyFill="1" applyBorder="1" applyAlignment="1">
      <alignment horizontal="center" vertical="center"/>
    </xf>
    <xf numFmtId="165" fontId="18" fillId="2" borderId="24" xfId="0" applyNumberFormat="1" applyFont="1" applyFill="1" applyBorder="1" applyAlignment="1">
      <alignment vertical="center"/>
    </xf>
    <xf numFmtId="165" fontId="21" fillId="42" borderId="56" xfId="0" applyNumberFormat="1" applyFont="1" applyFill="1" applyBorder="1" applyAlignment="1">
      <alignment horizontal="right" vertical="center"/>
    </xf>
    <xf numFmtId="165" fontId="21" fillId="42" borderId="57" xfId="0" applyNumberFormat="1" applyFont="1" applyFill="1" applyBorder="1" applyAlignment="1">
      <alignment horizontal="right" vertical="center"/>
    </xf>
    <xf numFmtId="0" fontId="21" fillId="43" borderId="16" xfId="0" applyFont="1" applyFill="1" applyBorder="1" applyAlignment="1">
      <alignment horizontal="center" vertical="center"/>
    </xf>
    <xf numFmtId="0" fontId="21" fillId="43" borderId="38" xfId="0" applyFont="1" applyFill="1" applyBorder="1" applyAlignment="1">
      <alignment horizontal="center" vertical="center"/>
    </xf>
    <xf numFmtId="0" fontId="21" fillId="42" borderId="14" xfId="0" applyFont="1" applyFill="1" applyBorder="1" applyAlignment="1">
      <alignment horizontal="center" vertical="center"/>
    </xf>
    <xf numFmtId="0" fontId="21" fillId="42" borderId="45" xfId="0" applyFont="1" applyFill="1" applyBorder="1" applyAlignment="1">
      <alignment horizontal="center" vertical="center"/>
    </xf>
    <xf numFmtId="0" fontId="21" fillId="42" borderId="20" xfId="0" applyFont="1" applyFill="1" applyBorder="1" applyAlignment="1">
      <alignment horizontal="center" vertical="center"/>
    </xf>
    <xf numFmtId="165" fontId="18" fillId="15" borderId="14" xfId="0" applyNumberFormat="1" applyFont="1" applyFill="1" applyBorder="1" applyAlignment="1">
      <alignment horizontal="center" vertical="center"/>
    </xf>
    <xf numFmtId="165" fontId="18" fillId="15" borderId="45" xfId="0" applyNumberFormat="1" applyFont="1" applyFill="1" applyBorder="1" applyAlignment="1">
      <alignment horizontal="center" vertical="center"/>
    </xf>
    <xf numFmtId="165" fontId="18" fillId="15" borderId="20" xfId="0" applyNumberFormat="1" applyFont="1" applyFill="1" applyBorder="1" applyAlignment="1">
      <alignment horizontal="center" vertical="center"/>
    </xf>
    <xf numFmtId="166" fontId="18" fillId="15" borderId="14" xfId="0" applyNumberFormat="1" applyFont="1" applyFill="1" applyBorder="1" applyAlignment="1">
      <alignment horizontal="center" vertical="center"/>
    </xf>
    <xf numFmtId="166" fontId="18" fillId="15" borderId="20" xfId="0" applyNumberFormat="1" applyFont="1" applyFill="1" applyBorder="1" applyAlignment="1">
      <alignment horizontal="center" vertical="center"/>
    </xf>
    <xf numFmtId="166" fontId="18" fillId="42" borderId="14" xfId="0" applyNumberFormat="1" applyFont="1" applyFill="1" applyBorder="1" applyAlignment="1">
      <alignment horizontal="center" vertical="center"/>
    </xf>
    <xf numFmtId="166" fontId="18" fillId="42" borderId="20" xfId="0" applyNumberFormat="1" applyFont="1" applyFill="1" applyBorder="1" applyAlignment="1">
      <alignment horizontal="center" vertical="center"/>
    </xf>
    <xf numFmtId="0" fontId="21" fillId="45" borderId="23" xfId="0" applyFont="1" applyFill="1" applyBorder="1" applyAlignment="1">
      <alignment horizontal="center" vertical="center"/>
    </xf>
    <xf numFmtId="0" fontId="21" fillId="45" borderId="0" xfId="0" applyFont="1" applyFill="1" applyAlignment="1">
      <alignment horizontal="center" vertical="center"/>
    </xf>
    <xf numFmtId="0" fontId="21" fillId="45" borderId="16" xfId="0" applyFont="1" applyFill="1" applyBorder="1" applyAlignment="1">
      <alignment horizontal="center" vertical="center"/>
    </xf>
    <xf numFmtId="0" fontId="21" fillId="45" borderId="38" xfId="0" applyFont="1" applyFill="1" applyBorder="1" applyAlignment="1">
      <alignment horizontal="center" vertical="center"/>
    </xf>
    <xf numFmtId="0" fontId="18" fillId="6" borderId="24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/>
    </xf>
    <xf numFmtId="0" fontId="18" fillId="6" borderId="59" xfId="0" applyFont="1" applyFill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/>
    </xf>
    <xf numFmtId="0" fontId="20" fillId="2" borderId="25" xfId="0" applyFont="1" applyFill="1" applyBorder="1" applyAlignment="1">
      <alignment vertical="center" wrapText="1"/>
    </xf>
    <xf numFmtId="0" fontId="0" fillId="0" borderId="60" xfId="0" applyBorder="1"/>
    <xf numFmtId="0" fontId="51" fillId="0" borderId="60" xfId="0" applyFont="1" applyBorder="1" applyAlignment="1">
      <alignment wrapText="1"/>
    </xf>
    <xf numFmtId="0" fontId="20" fillId="2" borderId="15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52" fillId="46" borderId="16" xfId="0" applyFont="1" applyFill="1" applyBorder="1" applyAlignment="1">
      <alignment horizontal="center" vertical="center"/>
    </xf>
    <xf numFmtId="0" fontId="52" fillId="46" borderId="38" xfId="0" applyFont="1" applyFill="1" applyBorder="1" applyAlignment="1">
      <alignment horizontal="center" vertical="center"/>
    </xf>
    <xf numFmtId="0" fontId="53" fillId="2" borderId="24" xfId="0" applyFont="1" applyFill="1" applyBorder="1" applyAlignment="1">
      <alignment horizontal="center" vertical="center"/>
    </xf>
    <xf numFmtId="0" fontId="54" fillId="2" borderId="25" xfId="0" applyFont="1" applyFill="1" applyBorder="1" applyAlignment="1">
      <alignment horizontal="center" vertical="center"/>
    </xf>
    <xf numFmtId="0" fontId="54" fillId="2" borderId="46" xfId="0" applyFont="1" applyFill="1" applyBorder="1" applyAlignment="1">
      <alignment horizontal="center" vertical="center"/>
    </xf>
    <xf numFmtId="0" fontId="53" fillId="2" borderId="15" xfId="0" applyFont="1" applyFill="1" applyBorder="1" applyAlignment="1">
      <alignment horizontal="center" vertical="center"/>
    </xf>
    <xf numFmtId="0" fontId="54" fillId="2" borderId="16" xfId="0" applyFont="1" applyFill="1" applyBorder="1" applyAlignment="1">
      <alignment horizontal="center" vertical="center"/>
    </xf>
    <xf numFmtId="0" fontId="54" fillId="2" borderId="31" xfId="0" applyFont="1" applyFill="1" applyBorder="1" applyAlignment="1">
      <alignment horizontal="center" vertical="center"/>
    </xf>
    <xf numFmtId="165" fontId="18" fillId="5" borderId="14" xfId="0" applyNumberFormat="1" applyFont="1" applyFill="1" applyBorder="1" applyAlignment="1">
      <alignment horizontal="center" vertical="center"/>
    </xf>
    <xf numFmtId="165" fontId="18" fillId="5" borderId="20" xfId="0" applyNumberFormat="1" applyFont="1" applyFill="1" applyBorder="1" applyAlignment="1">
      <alignment horizontal="center" vertical="center"/>
    </xf>
    <xf numFmtId="165" fontId="18" fillId="2" borderId="45" xfId="0" applyNumberFormat="1" applyFont="1" applyFill="1" applyBorder="1" applyAlignment="1">
      <alignment horizontal="center" vertical="center"/>
    </xf>
    <xf numFmtId="166" fontId="18" fillId="15" borderId="13" xfId="0" applyNumberFormat="1" applyFont="1" applyFill="1" applyBorder="1" applyAlignment="1">
      <alignment horizontal="center" vertical="center"/>
    </xf>
    <xf numFmtId="166" fontId="18" fillId="15" borderId="24" xfId="0" applyNumberFormat="1" applyFont="1" applyFill="1" applyBorder="1" applyAlignment="1">
      <alignment horizontal="center" vertical="center"/>
    </xf>
    <xf numFmtId="14" fontId="18" fillId="2" borderId="0" xfId="0" applyNumberFormat="1" applyFont="1" applyFill="1" applyAlignment="1">
      <alignment horizontal="center" vertical="center"/>
    </xf>
    <xf numFmtId="166" fontId="55" fillId="2" borderId="32" xfId="0" applyNumberFormat="1" applyFont="1" applyFill="1" applyBorder="1" applyAlignment="1">
      <alignment horizontal="center" vertical="center"/>
    </xf>
    <xf numFmtId="166" fontId="55" fillId="2" borderId="0" xfId="0" applyNumberFormat="1" applyFont="1" applyFill="1" applyAlignment="1">
      <alignment horizontal="center" vertical="center"/>
    </xf>
    <xf numFmtId="0" fontId="21" fillId="2" borderId="61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1" fillId="2" borderId="62" xfId="0" applyFont="1" applyFill="1" applyBorder="1" applyAlignment="1">
      <alignment horizontal="center" vertical="center"/>
    </xf>
    <xf numFmtId="0" fontId="26" fillId="5" borderId="61" xfId="0" applyFont="1" applyFill="1" applyBorder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6" fillId="5" borderId="62" xfId="0" applyFont="1" applyFill="1" applyBorder="1" applyAlignment="1">
      <alignment horizontal="center" vertical="center"/>
    </xf>
    <xf numFmtId="0" fontId="26" fillId="5" borderId="38" xfId="0" applyFont="1" applyFill="1" applyBorder="1" applyAlignment="1">
      <alignment horizontal="center" vertical="center"/>
    </xf>
    <xf numFmtId="0" fontId="56" fillId="2" borderId="14" xfId="0" applyFont="1" applyFill="1" applyBorder="1" applyAlignment="1">
      <alignment horizontal="center" vertical="center"/>
    </xf>
    <xf numFmtId="0" fontId="56" fillId="2" borderId="45" xfId="0" applyFont="1" applyFill="1" applyBorder="1" applyAlignment="1">
      <alignment horizontal="center" vertical="center"/>
    </xf>
    <xf numFmtId="0" fontId="56" fillId="2" borderId="20" xfId="0" applyFont="1" applyFill="1" applyBorder="1" applyAlignment="1">
      <alignment horizontal="center" vertical="center"/>
    </xf>
    <xf numFmtId="0" fontId="56" fillId="2" borderId="13" xfId="0" applyFont="1" applyFill="1" applyBorder="1" applyAlignment="1">
      <alignment horizontal="center" vertical="center"/>
    </xf>
    <xf numFmtId="0" fontId="57" fillId="2" borderId="23" xfId="0" applyFont="1" applyFill="1" applyBorder="1" applyAlignment="1">
      <alignment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45" xfId="0" applyFont="1" applyFill="1" applyBorder="1" applyAlignment="1">
      <alignment horizontal="center" vertical="center"/>
    </xf>
    <xf numFmtId="0" fontId="18" fillId="5" borderId="20" xfId="0" applyFont="1" applyFill="1" applyBorder="1" applyAlignment="1">
      <alignment horizontal="center" vertical="center"/>
    </xf>
    <xf numFmtId="0" fontId="58" fillId="2" borderId="14" xfId="0" applyFont="1" applyFill="1" applyBorder="1" applyAlignment="1">
      <alignment horizontal="center" vertical="center"/>
    </xf>
    <xf numFmtId="0" fontId="58" fillId="2" borderId="45" xfId="0" applyFont="1" applyFill="1" applyBorder="1" applyAlignment="1">
      <alignment horizontal="center" vertical="center"/>
    </xf>
    <xf numFmtId="0" fontId="58" fillId="2" borderId="20" xfId="0" applyFont="1" applyFill="1" applyBorder="1" applyAlignment="1">
      <alignment horizontal="center" vertical="center"/>
    </xf>
    <xf numFmtId="0" fontId="18" fillId="12" borderId="46" xfId="0" applyFont="1" applyFill="1" applyBorder="1" applyAlignment="1">
      <alignment horizontal="center" vertical="center" wrapText="1"/>
    </xf>
    <xf numFmtId="165" fontId="18" fillId="5" borderId="45" xfId="0" applyNumberFormat="1" applyFont="1" applyFill="1" applyBorder="1" applyAlignment="1">
      <alignment horizontal="center" vertical="center"/>
    </xf>
    <xf numFmtId="0" fontId="59" fillId="35" borderId="45" xfId="0" applyFont="1" applyFill="1" applyBorder="1" applyAlignment="1">
      <alignment horizontal="center" vertical="center"/>
    </xf>
    <xf numFmtId="0" fontId="59" fillId="35" borderId="20" xfId="0" applyFont="1" applyFill="1" applyBorder="1" applyAlignment="1">
      <alignment horizontal="center" vertical="center"/>
    </xf>
    <xf numFmtId="0" fontId="20" fillId="47" borderId="46" xfId="0" applyFont="1" applyFill="1" applyBorder="1" applyAlignment="1">
      <alignment horizontal="center" vertical="center"/>
    </xf>
    <xf numFmtId="165" fontId="18" fillId="0" borderId="24" xfId="0" applyNumberFormat="1" applyFont="1" applyBorder="1" applyAlignment="1">
      <alignment horizontal="center" vertical="center"/>
    </xf>
    <xf numFmtId="0" fontId="60" fillId="47" borderId="60" xfId="0" applyFont="1" applyFill="1" applyBorder="1" applyAlignment="1">
      <alignment horizontal="center" vertical="center"/>
    </xf>
    <xf numFmtId="165" fontId="27" fillId="0" borderId="20" xfId="0" applyNumberFormat="1" applyFont="1" applyBorder="1" applyAlignment="1">
      <alignment horizontal="center" vertical="center"/>
    </xf>
    <xf numFmtId="165" fontId="27" fillId="0" borderId="13" xfId="0" applyNumberFormat="1" applyFont="1" applyBorder="1" applyAlignment="1">
      <alignment horizontal="center" vertical="center"/>
    </xf>
    <xf numFmtId="165" fontId="27" fillId="34" borderId="13" xfId="0" applyNumberFormat="1" applyFont="1" applyFill="1" applyBorder="1" applyAlignment="1">
      <alignment horizontal="center" vertical="center"/>
    </xf>
    <xf numFmtId="0" fontId="60" fillId="47" borderId="31" xfId="0" applyFont="1" applyFill="1" applyBorder="1" applyAlignment="1">
      <alignment horizontal="center" vertical="center"/>
    </xf>
    <xf numFmtId="165" fontId="27" fillId="0" borderId="15" xfId="0" applyNumberFormat="1" applyFont="1" applyBorder="1" applyAlignment="1">
      <alignment horizontal="center" vertical="center"/>
    </xf>
    <xf numFmtId="165" fontId="42" fillId="6" borderId="36" xfId="0" applyNumberFormat="1" applyFont="1" applyFill="1" applyBorder="1" applyAlignment="1">
      <alignment horizontal="center"/>
    </xf>
    <xf numFmtId="165" fontId="42" fillId="6" borderId="0" xfId="0" applyNumberFormat="1" applyFont="1" applyFill="1" applyAlignment="1">
      <alignment horizontal="center"/>
    </xf>
    <xf numFmtId="0" fontId="26" fillId="48" borderId="61" xfId="0" applyFont="1" applyFill="1" applyBorder="1" applyAlignment="1">
      <alignment horizontal="center" vertical="center"/>
    </xf>
    <xf numFmtId="0" fontId="26" fillId="48" borderId="0" xfId="0" applyFont="1" applyFill="1" applyAlignment="1">
      <alignment horizontal="center" vertical="center"/>
    </xf>
    <xf numFmtId="0" fontId="26" fillId="48" borderId="62" xfId="0" applyFont="1" applyFill="1" applyBorder="1" applyAlignment="1">
      <alignment horizontal="center" vertical="center"/>
    </xf>
    <xf numFmtId="0" fontId="26" fillId="48" borderId="38" xfId="0" applyFont="1" applyFill="1" applyBorder="1" applyAlignment="1">
      <alignment horizontal="center" vertical="center"/>
    </xf>
    <xf numFmtId="0" fontId="61" fillId="2" borderId="14" xfId="0" applyFont="1" applyFill="1" applyBorder="1" applyAlignment="1">
      <alignment horizontal="center" vertical="center"/>
    </xf>
    <xf numFmtId="0" fontId="61" fillId="2" borderId="45" xfId="0" applyFont="1" applyFill="1" applyBorder="1" applyAlignment="1">
      <alignment horizontal="center" vertical="center"/>
    </xf>
    <xf numFmtId="0" fontId="61" fillId="2" borderId="20" xfId="0" applyFont="1" applyFill="1" applyBorder="1" applyAlignment="1">
      <alignment horizontal="center" vertical="center"/>
    </xf>
    <xf numFmtId="0" fontId="62" fillId="2" borderId="13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4" fillId="12" borderId="0" xfId="0" applyFont="1" applyFill="1" applyAlignment="1">
      <alignment horizontal="center" vertical="center"/>
    </xf>
    <xf numFmtId="14" fontId="64" fillId="1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7" fillId="0" borderId="45" xfId="0" applyFon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69" fillId="49" borderId="56" xfId="0" applyFont="1" applyFill="1" applyBorder="1" applyAlignment="1">
      <alignment horizontal="center" vertical="center"/>
    </xf>
    <xf numFmtId="0" fontId="69" fillId="49" borderId="63" xfId="0" applyFont="1" applyFill="1" applyBorder="1" applyAlignment="1">
      <alignment horizontal="center" vertical="center"/>
    </xf>
    <xf numFmtId="0" fontId="69" fillId="49" borderId="57" xfId="0" applyFont="1" applyFill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70" fillId="32" borderId="1" xfId="0" applyFont="1" applyFill="1" applyBorder="1" applyAlignment="1">
      <alignment horizontal="center" vertical="center"/>
    </xf>
    <xf numFmtId="0" fontId="70" fillId="32" borderId="3" xfId="0" applyFont="1" applyFill="1" applyBorder="1" applyAlignment="1">
      <alignment horizontal="center" vertical="center"/>
    </xf>
    <xf numFmtId="0" fontId="70" fillId="32" borderId="2" xfId="0" applyFont="1" applyFill="1" applyBorder="1" applyAlignment="1">
      <alignment horizontal="center" vertical="center"/>
    </xf>
    <xf numFmtId="0" fontId="70" fillId="0" borderId="2" xfId="0" applyFont="1" applyBorder="1" applyAlignment="1">
      <alignment horizontal="center" vertical="center"/>
    </xf>
    <xf numFmtId="0" fontId="70" fillId="0" borderId="36" xfId="0" applyFont="1" applyBorder="1" applyAlignment="1">
      <alignment horizontal="center" vertical="center"/>
    </xf>
    <xf numFmtId="0" fontId="70" fillId="0" borderId="3" xfId="0" applyFont="1" applyBorder="1" applyAlignment="1">
      <alignment horizontal="center" vertical="center"/>
    </xf>
    <xf numFmtId="0" fontId="70" fillId="32" borderId="4" xfId="0" applyFont="1" applyFill="1" applyBorder="1" applyAlignment="1">
      <alignment horizontal="center" vertical="center"/>
    </xf>
    <xf numFmtId="0" fontId="70" fillId="32" borderId="5" xfId="0" applyFont="1" applyFill="1" applyBorder="1" applyAlignment="1">
      <alignment horizontal="center" vertical="center"/>
    </xf>
    <xf numFmtId="0" fontId="71" fillId="3" borderId="38" xfId="0" applyFont="1" applyFill="1" applyBorder="1" applyAlignment="1">
      <alignment horizontal="center" vertical="center"/>
    </xf>
    <xf numFmtId="0" fontId="70" fillId="50" borderId="64" xfId="0" applyFont="1" applyFill="1" applyBorder="1" applyAlignment="1">
      <alignment horizontal="center" vertical="center"/>
    </xf>
    <xf numFmtId="0" fontId="70" fillId="50" borderId="65" xfId="0" applyFont="1" applyFill="1" applyBorder="1" applyAlignment="1">
      <alignment horizontal="center" vertical="center"/>
    </xf>
    <xf numFmtId="0" fontId="70" fillId="50" borderId="66" xfId="0" applyFont="1" applyFill="1" applyBorder="1" applyAlignment="1">
      <alignment horizontal="center" vertical="center"/>
    </xf>
    <xf numFmtId="0" fontId="70" fillId="0" borderId="46" xfId="0" applyFont="1" applyBorder="1" applyAlignment="1">
      <alignment horizontal="center" vertical="center"/>
    </xf>
    <xf numFmtId="0" fontId="70" fillId="51" borderId="1" xfId="0" applyFont="1" applyFill="1" applyBorder="1" applyAlignment="1">
      <alignment horizontal="center" vertical="center"/>
    </xf>
    <xf numFmtId="0" fontId="70" fillId="51" borderId="2" xfId="0" applyFont="1" applyFill="1" applyBorder="1" applyAlignment="1">
      <alignment horizontal="center" vertical="center"/>
    </xf>
    <xf numFmtId="0" fontId="70" fillId="0" borderId="13" xfId="0" applyFont="1" applyBorder="1" applyAlignment="1">
      <alignment horizontal="center" vertical="center"/>
    </xf>
    <xf numFmtId="0" fontId="70" fillId="0" borderId="14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70" fillId="0" borderId="22" xfId="0" applyFont="1" applyBorder="1" applyAlignment="1">
      <alignment horizontal="center" vertical="center"/>
    </xf>
    <xf numFmtId="0" fontId="70" fillId="0" borderId="58" xfId="0" applyFont="1" applyBorder="1" applyAlignment="1">
      <alignment horizontal="center" vertical="center"/>
    </xf>
    <xf numFmtId="0" fontId="70" fillId="51" borderId="4" xfId="0" applyFont="1" applyFill="1" applyBorder="1" applyAlignment="1">
      <alignment horizontal="center" vertical="center"/>
    </xf>
    <xf numFmtId="0" fontId="70" fillId="51" borderId="5" xfId="0" applyFont="1" applyFill="1" applyBorder="1" applyAlignment="1">
      <alignment horizontal="center" vertical="center"/>
    </xf>
    <xf numFmtId="0" fontId="70" fillId="52" borderId="13" xfId="0" applyFont="1" applyFill="1" applyBorder="1" applyAlignment="1">
      <alignment horizontal="center" vertical="center"/>
    </xf>
    <xf numFmtId="0" fontId="70" fillId="52" borderId="14" xfId="0" applyFont="1" applyFill="1" applyBorder="1" applyAlignment="1">
      <alignment horizontal="center" vertical="center"/>
    </xf>
    <xf numFmtId="0" fontId="70" fillId="25" borderId="21" xfId="0" applyFont="1" applyFill="1" applyBorder="1" applyAlignment="1">
      <alignment horizontal="center" vertical="center"/>
    </xf>
    <xf numFmtId="0" fontId="70" fillId="25" borderId="13" xfId="0" applyFont="1" applyFill="1" applyBorder="1" applyAlignment="1">
      <alignment horizontal="center" vertical="center"/>
    </xf>
    <xf numFmtId="0" fontId="70" fillId="25" borderId="22" xfId="0" applyFont="1" applyFill="1" applyBorder="1" applyAlignment="1">
      <alignment horizontal="center" vertical="center"/>
    </xf>
    <xf numFmtId="0" fontId="70" fillId="0" borderId="31" xfId="0" applyFont="1" applyBorder="1" applyAlignment="1">
      <alignment horizontal="center" vertical="center"/>
    </xf>
    <xf numFmtId="0" fontId="70" fillId="53" borderId="64" xfId="0" applyFont="1" applyFill="1" applyBorder="1" applyAlignment="1">
      <alignment horizontal="center" vertical="center"/>
    </xf>
    <xf numFmtId="0" fontId="70" fillId="53" borderId="65" xfId="0" applyFont="1" applyFill="1" applyBorder="1" applyAlignment="1">
      <alignment horizontal="center" vertical="center"/>
    </xf>
    <xf numFmtId="0" fontId="70" fillId="14" borderId="13" xfId="0" applyFont="1" applyFill="1" applyBorder="1" applyAlignment="1">
      <alignment horizontal="center" vertical="center"/>
    </xf>
    <xf numFmtId="165" fontId="70" fillId="54" borderId="13" xfId="0" applyNumberFormat="1" applyFont="1" applyFill="1" applyBorder="1" applyAlignment="1">
      <alignment horizontal="center" vertical="center"/>
    </xf>
    <xf numFmtId="165" fontId="70" fillId="14" borderId="13" xfId="0" applyNumberFormat="1" applyFont="1" applyFill="1" applyBorder="1" applyAlignment="1">
      <alignment horizontal="center" vertical="center"/>
    </xf>
    <xf numFmtId="165" fontId="70" fillId="9" borderId="13" xfId="0" applyNumberFormat="1" applyFont="1" applyFill="1" applyBorder="1" applyAlignment="1">
      <alignment horizontal="center" vertical="center"/>
    </xf>
    <xf numFmtId="165" fontId="70" fillId="14" borderId="14" xfId="0" applyNumberFormat="1" applyFont="1" applyFill="1" applyBorder="1" applyAlignment="1">
      <alignment horizontal="center" vertical="center"/>
    </xf>
    <xf numFmtId="165" fontId="70" fillId="54" borderId="21" xfId="0" applyNumberFormat="1" applyFont="1" applyFill="1" applyBorder="1" applyAlignment="1">
      <alignment horizontal="center" vertical="center"/>
    </xf>
    <xf numFmtId="165" fontId="72" fillId="14" borderId="22" xfId="0" applyNumberFormat="1" applyFont="1" applyFill="1" applyBorder="1" applyAlignment="1">
      <alignment horizontal="center" vertical="center"/>
    </xf>
    <xf numFmtId="166" fontId="70" fillId="15" borderId="20" xfId="0" applyNumberFormat="1" applyFont="1" applyFill="1" applyBorder="1" applyAlignment="1">
      <alignment horizontal="center" vertical="center"/>
    </xf>
    <xf numFmtId="0" fontId="70" fillId="53" borderId="67" xfId="0" applyFont="1" applyFill="1" applyBorder="1" applyAlignment="1">
      <alignment horizontal="center" vertical="center"/>
    </xf>
    <xf numFmtId="0" fontId="70" fillId="53" borderId="45" xfId="0" applyFont="1" applyFill="1" applyBorder="1" applyAlignment="1">
      <alignment horizontal="center" vertical="center"/>
    </xf>
    <xf numFmtId="165" fontId="70" fillId="14" borderId="22" xfId="0" applyNumberFormat="1" applyFont="1" applyFill="1" applyBorder="1" applyAlignment="1">
      <alignment horizontal="center" vertical="center"/>
    </xf>
    <xf numFmtId="0" fontId="72" fillId="14" borderId="13" xfId="0" applyFont="1" applyFill="1" applyBorder="1" applyAlignment="1">
      <alignment horizontal="center" vertical="center"/>
    </xf>
    <xf numFmtId="165" fontId="72" fillId="54" borderId="13" xfId="0" applyNumberFormat="1" applyFont="1" applyFill="1" applyBorder="1" applyAlignment="1">
      <alignment horizontal="center" vertical="center"/>
    </xf>
    <xf numFmtId="0" fontId="70" fillId="31" borderId="67" xfId="0" applyFont="1" applyFill="1" applyBorder="1" applyAlignment="1">
      <alignment horizontal="center" vertical="center"/>
    </xf>
    <xf numFmtId="0" fontId="70" fillId="31" borderId="45" xfId="0" applyFont="1" applyFill="1" applyBorder="1" applyAlignment="1">
      <alignment horizontal="center" vertical="center"/>
    </xf>
    <xf numFmtId="0" fontId="70" fillId="30" borderId="13" xfId="0" applyFont="1" applyFill="1" applyBorder="1" applyAlignment="1">
      <alignment horizontal="center" vertical="center"/>
    </xf>
    <xf numFmtId="165" fontId="70" fillId="33" borderId="13" xfId="0" applyNumberFormat="1" applyFont="1" applyFill="1" applyBorder="1" applyAlignment="1">
      <alignment horizontal="center" vertical="center"/>
    </xf>
    <xf numFmtId="165" fontId="70" fillId="30" borderId="13" xfId="0" applyNumberFormat="1" applyFont="1" applyFill="1" applyBorder="1" applyAlignment="1">
      <alignment horizontal="center" vertical="center"/>
    </xf>
    <xf numFmtId="165" fontId="70" fillId="30" borderId="14" xfId="0" applyNumberFormat="1" applyFont="1" applyFill="1" applyBorder="1" applyAlignment="1">
      <alignment horizontal="center" vertical="center"/>
    </xf>
    <xf numFmtId="165" fontId="70" fillId="33" borderId="21" xfId="0" applyNumberFormat="1" applyFont="1" applyFill="1" applyBorder="1" applyAlignment="1">
      <alignment horizontal="center" vertical="center"/>
    </xf>
    <xf numFmtId="165" fontId="70" fillId="30" borderId="22" xfId="0" applyNumberFormat="1" applyFont="1" applyFill="1" applyBorder="1" applyAlignment="1">
      <alignment horizontal="center" vertical="center"/>
    </xf>
    <xf numFmtId="0" fontId="70" fillId="31" borderId="21" xfId="0" applyFont="1" applyFill="1" applyBorder="1" applyAlignment="1">
      <alignment horizontal="center" vertical="center"/>
    </xf>
    <xf numFmtId="0" fontId="70" fillId="31" borderId="14" xfId="0" applyFont="1" applyFill="1" applyBorder="1" applyAlignment="1">
      <alignment horizontal="center" vertical="center"/>
    </xf>
    <xf numFmtId="0" fontId="70" fillId="53" borderId="68" xfId="0" applyFont="1" applyFill="1" applyBorder="1" applyAlignment="1">
      <alignment horizontal="center" vertical="center"/>
    </xf>
    <xf numFmtId="0" fontId="70" fillId="53" borderId="25" xfId="0" applyFont="1" applyFill="1" applyBorder="1" applyAlignment="1">
      <alignment horizontal="center" vertical="center"/>
    </xf>
    <xf numFmtId="0" fontId="70" fillId="31" borderId="68" xfId="0" applyFont="1" applyFill="1" applyBorder="1" applyAlignment="1">
      <alignment horizontal="center" vertical="center"/>
    </xf>
    <xf numFmtId="0" fontId="70" fillId="31" borderId="25" xfId="0" applyFont="1" applyFill="1" applyBorder="1" applyAlignment="1">
      <alignment horizontal="center" vertical="center"/>
    </xf>
    <xf numFmtId="165" fontId="70" fillId="55" borderId="13" xfId="0" applyNumberFormat="1" applyFont="1" applyFill="1" applyBorder="1" applyAlignment="1">
      <alignment horizontal="center" vertical="center"/>
    </xf>
    <xf numFmtId="165" fontId="70" fillId="54" borderId="22" xfId="0" applyNumberFormat="1" applyFont="1" applyFill="1" applyBorder="1" applyAlignment="1">
      <alignment horizontal="center" vertical="center"/>
    </xf>
    <xf numFmtId="0" fontId="70" fillId="53" borderId="13" xfId="0" applyFont="1" applyFill="1" applyBorder="1" applyAlignment="1">
      <alignment horizontal="center" vertical="center"/>
    </xf>
    <xf numFmtId="165" fontId="70" fillId="54" borderId="69" xfId="0" applyNumberFormat="1" applyFont="1" applyFill="1" applyBorder="1" applyAlignment="1">
      <alignment horizontal="center" vertical="center"/>
    </xf>
    <xf numFmtId="165" fontId="70" fillId="54" borderId="26" xfId="0" applyNumberFormat="1" applyFont="1" applyFill="1" applyBorder="1" applyAlignment="1">
      <alignment horizontal="center" vertical="center"/>
    </xf>
    <xf numFmtId="165" fontId="70" fillId="54" borderId="27" xfId="0" applyNumberFormat="1" applyFont="1" applyFill="1" applyBorder="1" applyAlignment="1">
      <alignment horizontal="center" vertical="center"/>
    </xf>
    <xf numFmtId="0" fontId="70" fillId="32" borderId="0" xfId="0" applyFont="1" applyFill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0" fontId="70" fillId="0" borderId="0" xfId="0" applyFont="1" applyAlignment="1">
      <alignment horizontal="center" vertical="center"/>
    </xf>
    <xf numFmtId="165" fontId="70" fillId="0" borderId="0" xfId="0" applyNumberFormat="1" applyFont="1" applyAlignment="1">
      <alignment horizontal="center" vertical="center"/>
    </xf>
    <xf numFmtId="166" fontId="69" fillId="51" borderId="13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5" fillId="32" borderId="0" xfId="0" applyFont="1" applyFill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76" fillId="49" borderId="56" xfId="0" applyFont="1" applyFill="1" applyBorder="1" applyAlignment="1">
      <alignment horizontal="center" vertical="center"/>
    </xf>
    <xf numFmtId="0" fontId="76" fillId="49" borderId="63" xfId="0" applyFont="1" applyFill="1" applyBorder="1" applyAlignment="1">
      <alignment horizontal="center" vertical="center"/>
    </xf>
    <xf numFmtId="0" fontId="76" fillId="49" borderId="2" xfId="0" applyFont="1" applyFill="1" applyBorder="1" applyAlignment="1">
      <alignment horizontal="center" vertical="center"/>
    </xf>
    <xf numFmtId="0" fontId="76" fillId="49" borderId="3" xfId="0" applyFont="1" applyFill="1" applyBorder="1" applyAlignment="1">
      <alignment horizontal="center" vertical="center"/>
    </xf>
    <xf numFmtId="0" fontId="75" fillId="32" borderId="4" xfId="0" applyFont="1" applyFill="1" applyBorder="1" applyAlignment="1">
      <alignment horizontal="center" vertical="center"/>
    </xf>
    <xf numFmtId="0" fontId="75" fillId="32" borderId="5" xfId="0" applyFont="1" applyFill="1" applyBorder="1" applyAlignment="1">
      <alignment horizontal="center" vertical="center"/>
    </xf>
    <xf numFmtId="0" fontId="77" fillId="3" borderId="38" xfId="0" applyFont="1" applyFill="1" applyBorder="1" applyAlignment="1">
      <alignment horizontal="center" vertical="center"/>
    </xf>
    <xf numFmtId="0" fontId="75" fillId="51" borderId="64" xfId="0" applyFont="1" applyFill="1" applyBorder="1" applyAlignment="1">
      <alignment horizontal="center" vertical="center"/>
    </xf>
    <xf numFmtId="0" fontId="75" fillId="51" borderId="65" xfId="0" applyFont="1" applyFill="1" applyBorder="1" applyAlignment="1">
      <alignment horizontal="center" vertical="center"/>
    </xf>
    <xf numFmtId="0" fontId="75" fillId="51" borderId="66" xfId="0" applyFont="1" applyFill="1" applyBorder="1" applyAlignment="1">
      <alignment horizontal="center" vertical="center"/>
    </xf>
    <xf numFmtId="0" fontId="75" fillId="0" borderId="20" xfId="0" applyFont="1" applyBorder="1" applyAlignment="1">
      <alignment horizontal="center" vertical="center"/>
    </xf>
    <xf numFmtId="0" fontId="75" fillId="51" borderId="1" xfId="0" applyFont="1" applyFill="1" applyBorder="1" applyAlignment="1">
      <alignment horizontal="center" vertical="center"/>
    </xf>
    <xf numFmtId="0" fontId="75" fillId="51" borderId="2" xfId="0" applyFont="1" applyFill="1" applyBorder="1" applyAlignment="1">
      <alignment horizontal="center" vertical="center"/>
    </xf>
    <xf numFmtId="0" fontId="75" fillId="0" borderId="13" xfId="0" applyFont="1" applyBorder="1" applyAlignment="1">
      <alignment horizontal="center" vertical="center"/>
    </xf>
    <xf numFmtId="0" fontId="75" fillId="0" borderId="14" xfId="0" applyFont="1" applyBorder="1" applyAlignment="1">
      <alignment horizontal="center" vertical="center"/>
    </xf>
    <xf numFmtId="0" fontId="75" fillId="0" borderId="21" xfId="0" applyFont="1" applyBorder="1" applyAlignment="1">
      <alignment horizontal="center" vertical="center"/>
    </xf>
    <xf numFmtId="0" fontId="75" fillId="0" borderId="22" xfId="0" applyFont="1" applyBorder="1" applyAlignment="1">
      <alignment horizontal="center" vertical="center"/>
    </xf>
    <xf numFmtId="0" fontId="75" fillId="51" borderId="4" xfId="0" applyFont="1" applyFill="1" applyBorder="1" applyAlignment="1">
      <alignment horizontal="center" vertical="center"/>
    </xf>
    <xf numFmtId="0" fontId="75" fillId="51" borderId="5" xfId="0" applyFont="1" applyFill="1" applyBorder="1" applyAlignment="1">
      <alignment horizontal="center" vertical="center"/>
    </xf>
    <xf numFmtId="0" fontId="75" fillId="50" borderId="13" xfId="0" applyFont="1" applyFill="1" applyBorder="1" applyAlignment="1">
      <alignment horizontal="center" vertical="center"/>
    </xf>
    <xf numFmtId="0" fontId="75" fillId="50" borderId="14" xfId="0" applyFont="1" applyFill="1" applyBorder="1" applyAlignment="1">
      <alignment horizontal="center" vertical="center"/>
    </xf>
    <xf numFmtId="0" fontId="75" fillId="50" borderId="21" xfId="0" applyFont="1" applyFill="1" applyBorder="1" applyAlignment="1">
      <alignment horizontal="center" vertical="center"/>
    </xf>
    <xf numFmtId="0" fontId="75" fillId="50" borderId="22" xfId="0" applyFont="1" applyFill="1" applyBorder="1" applyAlignment="1">
      <alignment horizontal="center" vertical="center"/>
    </xf>
    <xf numFmtId="0" fontId="75" fillId="53" borderId="64" xfId="0" applyFont="1" applyFill="1" applyBorder="1" applyAlignment="1">
      <alignment horizontal="center" vertical="center"/>
    </xf>
    <xf numFmtId="0" fontId="75" fillId="53" borderId="65" xfId="0" applyFont="1" applyFill="1" applyBorder="1" applyAlignment="1">
      <alignment horizontal="center" vertical="center"/>
    </xf>
    <xf numFmtId="0" fontId="75" fillId="14" borderId="13" xfId="0" applyFont="1" applyFill="1" applyBorder="1" applyAlignment="1">
      <alignment horizontal="center" vertical="center"/>
    </xf>
    <xf numFmtId="165" fontId="75" fillId="14" borderId="13" xfId="0" applyNumberFormat="1" applyFont="1" applyFill="1" applyBorder="1" applyAlignment="1">
      <alignment horizontal="center" vertical="center"/>
    </xf>
    <xf numFmtId="165" fontId="75" fillId="54" borderId="13" xfId="0" applyNumberFormat="1" applyFont="1" applyFill="1" applyBorder="1" applyAlignment="1">
      <alignment horizontal="center" vertical="center"/>
    </xf>
    <xf numFmtId="165" fontId="75" fillId="14" borderId="14" xfId="0" applyNumberFormat="1" applyFont="1" applyFill="1" applyBorder="1" applyAlignment="1">
      <alignment horizontal="center" vertical="center"/>
    </xf>
    <xf numFmtId="165" fontId="75" fillId="54" borderId="21" xfId="0" applyNumberFormat="1" applyFont="1" applyFill="1" applyBorder="1" applyAlignment="1">
      <alignment horizontal="center" vertical="center"/>
    </xf>
    <xf numFmtId="165" fontId="75" fillId="14" borderId="22" xfId="0" applyNumberFormat="1" applyFont="1" applyFill="1" applyBorder="1" applyAlignment="1">
      <alignment horizontal="center" vertical="center"/>
    </xf>
    <xf numFmtId="166" fontId="75" fillId="15" borderId="20" xfId="0" applyNumberFormat="1" applyFont="1" applyFill="1" applyBorder="1" applyAlignment="1">
      <alignment horizontal="center" vertical="center"/>
    </xf>
    <xf numFmtId="0" fontId="75" fillId="53" borderId="67" xfId="0" applyFont="1" applyFill="1" applyBorder="1" applyAlignment="1">
      <alignment horizontal="center" vertical="center"/>
    </xf>
    <xf numFmtId="0" fontId="75" fillId="53" borderId="45" xfId="0" applyFont="1" applyFill="1" applyBorder="1" applyAlignment="1">
      <alignment horizontal="center" vertical="center"/>
    </xf>
    <xf numFmtId="165" fontId="75" fillId="55" borderId="13" xfId="0" applyNumberFormat="1" applyFont="1" applyFill="1" applyBorder="1" applyAlignment="1">
      <alignment horizontal="center" vertical="center"/>
    </xf>
    <xf numFmtId="165" fontId="78" fillId="54" borderId="13" xfId="0" applyNumberFormat="1" applyFont="1" applyFill="1" applyBorder="1" applyAlignment="1">
      <alignment horizontal="center" vertical="center"/>
    </xf>
    <xf numFmtId="165" fontId="78" fillId="55" borderId="13" xfId="0" applyNumberFormat="1" applyFont="1" applyFill="1" applyBorder="1" applyAlignment="1">
      <alignment horizontal="center" vertical="center"/>
    </xf>
    <xf numFmtId="165" fontId="78" fillId="14" borderId="22" xfId="0" applyNumberFormat="1" applyFont="1" applyFill="1" applyBorder="1" applyAlignment="1">
      <alignment horizontal="center" vertical="center"/>
    </xf>
    <xf numFmtId="165" fontId="75" fillId="9" borderId="13" xfId="0" applyNumberFormat="1" applyFont="1" applyFill="1" applyBorder="1" applyAlignment="1">
      <alignment horizontal="center" vertical="center"/>
    </xf>
    <xf numFmtId="165" fontId="78" fillId="14" borderId="13" xfId="0" applyNumberFormat="1" applyFont="1" applyFill="1" applyBorder="1" applyAlignment="1">
      <alignment horizontal="center" vertical="center"/>
    </xf>
    <xf numFmtId="166" fontId="76" fillId="51" borderId="70" xfId="0" applyNumberFormat="1" applyFont="1" applyFill="1" applyBorder="1" applyAlignment="1">
      <alignment horizontal="center" vertical="center"/>
    </xf>
    <xf numFmtId="166" fontId="76" fillId="2" borderId="0" xfId="0" applyNumberFormat="1" applyFont="1" applyFill="1" applyAlignment="1">
      <alignment horizontal="center" vertical="center"/>
    </xf>
    <xf numFmtId="0" fontId="75" fillId="56" borderId="71" xfId="0" applyFont="1" applyFill="1" applyBorder="1" applyAlignment="1">
      <alignment horizontal="center" vertical="center"/>
    </xf>
    <xf numFmtId="0" fontId="75" fillId="56" borderId="0" xfId="0" applyFont="1" applyFill="1" applyAlignment="1">
      <alignment horizontal="center" vertical="center"/>
    </xf>
    <xf numFmtId="0" fontId="75" fillId="56" borderId="58" xfId="0" applyFont="1" applyFill="1" applyBorder="1" applyAlignment="1">
      <alignment horizontal="center" vertical="center"/>
    </xf>
    <xf numFmtId="0" fontId="75" fillId="30" borderId="13" xfId="0" applyFont="1" applyFill="1" applyBorder="1" applyAlignment="1">
      <alignment vertical="center"/>
    </xf>
    <xf numFmtId="0" fontId="75" fillId="2" borderId="0" xfId="0" applyFont="1" applyFill="1" applyAlignment="1">
      <alignment vertical="center"/>
    </xf>
    <xf numFmtId="0" fontId="75" fillId="51" borderId="71" xfId="0" applyFont="1" applyFill="1" applyBorder="1" applyAlignment="1">
      <alignment horizontal="center" vertical="center"/>
    </xf>
    <xf numFmtId="0" fontId="75" fillId="51" borderId="0" xfId="0" applyFont="1" applyFill="1" applyAlignment="1">
      <alignment horizontal="center" vertical="center"/>
    </xf>
    <xf numFmtId="0" fontId="75" fillId="0" borderId="16" xfId="0" applyFont="1" applyBorder="1" applyAlignment="1">
      <alignment horizontal="center" vertical="center"/>
    </xf>
    <xf numFmtId="0" fontId="75" fillId="0" borderId="38" xfId="0" applyFont="1" applyBorder="1" applyAlignment="1">
      <alignment horizontal="center" vertical="center"/>
    </xf>
    <xf numFmtId="0" fontId="75" fillId="0" borderId="31" xfId="0" applyFont="1" applyBorder="1" applyAlignment="1">
      <alignment horizontal="center" vertical="center"/>
    </xf>
    <xf numFmtId="0" fontId="75" fillId="30" borderId="71" xfId="0" applyFont="1" applyFill="1" applyBorder="1" applyAlignment="1">
      <alignment horizontal="center" vertical="center"/>
    </xf>
    <xf numFmtId="0" fontId="75" fillId="30" borderId="0" xfId="0" applyFont="1" applyFill="1" applyAlignment="1">
      <alignment horizontal="center" vertical="center"/>
    </xf>
    <xf numFmtId="0" fontId="75" fillId="0" borderId="23" xfId="0" applyFont="1" applyBorder="1" applyAlignment="1">
      <alignment horizontal="left" vertical="center"/>
    </xf>
    <xf numFmtId="0" fontId="75" fillId="51" borderId="13" xfId="0" applyFont="1" applyFill="1" applyBorder="1" applyAlignment="1">
      <alignment horizontal="center" vertical="center"/>
    </xf>
    <xf numFmtId="0" fontId="75" fillId="51" borderId="14" xfId="0" applyFont="1" applyFill="1" applyBorder="1" applyAlignment="1">
      <alignment horizontal="center" vertical="center"/>
    </xf>
    <xf numFmtId="0" fontId="75" fillId="30" borderId="4" xfId="0" applyFont="1" applyFill="1" applyBorder="1" applyAlignment="1">
      <alignment horizontal="center" vertical="center"/>
    </xf>
    <xf numFmtId="0" fontId="75" fillId="30" borderId="5" xfId="0" applyFont="1" applyFill="1" applyBorder="1" applyAlignment="1">
      <alignment horizontal="center" vertical="center"/>
    </xf>
    <xf numFmtId="0" fontId="75" fillId="30" borderId="13" xfId="0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/>
    </xf>
    <xf numFmtId="0" fontId="75" fillId="53" borderId="72" xfId="0" applyFont="1" applyFill="1" applyBorder="1" applyAlignment="1">
      <alignment horizontal="center" vertical="center"/>
    </xf>
    <xf numFmtId="0" fontId="75" fillId="12" borderId="64" xfId="0" applyFont="1" applyFill="1" applyBorder="1" applyAlignment="1">
      <alignment horizontal="center" vertical="center"/>
    </xf>
    <xf numFmtId="0" fontId="75" fillId="12" borderId="72" xfId="0" applyFont="1" applyFill="1" applyBorder="1" applyAlignment="1">
      <alignment horizontal="center" vertical="center"/>
    </xf>
    <xf numFmtId="0" fontId="75" fillId="2" borderId="13" xfId="0" applyFont="1" applyFill="1" applyBorder="1" applyAlignment="1">
      <alignment horizontal="center" vertical="center"/>
    </xf>
    <xf numFmtId="165" fontId="75" fillId="30" borderId="13" xfId="0" applyNumberFormat="1" applyFont="1" applyFill="1" applyBorder="1" applyAlignment="1">
      <alignment horizontal="center" vertical="center"/>
    </xf>
    <xf numFmtId="165" fontId="75" fillId="15" borderId="0" xfId="0" applyNumberFormat="1" applyFont="1" applyFill="1" applyAlignment="1">
      <alignment horizontal="center" vertical="center"/>
    </xf>
    <xf numFmtId="165" fontId="75" fillId="2" borderId="0" xfId="0" applyNumberFormat="1" applyFont="1" applyFill="1" applyAlignment="1">
      <alignment horizontal="center" vertical="center"/>
    </xf>
    <xf numFmtId="0" fontId="75" fillId="14" borderId="0" xfId="0" applyFont="1" applyFill="1" applyAlignment="1">
      <alignment horizontal="center" vertical="center"/>
    </xf>
    <xf numFmtId="0" fontId="75" fillId="14" borderId="1" xfId="0" applyFont="1" applyFill="1" applyBorder="1" applyAlignment="1">
      <alignment horizontal="center" vertical="center"/>
    </xf>
    <xf numFmtId="0" fontId="75" fillId="14" borderId="3" xfId="0" applyFont="1" applyFill="1" applyBorder="1" applyAlignment="1">
      <alignment horizontal="center" vertical="center"/>
    </xf>
    <xf numFmtId="0" fontId="75" fillId="14" borderId="0" xfId="0" applyFont="1" applyFill="1" applyAlignment="1">
      <alignment horizontal="center" vertical="center"/>
    </xf>
    <xf numFmtId="0" fontId="75" fillId="2" borderId="38" xfId="0" applyFont="1" applyFill="1" applyBorder="1" applyAlignment="1">
      <alignment horizontal="center" vertical="center"/>
    </xf>
    <xf numFmtId="0" fontId="75" fillId="14" borderId="4" xfId="0" applyFont="1" applyFill="1" applyBorder="1" applyAlignment="1">
      <alignment horizontal="center" vertical="center"/>
    </xf>
    <xf numFmtId="0" fontId="75" fillId="14" borderId="5" xfId="0" applyFont="1" applyFill="1" applyBorder="1" applyAlignment="1">
      <alignment horizontal="center" vertical="center"/>
    </xf>
    <xf numFmtId="0" fontId="75" fillId="2" borderId="15" xfId="0" applyFont="1" applyFill="1" applyBorder="1" applyAlignment="1">
      <alignment horizontal="center" vertical="center"/>
    </xf>
    <xf numFmtId="0" fontId="75" fillId="12" borderId="65" xfId="0" applyFont="1" applyFill="1" applyBorder="1" applyAlignment="1">
      <alignment horizontal="center" vertical="center"/>
    </xf>
    <xf numFmtId="0" fontId="75" fillId="12" borderId="13" xfId="0" applyFont="1" applyFill="1" applyBorder="1" applyAlignment="1">
      <alignment horizontal="center" vertical="center"/>
    </xf>
    <xf numFmtId="0" fontId="13" fillId="14" borderId="0" xfId="0" applyFont="1" applyFill="1" applyAlignment="1">
      <alignment horizontal="center" vertical="center"/>
    </xf>
    <xf numFmtId="0" fontId="75" fillId="2" borderId="31" xfId="0" applyFont="1" applyFill="1" applyBorder="1" applyAlignment="1">
      <alignment horizontal="center" vertical="center"/>
    </xf>
    <xf numFmtId="0" fontId="75" fillId="14" borderId="6" xfId="0" applyFont="1" applyFill="1" applyBorder="1" applyAlignment="1">
      <alignment horizontal="center" vertical="center"/>
    </xf>
    <xf numFmtId="165" fontId="75" fillId="2" borderId="13" xfId="0" applyNumberFormat="1" applyFont="1" applyFill="1" applyBorder="1" applyAlignment="1">
      <alignment horizontal="center" vertical="center"/>
    </xf>
    <xf numFmtId="165" fontId="75" fillId="15" borderId="13" xfId="0" applyNumberFormat="1" applyFont="1" applyFill="1" applyBorder="1" applyAlignment="1">
      <alignment horizontal="center" vertical="center"/>
    </xf>
    <xf numFmtId="165" fontId="75" fillId="15" borderId="14" xfId="0" applyNumberFormat="1" applyFont="1" applyFill="1" applyBorder="1" applyAlignment="1">
      <alignment horizontal="center" vertical="center"/>
    </xf>
    <xf numFmtId="0" fontId="75" fillId="12" borderId="67" xfId="0" applyFont="1" applyFill="1" applyBorder="1" applyAlignment="1">
      <alignment horizontal="center" vertical="center"/>
    </xf>
    <xf numFmtId="0" fontId="75" fillId="12" borderId="45" xfId="0" applyFont="1" applyFill="1" applyBorder="1" applyAlignment="1">
      <alignment horizontal="center" vertical="center"/>
    </xf>
    <xf numFmtId="165" fontId="76" fillId="14" borderId="73" xfId="0" applyNumberFormat="1" applyFont="1" applyFill="1" applyBorder="1" applyAlignment="1">
      <alignment horizontal="center" vertical="center"/>
    </xf>
    <xf numFmtId="165" fontId="76" fillId="2" borderId="0" xfId="0" applyNumberFormat="1" applyFont="1" applyFill="1" applyAlignment="1">
      <alignment horizontal="center" vertical="center"/>
    </xf>
    <xf numFmtId="0" fontId="75" fillId="57" borderId="0" xfId="0" applyFont="1" applyFill="1" applyAlignment="1">
      <alignment horizontal="center" vertical="center"/>
    </xf>
    <xf numFmtId="0" fontId="75" fillId="57" borderId="58" xfId="0" applyFont="1" applyFill="1" applyBorder="1" applyAlignment="1">
      <alignment horizontal="center" vertical="center"/>
    </xf>
    <xf numFmtId="0" fontId="75" fillId="57" borderId="1" xfId="0" applyFont="1" applyFill="1" applyBorder="1" applyAlignment="1">
      <alignment horizontal="center" vertical="center"/>
    </xf>
    <xf numFmtId="0" fontId="75" fillId="57" borderId="3" xfId="0" applyFont="1" applyFill="1" applyBorder="1" applyAlignment="1">
      <alignment horizontal="center" vertical="center"/>
    </xf>
    <xf numFmtId="0" fontId="75" fillId="2" borderId="38" xfId="0" applyFont="1" applyFill="1" applyBorder="1" applyAlignment="1">
      <alignment horizontal="center" vertical="center"/>
    </xf>
    <xf numFmtId="0" fontId="75" fillId="2" borderId="31" xfId="0" applyFont="1" applyFill="1" applyBorder="1" applyAlignment="1">
      <alignment horizontal="center" vertical="center"/>
    </xf>
    <xf numFmtId="0" fontId="75" fillId="57" borderId="4" xfId="0" applyFont="1" applyFill="1" applyBorder="1" applyAlignment="1">
      <alignment horizontal="center" vertical="center"/>
    </xf>
    <xf numFmtId="0" fontId="75" fillId="57" borderId="6" xfId="0" applyFont="1" applyFill="1" applyBorder="1" applyAlignment="1">
      <alignment horizontal="center" vertical="center"/>
    </xf>
    <xf numFmtId="168" fontId="75" fillId="0" borderId="20" xfId="2" applyNumberFormat="1" applyFont="1" applyBorder="1" applyAlignment="1">
      <alignment horizontal="center" vertical="center"/>
    </xf>
    <xf numFmtId="169" fontId="75" fillId="0" borderId="13" xfId="0" applyNumberFormat="1" applyFont="1" applyBorder="1" applyAlignment="1">
      <alignment horizontal="center" vertical="center"/>
    </xf>
    <xf numFmtId="2" fontId="75" fillId="0" borderId="13" xfId="0" applyNumberFormat="1" applyFont="1" applyBorder="1" applyAlignment="1">
      <alignment horizontal="center" vertical="center"/>
    </xf>
    <xf numFmtId="170" fontId="75" fillId="0" borderId="13" xfId="0" applyNumberFormat="1" applyFont="1" applyBorder="1" applyAlignment="1">
      <alignment horizontal="center" vertical="center"/>
    </xf>
    <xf numFmtId="0" fontId="79" fillId="0" borderId="13" xfId="0" applyFont="1" applyBorder="1" applyAlignment="1">
      <alignment horizontal="center" vertical="center"/>
    </xf>
    <xf numFmtId="165" fontId="75" fillId="58" borderId="13" xfId="0" applyNumberFormat="1" applyFont="1" applyFill="1" applyBorder="1" applyAlignment="1">
      <alignment horizontal="center" vertical="center"/>
    </xf>
    <xf numFmtId="12" fontId="75" fillId="0" borderId="13" xfId="0" applyNumberFormat="1" applyFont="1" applyBorder="1" applyAlignment="1">
      <alignment horizontal="center" vertical="center"/>
    </xf>
    <xf numFmtId="0" fontId="75" fillId="59" borderId="0" xfId="0" applyFont="1" applyFill="1" applyAlignment="1">
      <alignment horizontal="center" vertical="center"/>
    </xf>
    <xf numFmtId="0" fontId="75" fillId="59" borderId="13" xfId="0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/>
    </xf>
    <xf numFmtId="0" fontId="75" fillId="0" borderId="20" xfId="2" applyNumberFormat="1" applyFont="1" applyBorder="1" applyAlignment="1">
      <alignment horizontal="center" vertical="center"/>
    </xf>
    <xf numFmtId="0" fontId="75" fillId="12" borderId="74" xfId="0" applyFont="1" applyFill="1" applyBorder="1" applyAlignment="1">
      <alignment horizontal="center" vertical="center"/>
    </xf>
    <xf numFmtId="0" fontId="75" fillId="12" borderId="38" xfId="0" applyFont="1" applyFill="1" applyBorder="1" applyAlignment="1">
      <alignment horizontal="center" vertical="center"/>
    </xf>
    <xf numFmtId="165" fontId="75" fillId="60" borderId="13" xfId="0" applyNumberFormat="1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 wrapText="1"/>
    </xf>
    <xf numFmtId="0" fontId="75" fillId="2" borderId="38" xfId="0" applyFont="1" applyFill="1" applyBorder="1" applyAlignment="1">
      <alignment horizontal="center" vertical="center" wrapText="1"/>
    </xf>
    <xf numFmtId="0" fontId="75" fillId="2" borderId="0" xfId="0" applyFont="1" applyFill="1" applyAlignment="1">
      <alignment vertical="center" wrapText="1"/>
    </xf>
    <xf numFmtId="0" fontId="75" fillId="61" borderId="0" xfId="0" applyFont="1" applyFill="1" applyAlignment="1">
      <alignment horizontal="center" vertical="center"/>
    </xf>
    <xf numFmtId="0" fontId="75" fillId="61" borderId="13" xfId="0" applyFont="1" applyFill="1" applyBorder="1" applyAlignment="1">
      <alignment horizontal="center" vertical="center"/>
    </xf>
    <xf numFmtId="168" fontId="75" fillId="2" borderId="20" xfId="2" applyNumberFormat="1" applyFont="1" applyFill="1" applyBorder="1" applyAlignment="1">
      <alignment horizontal="center" vertical="center"/>
    </xf>
    <xf numFmtId="169" fontId="75" fillId="2" borderId="13" xfId="0" applyNumberFormat="1" applyFont="1" applyFill="1" applyBorder="1" applyAlignment="1">
      <alignment horizontal="center" vertical="center"/>
    </xf>
    <xf numFmtId="0" fontId="75" fillId="61" borderId="13" xfId="0" applyFont="1" applyFill="1" applyBorder="1" applyAlignment="1">
      <alignment horizontal="center" vertical="center"/>
    </xf>
    <xf numFmtId="0" fontId="79" fillId="2" borderId="0" xfId="0" applyFont="1" applyFill="1" applyAlignment="1">
      <alignment horizontal="center" vertical="center"/>
    </xf>
    <xf numFmtId="0" fontId="76" fillId="2" borderId="0" xfId="0" applyFont="1" applyFill="1" applyAlignment="1">
      <alignment horizontal="center" vertical="center"/>
    </xf>
    <xf numFmtId="0" fontId="75" fillId="0" borderId="38" xfId="0" applyFont="1" applyBorder="1" applyAlignment="1">
      <alignment horizontal="center" vertical="center"/>
    </xf>
    <xf numFmtId="166" fontId="75" fillId="0" borderId="0" xfId="0" applyNumberFormat="1" applyFont="1" applyAlignment="1">
      <alignment horizontal="center" vertical="center"/>
    </xf>
    <xf numFmtId="0" fontId="76" fillId="62" borderId="1" xfId="0" applyFont="1" applyFill="1" applyBorder="1" applyAlignment="1">
      <alignment horizontal="center" vertical="center"/>
    </xf>
    <xf numFmtId="0" fontId="76" fillId="62" borderId="2" xfId="0" applyFont="1" applyFill="1" applyBorder="1" applyAlignment="1">
      <alignment horizontal="center" vertical="center"/>
    </xf>
    <xf numFmtId="0" fontId="76" fillId="62" borderId="3" xfId="0" applyFont="1" applyFill="1" applyBorder="1" applyAlignment="1">
      <alignment horizontal="center" vertical="center"/>
    </xf>
    <xf numFmtId="0" fontId="75" fillId="0" borderId="46" xfId="0" applyFont="1" applyBorder="1" applyAlignment="1">
      <alignment horizontal="center" vertical="center"/>
    </xf>
    <xf numFmtId="0" fontId="75" fillId="56" borderId="1" xfId="0" applyFont="1" applyFill="1" applyBorder="1" applyAlignment="1">
      <alignment horizontal="center" vertical="center"/>
    </xf>
    <xf numFmtId="0" fontId="75" fillId="56" borderId="75" xfId="0" applyFont="1" applyFill="1" applyBorder="1" applyAlignment="1">
      <alignment horizontal="center" vertical="center"/>
    </xf>
    <xf numFmtId="0" fontId="75" fillId="0" borderId="58" xfId="0" applyFont="1" applyBorder="1" applyAlignment="1">
      <alignment horizontal="center" vertical="center"/>
    </xf>
    <xf numFmtId="0" fontId="75" fillId="56" borderId="4" xfId="0" applyFont="1" applyFill="1" applyBorder="1" applyAlignment="1">
      <alignment horizontal="center" vertical="center"/>
    </xf>
    <xf numFmtId="0" fontId="75" fillId="56" borderId="76" xfId="0" applyFont="1" applyFill="1" applyBorder="1" applyAlignment="1">
      <alignment horizontal="center" vertical="center"/>
    </xf>
    <xf numFmtId="0" fontId="75" fillId="3" borderId="13" xfId="0" applyFont="1" applyFill="1" applyBorder="1" applyAlignment="1">
      <alignment horizontal="center" vertical="center"/>
    </xf>
    <xf numFmtId="0" fontId="75" fillId="3" borderId="14" xfId="0" applyFont="1" applyFill="1" applyBorder="1" applyAlignment="1">
      <alignment horizontal="center" vertical="center"/>
    </xf>
    <xf numFmtId="0" fontId="75" fillId="51" borderId="21" xfId="0" applyFont="1" applyFill="1" applyBorder="1" applyAlignment="1">
      <alignment horizontal="center" vertical="center"/>
    </xf>
    <xf numFmtId="0" fontId="75" fillId="51" borderId="22" xfId="0" applyFont="1" applyFill="1" applyBorder="1" applyAlignment="1">
      <alignment horizontal="center" vertical="center"/>
    </xf>
    <xf numFmtId="0" fontId="74" fillId="2" borderId="0" xfId="0" applyFont="1" applyFill="1" applyAlignment="1">
      <alignment horizontal="center" vertical="center"/>
    </xf>
    <xf numFmtId="165" fontId="78" fillId="54" borderId="21" xfId="0" applyNumberFormat="1" applyFont="1" applyFill="1" applyBorder="1" applyAlignment="1">
      <alignment horizontal="center" vertical="center"/>
    </xf>
    <xf numFmtId="0" fontId="75" fillId="53" borderId="20" xfId="0" applyFont="1" applyFill="1" applyBorder="1" applyAlignment="1">
      <alignment horizontal="center" vertical="center"/>
    </xf>
    <xf numFmtId="165" fontId="78" fillId="14" borderId="14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165" fontId="75" fillId="55" borderId="21" xfId="0" applyNumberFormat="1" applyFont="1" applyFill="1" applyBorder="1" applyAlignment="1">
      <alignment horizontal="center" vertical="center"/>
    </xf>
    <xf numFmtId="0" fontId="75" fillId="53" borderId="67" xfId="0" applyFont="1" applyFill="1" applyBorder="1" applyAlignment="1">
      <alignment horizontal="center" vertical="center"/>
    </xf>
    <xf numFmtId="0" fontId="75" fillId="53" borderId="20" xfId="0" applyFont="1" applyFill="1" applyBorder="1" applyAlignment="1">
      <alignment horizontal="left" vertical="center"/>
    </xf>
    <xf numFmtId="0" fontId="78" fillId="14" borderId="13" xfId="0" applyFont="1" applyFill="1" applyBorder="1" applyAlignment="1">
      <alignment horizontal="center" vertical="center"/>
    </xf>
    <xf numFmtId="165" fontId="75" fillId="54" borderId="69" xfId="0" applyNumberFormat="1" applyFont="1" applyFill="1" applyBorder="1" applyAlignment="1">
      <alignment horizontal="center" vertical="center"/>
    </xf>
    <xf numFmtId="165" fontId="75" fillId="54" borderId="26" xfId="0" applyNumberFormat="1" applyFont="1" applyFill="1" applyBorder="1" applyAlignment="1">
      <alignment horizontal="center" vertical="center"/>
    </xf>
    <xf numFmtId="165" fontId="75" fillId="55" borderId="26" xfId="0" applyNumberFormat="1" applyFont="1" applyFill="1" applyBorder="1" applyAlignment="1">
      <alignment horizontal="center" vertical="center"/>
    </xf>
    <xf numFmtId="165" fontId="78" fillId="54" borderId="26" xfId="0" applyNumberFormat="1" applyFont="1" applyFill="1" applyBorder="1" applyAlignment="1">
      <alignment horizontal="center" vertical="center"/>
    </xf>
    <xf numFmtId="165" fontId="75" fillId="63" borderId="26" xfId="0" applyNumberFormat="1" applyFont="1" applyFill="1" applyBorder="1" applyAlignment="1">
      <alignment horizontal="center" vertical="center"/>
    </xf>
    <xf numFmtId="165" fontId="75" fillId="63" borderId="27" xfId="0" applyNumberFormat="1" applyFont="1" applyFill="1" applyBorder="1" applyAlignment="1">
      <alignment horizontal="center" vertical="center"/>
    </xf>
    <xf numFmtId="166" fontId="76" fillId="56" borderId="73" xfId="0" applyNumberFormat="1" applyFont="1" applyFill="1" applyBorder="1" applyAlignment="1">
      <alignment horizontal="center" vertical="center"/>
    </xf>
    <xf numFmtId="0" fontId="81" fillId="52" borderId="0" xfId="0" applyFont="1" applyFill="1" applyAlignment="1">
      <alignment horizontal="center" vertical="center"/>
    </xf>
    <xf numFmtId="0" fontId="82" fillId="52" borderId="0" xfId="0" applyFont="1" applyFill="1" applyAlignment="1">
      <alignment horizontal="center" vertical="center"/>
    </xf>
    <xf numFmtId="0" fontId="80" fillId="2" borderId="0" xfId="0" applyFont="1" applyFill="1" applyAlignment="1">
      <alignment horizontal="center" vertical="center"/>
    </xf>
    <xf numFmtId="0" fontId="80" fillId="2" borderId="13" xfId="0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5" fillId="52" borderId="4" xfId="0" applyFont="1" applyFill="1" applyBorder="1" applyAlignment="1">
      <alignment horizontal="center" vertical="center"/>
    </xf>
    <xf numFmtId="0" fontId="75" fillId="52" borderId="76" xfId="0" applyFont="1" applyFill="1" applyBorder="1" applyAlignment="1">
      <alignment horizontal="center" vertical="center"/>
    </xf>
    <xf numFmtId="0" fontId="75" fillId="0" borderId="15" xfId="0" applyFont="1" applyBorder="1" applyAlignment="1">
      <alignment horizontal="center" vertical="center"/>
    </xf>
    <xf numFmtId="0" fontId="74" fillId="14" borderId="64" xfId="0" applyFont="1" applyFill="1" applyBorder="1" applyAlignment="1">
      <alignment horizontal="center" vertical="center"/>
    </xf>
    <xf numFmtId="0" fontId="74" fillId="14" borderId="72" xfId="0" applyFont="1" applyFill="1" applyBorder="1" applyAlignment="1">
      <alignment horizontal="center" vertical="center"/>
    </xf>
    <xf numFmtId="166" fontId="75" fillId="15" borderId="13" xfId="0" applyNumberFormat="1" applyFont="1" applyFill="1" applyBorder="1" applyAlignment="1">
      <alignment horizontal="center" vertical="center"/>
    </xf>
    <xf numFmtId="0" fontId="74" fillId="14" borderId="56" xfId="0" applyFont="1" applyFill="1" applyBorder="1" applyAlignment="1">
      <alignment horizontal="center" vertical="center" wrapText="1"/>
    </xf>
    <xf numFmtId="0" fontId="74" fillId="14" borderId="77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165" fontId="75" fillId="2" borderId="14" xfId="0" applyNumberFormat="1" applyFont="1" applyFill="1" applyBorder="1" applyAlignment="1">
      <alignment horizontal="center" vertical="center"/>
    </xf>
    <xf numFmtId="0" fontId="83" fillId="14" borderId="56" xfId="0" applyFont="1" applyFill="1" applyBorder="1" applyAlignment="1">
      <alignment horizontal="center" vertical="center"/>
    </xf>
    <xf numFmtId="0" fontId="83" fillId="14" borderId="57" xfId="0" applyFont="1" applyFill="1" applyBorder="1" applyAlignment="1">
      <alignment horizontal="center" vertical="center"/>
    </xf>
    <xf numFmtId="165" fontId="75" fillId="54" borderId="20" xfId="0" applyNumberFormat="1" applyFont="1" applyFill="1" applyBorder="1" applyAlignment="1">
      <alignment horizontal="center" vertical="center"/>
    </xf>
    <xf numFmtId="0" fontId="76" fillId="52" borderId="73" xfId="0" applyFont="1" applyFill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4" fillId="0" borderId="72" xfId="0" applyFont="1" applyBorder="1" applyAlignment="1">
      <alignment horizontal="center" vertical="center"/>
    </xf>
    <xf numFmtId="166" fontId="76" fillId="52" borderId="73" xfId="0" applyNumberFormat="1" applyFont="1" applyFill="1" applyBorder="1" applyAlignment="1">
      <alignment horizontal="center" vertical="center"/>
    </xf>
    <xf numFmtId="0" fontId="74" fillId="0" borderId="56" xfId="0" applyFont="1" applyBorder="1" applyAlignment="1">
      <alignment horizontal="center" vertical="center"/>
    </xf>
    <xf numFmtId="0" fontId="74" fillId="0" borderId="77" xfId="0" applyFont="1" applyBorder="1" applyAlignment="1">
      <alignment horizontal="center" vertical="center"/>
    </xf>
    <xf numFmtId="0" fontId="84" fillId="6" borderId="0" xfId="0" applyFont="1" applyFill="1" applyAlignment="1">
      <alignment horizontal="center" vertical="center"/>
    </xf>
    <xf numFmtId="0" fontId="85" fillId="6" borderId="0" xfId="0" applyFont="1" applyFill="1" applyAlignment="1">
      <alignment horizontal="center" vertical="center"/>
    </xf>
    <xf numFmtId="0" fontId="70" fillId="6" borderId="4" xfId="0" applyFont="1" applyFill="1" applyBorder="1" applyAlignment="1">
      <alignment horizontal="center" vertical="center"/>
    </xf>
    <xf numFmtId="0" fontId="70" fillId="6" borderId="76" xfId="0" applyFont="1" applyFill="1" applyBorder="1" applyAlignment="1">
      <alignment horizontal="center" vertical="center"/>
    </xf>
    <xf numFmtId="0" fontId="68" fillId="14" borderId="64" xfId="0" applyFont="1" applyFill="1" applyBorder="1" applyAlignment="1">
      <alignment horizontal="center" vertical="center"/>
    </xf>
    <xf numFmtId="0" fontId="68" fillId="14" borderId="72" xfId="0" applyFont="1" applyFill="1" applyBorder="1" applyAlignment="1">
      <alignment horizontal="center" vertical="center"/>
    </xf>
    <xf numFmtId="166" fontId="75" fillId="54" borderId="13" xfId="0" applyNumberFormat="1" applyFont="1" applyFill="1" applyBorder="1" applyAlignment="1">
      <alignment horizontal="center" vertical="center"/>
    </xf>
    <xf numFmtId="165" fontId="80" fillId="0" borderId="13" xfId="0" applyNumberFormat="1" applyFont="1" applyBorder="1" applyAlignment="1">
      <alignment horizontal="center" vertical="center"/>
    </xf>
    <xf numFmtId="0" fontId="68" fillId="14" borderId="67" xfId="0" applyFont="1" applyFill="1" applyBorder="1" applyAlignment="1">
      <alignment horizontal="center" vertical="center"/>
    </xf>
    <xf numFmtId="0" fontId="68" fillId="14" borderId="20" xfId="0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76" fillId="6" borderId="73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5" fillId="6" borderId="38" xfId="0" applyFont="1" applyFill="1" applyBorder="1" applyAlignment="1">
      <alignment horizontal="center" vertical="center"/>
    </xf>
    <xf numFmtId="0" fontId="80" fillId="2" borderId="14" xfId="0" applyFont="1" applyFill="1" applyBorder="1" applyAlignment="1">
      <alignment horizontal="center" vertical="center"/>
    </xf>
    <xf numFmtId="0" fontId="80" fillId="2" borderId="45" xfId="0" applyFont="1" applyFill="1" applyBorder="1" applyAlignment="1">
      <alignment horizontal="center" vertical="center"/>
    </xf>
    <xf numFmtId="0" fontId="80" fillId="2" borderId="20" xfId="0" applyFont="1" applyFill="1" applyBorder="1" applyAlignment="1">
      <alignment horizontal="center" vertical="center"/>
    </xf>
    <xf numFmtId="165" fontId="65" fillId="0" borderId="0" xfId="0" applyNumberFormat="1" applyFont="1" applyAlignment="1">
      <alignment horizontal="center" vertical="center"/>
    </xf>
    <xf numFmtId="0" fontId="68" fillId="0" borderId="64" xfId="0" applyFont="1" applyBorder="1" applyAlignment="1">
      <alignment horizontal="center" vertical="center"/>
    </xf>
    <xf numFmtId="0" fontId="68" fillId="0" borderId="72" xfId="0" applyFont="1" applyBorder="1" applyAlignment="1">
      <alignment horizontal="center" vertical="center"/>
    </xf>
    <xf numFmtId="0" fontId="86" fillId="14" borderId="67" xfId="0" applyFont="1" applyFill="1" applyBorder="1" applyAlignment="1">
      <alignment horizontal="center" vertical="center"/>
    </xf>
    <xf numFmtId="0" fontId="86" fillId="14" borderId="20" xfId="0" applyFont="1" applyFill="1" applyBorder="1" applyAlignment="1">
      <alignment horizontal="center" vertical="center"/>
    </xf>
    <xf numFmtId="165" fontId="88" fillId="54" borderId="13" xfId="0" applyNumberFormat="1" applyFont="1" applyFill="1" applyBorder="1" applyAlignment="1">
      <alignment horizontal="center" vertical="center"/>
    </xf>
    <xf numFmtId="165" fontId="88" fillId="14" borderId="13" xfId="0" applyNumberFormat="1" applyFont="1" applyFill="1" applyBorder="1" applyAlignment="1">
      <alignment horizontal="center" vertical="center"/>
    </xf>
    <xf numFmtId="165" fontId="88" fillId="14" borderId="14" xfId="0" applyNumberFormat="1" applyFont="1" applyFill="1" applyBorder="1" applyAlignment="1">
      <alignment horizontal="center" vertical="center"/>
    </xf>
    <xf numFmtId="0" fontId="68" fillId="0" borderId="14" xfId="0" applyFont="1" applyBorder="1" applyAlignment="1">
      <alignment horizontal="center" vertical="center"/>
    </xf>
    <xf numFmtId="0" fontId="68" fillId="0" borderId="20" xfId="0" applyFont="1" applyBorder="1" applyAlignment="1">
      <alignment horizontal="center" vertical="center"/>
    </xf>
    <xf numFmtId="0" fontId="68" fillId="0" borderId="67" xfId="0" applyFont="1" applyBorder="1" applyAlignment="1">
      <alignment horizontal="center" vertical="center"/>
    </xf>
    <xf numFmtId="0" fontId="75" fillId="0" borderId="14" xfId="0" applyFont="1" applyBorder="1" applyAlignment="1">
      <alignment horizontal="center" vertical="center"/>
    </xf>
    <xf numFmtId="0" fontId="75" fillId="0" borderId="45" xfId="0" applyFont="1" applyBorder="1" applyAlignment="1">
      <alignment horizontal="center" vertical="center"/>
    </xf>
    <xf numFmtId="0" fontId="75" fillId="0" borderId="20" xfId="0" applyFont="1" applyBorder="1" applyAlignment="1">
      <alignment horizontal="center" vertical="center"/>
    </xf>
    <xf numFmtId="0" fontId="68" fillId="12" borderId="14" xfId="0" applyFont="1" applyFill="1" applyBorder="1" applyAlignment="1">
      <alignment horizontal="center" vertical="center" wrapText="1"/>
    </xf>
    <xf numFmtId="0" fontId="68" fillId="12" borderId="20" xfId="0" applyFont="1" applyFill="1" applyBorder="1" applyAlignment="1">
      <alignment horizontal="center" vertical="center" wrapText="1"/>
    </xf>
    <xf numFmtId="166" fontId="76" fillId="6" borderId="73" xfId="0" applyNumberFormat="1" applyFont="1" applyFill="1" applyBorder="1" applyAlignment="1">
      <alignment horizontal="center" vertical="center"/>
    </xf>
    <xf numFmtId="0" fontId="76" fillId="64" borderId="1" xfId="0" applyFont="1" applyFill="1" applyBorder="1" applyAlignment="1">
      <alignment horizontal="center" vertical="center"/>
    </xf>
    <xf numFmtId="0" fontId="76" fillId="64" borderId="2" xfId="0" applyFont="1" applyFill="1" applyBorder="1" applyAlignment="1">
      <alignment horizontal="center" vertical="center"/>
    </xf>
    <xf numFmtId="0" fontId="76" fillId="64" borderId="3" xfId="0" applyFont="1" applyFill="1" applyBorder="1" applyAlignment="1">
      <alignment horizontal="center" vertical="center"/>
    </xf>
    <xf numFmtId="0" fontId="77" fillId="59" borderId="38" xfId="0" applyFont="1" applyFill="1" applyBorder="1" applyAlignment="1">
      <alignment horizontal="center" vertical="center"/>
    </xf>
    <xf numFmtId="0" fontId="75" fillId="6" borderId="1" xfId="0" applyFont="1" applyFill="1" applyBorder="1" applyAlignment="1">
      <alignment horizontal="center" vertical="center"/>
    </xf>
    <xf numFmtId="0" fontId="75" fillId="6" borderId="75" xfId="0" applyFont="1" applyFill="1" applyBorder="1" applyAlignment="1">
      <alignment horizontal="center" vertical="center"/>
    </xf>
    <xf numFmtId="0" fontId="75" fillId="6" borderId="4" xfId="0" applyFont="1" applyFill="1" applyBorder="1" applyAlignment="1">
      <alignment horizontal="center" vertical="center"/>
    </xf>
    <xf numFmtId="0" fontId="75" fillId="6" borderId="76" xfId="0" applyFont="1" applyFill="1" applyBorder="1" applyAlignment="1">
      <alignment horizontal="center" vertical="center"/>
    </xf>
    <xf numFmtId="0" fontId="75" fillId="65" borderId="13" xfId="0" applyFont="1" applyFill="1" applyBorder="1" applyAlignment="1">
      <alignment horizontal="center" vertical="center"/>
    </xf>
    <xf numFmtId="0" fontId="75" fillId="65" borderId="14" xfId="0" applyFont="1" applyFill="1" applyBorder="1" applyAlignment="1">
      <alignment horizontal="center" vertical="center"/>
    </xf>
    <xf numFmtId="0" fontId="75" fillId="65" borderId="21" xfId="0" applyFont="1" applyFill="1" applyBorder="1" applyAlignment="1">
      <alignment horizontal="center" vertical="center"/>
    </xf>
    <xf numFmtId="0" fontId="75" fillId="65" borderId="22" xfId="0" applyFont="1" applyFill="1" applyBorder="1" applyAlignment="1">
      <alignment horizontal="center" vertical="center"/>
    </xf>
    <xf numFmtId="166" fontId="75" fillId="66" borderId="20" xfId="0" applyNumberFormat="1" applyFont="1" applyFill="1" applyBorder="1" applyAlignment="1">
      <alignment horizontal="center" vertical="center"/>
    </xf>
    <xf numFmtId="0" fontId="89" fillId="67" borderId="0" xfId="0" applyFont="1" applyFill="1" applyAlignment="1">
      <alignment horizontal="center" vertical="center"/>
    </xf>
    <xf numFmtId="0" fontId="89" fillId="67" borderId="38" xfId="0" applyFont="1" applyFill="1" applyBorder="1" applyAlignment="1">
      <alignment horizontal="center" vertical="center"/>
    </xf>
    <xf numFmtId="0" fontId="70" fillId="67" borderId="78" xfId="0" applyFont="1" applyFill="1" applyBorder="1" applyAlignment="1">
      <alignment horizontal="center" vertical="center"/>
    </xf>
    <xf numFmtId="0" fontId="70" fillId="67" borderId="55" xfId="0" applyFont="1" applyFill="1" applyBorder="1" applyAlignment="1">
      <alignment horizontal="center" vertical="center"/>
    </xf>
    <xf numFmtId="0" fontId="68" fillId="0" borderId="56" xfId="0" applyFont="1" applyBorder="1" applyAlignment="1">
      <alignment horizontal="center" vertical="center"/>
    </xf>
    <xf numFmtId="0" fontId="68" fillId="0" borderId="77" xfId="0" applyFont="1" applyBorder="1" applyAlignment="1">
      <alignment horizontal="center" vertical="center"/>
    </xf>
    <xf numFmtId="0" fontId="68" fillId="14" borderId="56" xfId="0" applyFont="1" applyFill="1" applyBorder="1" applyAlignment="1">
      <alignment horizontal="center" vertical="center"/>
    </xf>
    <xf numFmtId="0" fontId="68" fillId="14" borderId="77" xfId="0" applyFont="1" applyFill="1" applyBorder="1" applyAlignment="1">
      <alignment horizontal="center" vertical="center"/>
    </xf>
    <xf numFmtId="0" fontId="76" fillId="67" borderId="73" xfId="0" applyFont="1" applyFill="1" applyBorder="1" applyAlignment="1">
      <alignment horizontal="center" vertical="center"/>
    </xf>
    <xf numFmtId="0" fontId="7" fillId="68" borderId="0" xfId="0" applyFont="1" applyFill="1" applyAlignment="1">
      <alignment vertical="center"/>
    </xf>
    <xf numFmtId="14" fontId="7" fillId="68" borderId="0" xfId="0" applyNumberFormat="1" applyFont="1" applyFill="1" applyAlignment="1">
      <alignment vertical="center"/>
    </xf>
    <xf numFmtId="0" fontId="7" fillId="68" borderId="0" xfId="0" applyFont="1" applyFill="1" applyAlignment="1">
      <alignment horizontal="center" vertical="center" wrapText="1"/>
    </xf>
    <xf numFmtId="0" fontId="0" fillId="2" borderId="0" xfId="0" applyFill="1"/>
    <xf numFmtId="0" fontId="90" fillId="0" borderId="0" xfId="0" applyFont="1" applyAlignment="1">
      <alignment horizontal="center"/>
    </xf>
    <xf numFmtId="0" fontId="7" fillId="2" borderId="56" xfId="0" applyFont="1" applyFill="1" applyBorder="1" applyAlignment="1">
      <alignment horizontal="center" vertical="center" wrapText="1"/>
    </xf>
    <xf numFmtId="0" fontId="7" fillId="2" borderId="63" xfId="0" applyFont="1" applyFill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center" wrapText="1"/>
    </xf>
    <xf numFmtId="0" fontId="2" fillId="68" borderId="28" xfId="0" applyFont="1" applyFill="1" applyBorder="1" applyAlignment="1">
      <alignment horizontal="center" vertical="center" wrapText="1"/>
    </xf>
    <xf numFmtId="0" fontId="2" fillId="68" borderId="29" xfId="0" applyFont="1" applyFill="1" applyBorder="1" applyAlignment="1">
      <alignment horizontal="center" vertical="center" wrapText="1"/>
    </xf>
    <xf numFmtId="0" fontId="2" fillId="68" borderId="3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8" fillId="68" borderId="10" xfId="0" applyFont="1" applyFill="1" applyBorder="1" applyAlignment="1">
      <alignment horizontal="center" vertical="center"/>
    </xf>
    <xf numFmtId="0" fontId="8" fillId="68" borderId="11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91" fillId="14" borderId="15" xfId="0" applyFont="1" applyFill="1" applyBorder="1" applyAlignment="1">
      <alignment horizontal="center" vertical="center"/>
    </xf>
    <xf numFmtId="0" fontId="91" fillId="2" borderId="13" xfId="0" applyFont="1" applyFill="1" applyBorder="1" applyAlignment="1">
      <alignment horizontal="center" vertical="center"/>
    </xf>
    <xf numFmtId="0" fontId="91" fillId="14" borderId="13" xfId="0" applyFont="1" applyFill="1" applyBorder="1" applyAlignment="1">
      <alignment horizontal="center" vertical="center"/>
    </xf>
    <xf numFmtId="165" fontId="18" fillId="14" borderId="13" xfId="0" applyNumberFormat="1" applyFont="1" applyFill="1" applyBorder="1" applyAlignment="1">
      <alignment horizontal="center" vertical="center"/>
    </xf>
    <xf numFmtId="0" fontId="91" fillId="0" borderId="13" xfId="0" applyFont="1" applyBorder="1" applyAlignment="1">
      <alignment horizontal="center" vertical="center"/>
    </xf>
    <xf numFmtId="0" fontId="92" fillId="2" borderId="13" xfId="0" applyFont="1" applyFill="1" applyBorder="1" applyAlignment="1">
      <alignment horizontal="center" vertical="center"/>
    </xf>
    <xf numFmtId="0" fontId="91" fillId="2" borderId="0" xfId="0" applyFont="1" applyFill="1" applyAlignment="1">
      <alignment horizontal="center" vertical="center"/>
    </xf>
    <xf numFmtId="0" fontId="91" fillId="68" borderId="13" xfId="0" applyFont="1" applyFill="1" applyBorder="1" applyAlignment="1">
      <alignment horizontal="center" vertical="center"/>
    </xf>
    <xf numFmtId="0" fontId="8" fillId="68" borderId="7" xfId="0" applyFont="1" applyFill="1" applyBorder="1" applyAlignment="1">
      <alignment horizontal="center" vertical="center"/>
    </xf>
    <xf numFmtId="0" fontId="8" fillId="68" borderId="8" xfId="0" applyFont="1" applyFill="1" applyBorder="1" applyAlignment="1">
      <alignment horizontal="center" vertical="center"/>
    </xf>
    <xf numFmtId="165" fontId="91" fillId="0" borderId="13" xfId="0" applyNumberFormat="1" applyFont="1" applyBorder="1" applyAlignment="1">
      <alignment horizontal="center" vertical="center"/>
    </xf>
    <xf numFmtId="0" fontId="47" fillId="2" borderId="13" xfId="0" applyFont="1" applyFill="1" applyBorder="1" applyAlignment="1">
      <alignment horizontal="center" vertical="center"/>
    </xf>
    <xf numFmtId="0" fontId="47" fillId="2" borderId="13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71" xfId="0" applyFont="1" applyFill="1" applyBorder="1" applyAlignment="1">
      <alignment vertical="center" wrapText="1"/>
    </xf>
    <xf numFmtId="165" fontId="91" fillId="2" borderId="13" xfId="0" applyNumberFormat="1" applyFont="1" applyFill="1" applyBorder="1" applyAlignment="1">
      <alignment horizontal="center" vertical="center"/>
    </xf>
    <xf numFmtId="1" fontId="91" fillId="14" borderId="13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0" fontId="91" fillId="14" borderId="0" xfId="0" applyFont="1" applyFill="1" applyAlignment="1">
      <alignment horizontal="center" vertical="center"/>
    </xf>
    <xf numFmtId="0" fontId="91" fillId="14" borderId="13" xfId="1" applyNumberFormat="1" applyFont="1" applyFill="1" applyBorder="1" applyAlignment="1">
      <alignment horizontal="center" vertical="center"/>
    </xf>
    <xf numFmtId="0" fontId="2" fillId="68" borderId="79" xfId="0" applyFont="1" applyFill="1" applyBorder="1" applyAlignment="1">
      <alignment horizontal="center" vertical="center" wrapText="1"/>
    </xf>
    <xf numFmtId="0" fontId="2" fillId="68" borderId="37" xfId="0" applyFont="1" applyFill="1" applyBorder="1" applyAlignment="1">
      <alignment horizontal="center" vertical="center" wrapText="1"/>
    </xf>
    <xf numFmtId="0" fontId="2" fillId="68" borderId="8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8" fillId="68" borderId="13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91" fillId="68" borderId="20" xfId="0" applyFont="1" applyFill="1" applyBorder="1" applyAlignment="1">
      <alignment horizontal="center" vertical="center"/>
    </xf>
    <xf numFmtId="0" fontId="2" fillId="68" borderId="56" xfId="0" applyFont="1" applyFill="1" applyBorder="1" applyAlignment="1">
      <alignment horizontal="center" vertical="center" wrapText="1"/>
    </xf>
    <xf numFmtId="0" fontId="2" fillId="68" borderId="6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68" borderId="4" xfId="0" applyFont="1" applyFill="1" applyBorder="1" applyAlignment="1">
      <alignment horizontal="center" vertical="center" wrapText="1"/>
    </xf>
    <xf numFmtId="0" fontId="2" fillId="68" borderId="5" xfId="0" applyFont="1" applyFill="1" applyBorder="1" applyAlignment="1">
      <alignment horizontal="center" vertical="center" wrapText="1"/>
    </xf>
    <xf numFmtId="0" fontId="2" fillId="68" borderId="6" xfId="0" applyFont="1" applyFill="1" applyBorder="1" applyAlignment="1">
      <alignment horizontal="center" vertical="center" wrapText="1"/>
    </xf>
    <xf numFmtId="0" fontId="14" fillId="14" borderId="13" xfId="0" applyFont="1" applyFill="1" applyBorder="1" applyAlignment="1">
      <alignment horizontal="center" vertical="center"/>
    </xf>
    <xf numFmtId="0" fontId="91" fillId="2" borderId="15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0" fontId="91" fillId="2" borderId="36" xfId="0" applyFont="1" applyFill="1" applyBorder="1" applyAlignment="1">
      <alignment horizontal="center" vertical="center"/>
    </xf>
    <xf numFmtId="0" fontId="14" fillId="2" borderId="46" xfId="0" applyFont="1" applyFill="1" applyBorder="1" applyAlignment="1">
      <alignment horizontal="center" vertical="center"/>
    </xf>
    <xf numFmtId="0" fontId="91" fillId="68" borderId="15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91" fillId="2" borderId="5" xfId="0" applyFont="1" applyFill="1" applyBorder="1" applyAlignment="1">
      <alignment horizontal="center" vertical="center"/>
    </xf>
    <xf numFmtId="0" fontId="2" fillId="68" borderId="57" xfId="0" applyFont="1" applyFill="1" applyBorder="1" applyAlignment="1">
      <alignment horizontal="center" vertical="center" wrapText="1"/>
    </xf>
    <xf numFmtId="165" fontId="18" fillId="68" borderId="13" xfId="0" applyNumberFormat="1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A1F47-9B9C-4FB9-A313-8D05249E099F}">
  <sheetPr codeName="Hoja3">
    <pageSetUpPr fitToPage="1"/>
  </sheetPr>
  <dimension ref="A1:AA82"/>
  <sheetViews>
    <sheetView topLeftCell="A30" zoomScaleNormal="100" workbookViewId="0">
      <selection activeCell="R37" sqref="R37"/>
    </sheetView>
  </sheetViews>
  <sheetFormatPr baseColWidth="10" defaultColWidth="13" defaultRowHeight="20"/>
  <cols>
    <col min="1" max="1" width="3.1640625" style="1" customWidth="1"/>
    <col min="2" max="2" width="25.5" style="1" customWidth="1"/>
    <col min="3" max="11" width="9.33203125" style="1" customWidth="1"/>
    <col min="12" max="12" width="11.6640625" style="1" customWidth="1"/>
    <col min="13" max="19" width="9.33203125" style="1" customWidth="1"/>
    <col min="20" max="20" width="7.6640625" style="1" customWidth="1"/>
    <col min="21" max="21" width="24" style="2" customWidth="1"/>
    <col min="22" max="22" width="13" style="1"/>
    <col min="23" max="23" width="22.33203125" style="1" bestFit="1" customWidth="1"/>
    <col min="24" max="24" width="13" style="1"/>
    <col min="25" max="25" width="16.83203125" style="1" bestFit="1" customWidth="1"/>
    <col min="26" max="26" width="16.33203125" style="1" bestFit="1" customWidth="1"/>
    <col min="27" max="16384" width="13" style="1"/>
  </cols>
  <sheetData>
    <row r="1" spans="2:27">
      <c r="B1" s="84" t="s">
        <v>0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  <c r="O1" s="90">
        <f ca="1">TODAY()</f>
        <v>46129</v>
      </c>
      <c r="P1" s="91"/>
      <c r="Q1" s="91"/>
      <c r="R1" s="91"/>
      <c r="S1" s="91"/>
      <c r="T1" s="92"/>
    </row>
    <row r="2" spans="2:27" ht="21" thickBot="1"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  <c r="O2" s="93"/>
      <c r="P2" s="93"/>
      <c r="Q2" s="93"/>
      <c r="R2" s="93"/>
      <c r="S2" s="93"/>
      <c r="T2" s="94"/>
    </row>
    <row r="3" spans="2:27" ht="63" customHeight="1" thickBot="1">
      <c r="O3" s="1" t="s">
        <v>1</v>
      </c>
      <c r="U3" s="3"/>
    </row>
    <row r="4" spans="2:27" ht="36.75" customHeight="1" thickBot="1">
      <c r="C4" s="72" t="s">
        <v>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4"/>
      <c r="X4" s="1" t="s">
        <v>1</v>
      </c>
      <c r="AA4" s="1" t="s">
        <v>1</v>
      </c>
    </row>
    <row r="5" spans="2:27" ht="30" customHeight="1" thickBot="1">
      <c r="C5" s="75" t="s">
        <v>3</v>
      </c>
      <c r="D5" s="76"/>
      <c r="E5" s="76"/>
      <c r="F5" s="76"/>
      <c r="G5" s="76"/>
      <c r="H5" s="76"/>
      <c r="I5" s="76"/>
      <c r="J5" s="76"/>
      <c r="K5" s="77"/>
      <c r="L5" s="78" t="s">
        <v>4</v>
      </c>
      <c r="M5" s="79"/>
      <c r="N5" s="79"/>
      <c r="O5" s="79"/>
      <c r="P5" s="79"/>
      <c r="Q5" s="79"/>
      <c r="R5" s="79"/>
      <c r="S5" s="79"/>
      <c r="T5" s="80"/>
      <c r="W5" s="4" t="s">
        <v>5</v>
      </c>
      <c r="X5" s="4" t="s">
        <v>6</v>
      </c>
      <c r="Y5" s="4" t="s">
        <v>7</v>
      </c>
      <c r="Z5" s="4" t="s">
        <v>8</v>
      </c>
    </row>
    <row r="6" spans="2:27" ht="21.75" customHeight="1" thickBot="1">
      <c r="B6" s="5" t="s">
        <v>9</v>
      </c>
      <c r="C6" s="6" t="s">
        <v>10</v>
      </c>
      <c r="D6" s="7" t="s">
        <v>11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8" t="s">
        <v>10</v>
      </c>
      <c r="M6" s="8" t="s">
        <v>11</v>
      </c>
      <c r="N6" s="8" t="s">
        <v>12</v>
      </c>
      <c r="O6" s="8" t="s">
        <v>13</v>
      </c>
      <c r="P6" s="8" t="s">
        <v>14</v>
      </c>
      <c r="Q6" s="8" t="s">
        <v>15</v>
      </c>
      <c r="R6" s="8" t="s">
        <v>16</v>
      </c>
      <c r="S6" s="8" t="s">
        <v>17</v>
      </c>
      <c r="T6" s="9" t="s">
        <v>18</v>
      </c>
      <c r="W6" s="10" t="s">
        <v>19</v>
      </c>
      <c r="X6" s="4">
        <v>334</v>
      </c>
      <c r="Y6" s="4">
        <f>X6*3.5</f>
        <v>1169</v>
      </c>
      <c r="Z6" s="4">
        <f>X6*2.5</f>
        <v>835</v>
      </c>
    </row>
    <row r="7" spans="2:27">
      <c r="B7" s="58" t="s">
        <v>19</v>
      </c>
      <c r="C7" s="37">
        <f>40+10+24+68+50+31+69-1-43-1-1-2-1+180-2-1-1-1-1-2-1-1-1-1-1-1-1-2-1-1+1-2-1-1-1-1-3-1-2-1-3-2-5-20-1-2-2-1-5+1-3-4+50-1-10-1-7-1+50-1-1-30-1-5-6-5-1-2-1-4-2-1-1-3-2-1-3-1-4-1-1-1-1-1-2-2-3-1-1-2-1-2-5-3-1-1-1-1-1-1-6-1-2-2-1-6+81-7-1-1-1-1-1-3+40-1-1-3-1-1-2-1-2-1-5-50-3-1-200-2-2-2-1-2-1-1-1-1-6-1-4-2-6+50-1-1-2-3-1-1-1-1-1-1-2-1-1-2-1-1-2-1-1+167-1-1+1-1-2-1-39-1-5-1-2-1-1-1+1-7</f>
        <v>231</v>
      </c>
      <c r="D7" s="37">
        <f>100*7+108+20+50-1-3-1-1-2-2-145-1-1-1-1-1-5-2-1-1-1-2-6-1-1-5+360-9-1-9-3-1-1-1-15-2-2-6-1-1-1-1-1-1-1-1-4-1-1-2-1-2-1-4-7-1-1-7-1-2-1-1-1-3-2-1-9-1-3-1-1-2-1-1-2-8-3-1-10-1-25-1+1-2-1-1-3-2-8-2-1-1-1-1-1-2-2-1-1-34-1-3-1-13-13-2-1-1-1-1-2-3-3-2-5-3-1-1-2-10-3-50-3-2-1-4-1-1-3-1-1-1-3-6-1-1+200-7+1-1-22-1-2-2-5-1-1-1-5-2-1-40+100-1-40-10-5-1-2-3-3-1-2-1-1-1-15-1+149-6-7-2-5-3+3-3-1+2-1+440-50+1+1-1-1-1-5-10-4-1-1-1-6-18-2-1-28-1-5-1-4-3-1-1-1-7-3-7-4-2+150-1-6-1-2-3-1-1-1-1-12-2-2-1-42-1-39-20-3-1-2-8+55-1-4-4-1-1-2-4-1-7-3-1-3-1-3-1-26-10-2-1-3-1-1-1-1-1-6-10-1-1-2-3-12-11-10-4-1-1-3-6-1-25-2-3-1-5-8-2-3-1-1+303-5-1-7-4-3-1-4-1-4-2-3-1-1+1-1-1-1-1-10-3-5+100-4-5-1-1-1-1-1-6-4-12-1-1-1-2-1-3-1-4-1-2-1-1-1+1-1-3-2-1-7-84-7-1-2-2-2-336-96-1-2-2-143-5-1-5-2-14-4-1-1-2-2-3-1-1-7-5-4-1-1-1-2-7-5-5-1-2-2-6-2-1-1-1+80-5-2-1+2-1-1+84-8-3-1-3-1-2-21-1-6-1-2-1-10-200-7-4-1-15-1-15-2-1-4-1-4-5-2-1-6-3-3-1-2-2-2-1-1-3-1-5-4-7-1+1-1-2-12-7-6-1-2-2-1-4-4-1-1-3-1+1-2-1-4-2-55-1-5-1-4-1-1-1-1-2-2-3-8-1-1-1-2-1-7+302-2-1-2-1-3-3-1-3-1-2+1-9</f>
        <v>451</v>
      </c>
      <c r="E7" s="37">
        <f>100*5+2+50+44+100*3+109+66-3-2-3-1-1-3-1-3-61-1-2-1-7-1-1-1-2-2-4-1-3-1-5-6-4-4-15-1-2-3-2-1-27-1-1-2-2-2-6-6-3--1-3-1-4-6-1-5-3-1-1-1-1+1+360-2-1-1-8-2-2-5-1-14-2-1-2-1-2-1-1-3-1-1-1-1-3+497-2-2-1-2-1-1-3-1-1-6-1-10-1-4-15-1-1-25+1-1-1-1-2-2-1+1-3-1-6-2-1-1-10-4-11-1-10-1-2-1-52-1-1-3-3-20-24-1-4-5-2-2-1-2-1-1-5-4-1-10-3-6-1-1-1-15-3-50-3-2-2-5-2-2+100-1-1-2-1-6-2-1-7-8+1-1-1-2-1-1-1-28-3-1-2-13-1-1-2-5-2-2-2-2-5-4-2-12-2-2-6-20-3-10-1-2-8-1-2-1-1-2-4-1-15-2-1-4+201-6-2-1-1-2-2-1-1-3-3+2-4-1-50+2+2-2-4-10-10-4-8-4-1-1-12-6-5-13-1-34-1-4-4-1-2-1-8-1-1-25-4-7-2+97-1-1-21-3-70-8-3-2-1-1-10-1-2-1-1-2-62-1-1-1-1+1-39-19-2-1-1-3-2-4-1-1-8-2+162-2-1-3-1-1-10-1+145+303-2-1-3-1-4-1-2-1-16-2-1-2-65-5-1-2-2-2-4-1-1-12-1-23-6-1-2-2-1-6-22-8-25-1-3-1-3-14-1-2-3-6-5-3-5-2-1-5-1-10-1-4-3-2-15-1-2-5-3-1-1-5-1-1-8-6-2-8-1-3-1-5+199-1-11-16-2-4-1-3-1-5-6-1-21-1-5-4-11-3-1-2-1-2-1-5-1-5-4-5-1-2-1-7-1-1-2-1-2-1-39-5-1-103-2-13-2-1-1-412-246-2-1-123-19-1-1-1-2-2-1-1-8-1-7-1-2-3-1-1-2-9-2-2-1-22-5-3-4-1-1+419-5-2-1-12-1-6-1-1-1-43-3-1-6-3-1-4-4-2-17-2-3-16-2-4-15-2-7-8-2-1-10-1-6-1-1-28-1-3-10-2-2-3-4-2-1-2-8-2-3-2-1-1-2-3-1-18-3-1-1-5-2-1-4-2-1+1-2-5-6-10-1-1+1-1-11-2-3-2-1+9-5-1-2-4-2-58-2-1-3-4-2-2-3-2-8-1-2-34-1+413+344-2-4-1-1-3-3-8-1-2-4-1-7-1-2+1-9</f>
        <v>800</v>
      </c>
      <c r="F7" s="37">
        <f>100*5+110+40+82+25+99+36+100+59+100*6+10+14+105+15-2-5-1-1-24-5-1-1-2-4-2-1-3-4-5-1-3-10-3-15-1-1-2-21-4-1-1-1-1-2-1-6-1-3-1-4-1-1-1-3-9-6-1-2-1-2-2+149-1-1-2-1-1-12-5-1-2-2-4-1-1-1-1-1+50-2-1-1-3-3-1-2-1-4-3-3-20-1-25+1-2+2-1-1-3-3-1-1-1-1-2-1-6-4-2-6-1-2-1-32-1-1-7-5-1-1-1-1-2-5-5-1-10-2-2-6-1-10-50-2-3-1+75-3-1-6+147-6-1+1-1-50-1-4-8-1-1-1-9+50-20-1-10-1-1-2-5-50-2-4-2-1-1-1-2+201+75+1-1-2-1-1-1-1-6-1-1-1-50+2-1-1-10-10-1-14-1-1-8-5-12-19-2-1-1-3-2-1-10-10-50-8-1-2-1+101-1-4-22-4-70-1-3-1-2-10-2-40-1-1-1-1-19-11-1-2-1-2-2-10-2+37-1-1-1-10+301-3-6-3-1-4-1-1-21-3-1-1-1-47-5-1-4-12-1-1-30-2-2-1-3-16-6-30-1-1-1-2-3-1-8-1-4-4-7-6-5-1-3-23-1-5-4-10-2-2-4-1-6-6-2-1-1-1-4-3-5-6-27-5-1-1-3-1-9-5-2-1-4-2-7-5-1+1-1-1-1-1-4-2-5-1-1-3-1-1-4-10-111-13-1-3-1-1-1-3-1-444-226-5-1-2-2-8-1-1-2-2-2-6-1-1-7-1-5-1-1-11-1-4-1-2-2-1-10-1-4-3-5-3-2-1-1+2-2+210-5-1-1-1-2-43-3-3-3-1-6-3-3-8-4-2-4-1-10-4-11-2-4-15-1-14-3-2-2-2-1-1-20-1-7-3-6-1-1-4-2-2-1-2-2-4-6-1-8-2-1-1-5-3-1-4-1-2-1+2-1-3-5-1-1-4-1+797-1-10-1-2-1+12-1-1-1-1-3-55-1-1-4-3-1-9-10-2-1-1-210-1-1+199-1-6-1-1-1-1-7-2-1-1+1-10</f>
        <v>1091</v>
      </c>
      <c r="G7" s="37">
        <f>100+50*4+100+80+21+86+90+23-1-4-1-1-1-2-3-1-2-4-3-3-1-11-3-1-2-1-1-1-1-5-5-2-1+20-1-1+50-2-1-1-3-1-1-2-1-1-1-1-1-1-2+50-1-5-10+198-1-1+1-2-1-1-4-1-1-1-4-1-1-1-16-1-2-1-1+2+1-2-1-4-1-5-2-3-3-4-10-30-1-1-1-3+100-3+1-10-1-4-1-1-5-1-10-5-1-1-15+50-3-6-3-3-1+1-50+1+2-1-1-5-7-3-5-5-12-2-4-1-2-3-1-9-2-15-2-1-11-2-1-32-1-1-2-2-10-11-4-2-1-15-3-2-2-6-2-2-1-1-5+159-3-1-1-1-1-1-19-2-3-12-5-1-1-1-1-1-2-2-3-15-4-20-2-1-4-2-7-1-3-1-1-1-3-1-3-2-2-3+39-2-6-1-2-1-15-2-1-1-5-1-2-3-2-1-1-2-4-1-2-26-10-49-1-7-1-1-3-4-196-90-4-7-1-1-1-7-4-1-11-2-2-4-9-1+129-2-1-1+4-1-3-1-1-2-18-18-1-3-1-1-4-51-2-1-1-4-3-3-3-1-4-1-2-3-1-6-5-2-2-1-1-4-2-5-1-1+1-1-1-1-1-1-1-1-3-2-5-2-1+25-1-1-1-2-2-1-32-3-1-2-1-4-1-5-1-2-1-8+299+199-1-9+1-2</f>
        <v>595</v>
      </c>
      <c r="H7" s="37">
        <f>53+21+32+35+89+100+25+41+81-1-1-22-1-2-1-1-1-1-2-2-1-1-1-1-3-4-1-1-1+49-1-5+1-1-1-1-8-1-2-1-2-1-20+50-1-1-1-1-3-1-4-1-1-1-1+1-50-2-1-5-1-9-1-2-3-7-1-2-2-1-3-50-2-1-1-10-1-1+79-1-3-2-2-1-2-1-4-1-2-10-1-4-1-1-4+50-1-1-2+20-3-1-1-2-2-1-1-1-4-1-2-1-33-1-1-3-1-4-132-5-1-1-3-5-1-2-1--2-1-1-2-2+50-2-2-2-1-1-3-1-1-1-3-1-2-1-5+1-1-1-2-1-1-1-1-25-1-1-2-1+1-3-1-2+198-1-1-1+1</f>
        <v>378</v>
      </c>
      <c r="I7" s="37">
        <f>9-1-1-1-1+1-1-1-2-2+25+98+15+17-2-1-4+199-1+1-30-2-1-1-3-3-1-1-1-3-6-3+238-10-1-1-1-3-1-3-1-1-1-2-1-1-1-1-1-1-2-1-35-3-140-1-1-1-2-4-1-4-1-1-1-1-6-2-1+1-1-1-16-1-2</f>
        <v>271</v>
      </c>
      <c r="J7" s="37">
        <f>10+30+3+27-4-1-1-1-1-20-2+1-10-6-1-3-1-1-1-1-1-1-1-1-1+20-2-5-2-1-2-2-2-4-1-2-1-1-1-1-1+1-5</f>
        <v>0</v>
      </c>
      <c r="K7" s="64">
        <f>5+40+34-7-1-1+50-1-1-1-1+1-10-2-1-1-3-1-1+1-18</f>
        <v>81</v>
      </c>
      <c r="L7" s="65">
        <f>49+80+80+78+90+80+85+90+50+90+50+27-42-10-1-2-1-1-1-1-1-1-1-1-7-2+70+227-2-1-1-4-2+99+1-5-5-1-1-1+150-1-1-2-5-4-20-2-1-1+134+1-5-1-2-4-10-1-80-1-3+1-2-3-2-10-1-1-27-20-10-1-1-2-1-1-1-1-5-1-2-1-1-1-5+326-1-16-1-2-4-1-3-6-1-1-1-4-1-1-1-1-1-1-9-5-1-1-5-3-2-4-3-2-1+1-1-2-10-10-66-1-1-264-1-1-1-1-1+133-1-1-2-4-1-1-1-1-1+1-1-1-5-1-1-56-1-1-1-1-2-3-1-5-1-1-4-1-1+4-1-1-10-3-1+1-2</f>
        <v>1097</v>
      </c>
      <c r="M7" s="41">
        <f>80+80+20+59+80+80*5+75+80+80+48+80+80+80+80+80+60+70+83+80+80+1-2-15-2+33-4-3-1-2-21-75-2-2-3-13-1-1-6-1-2-4-2-4-15-4-3-1-19-25-1-2-1-9-3-2+15-1-15-3-4-1-5-1-1-5-12-1-1-1-2-4-1-1-2-4-4-1-1-10-15-1-3-1-1-1-3-1-40+130+422-2-2-1-2+144-5-5-6-2-20-1-2-5-1-2-7-2-40-1-9-1-3-25-2-1-1+1-5-1-2-5-5-2-27-1-10-4-3-3-1-1-195-2-1-4-5-3-1-1-1-2-61+110-6-6+5-3-1-5-1-5-2-2-1-2-2+199-1-20-10-1-1-2-5-11-12-4+301-10-3-50-3-4-5-1+327-1-2-1-1-10-7+1-2-20-8-2-6-2-5-20-1-9+1-5-3-16-3+50-1-10-1-1-6-1-1-2-6-1-2-1-1-5-10-1-1-80-1-2-4-1-1-1-3-11-1+200-1-2-1-1-1-1-3-30-1-1-10-4-4-20-2-1-12-6+1-10-1-8-1-2-1-185-30-6-4-3-246-4+269-2-1-15-1-36-15-1-70-1-10-4-2-1-1-18-2-60-3-3-1-4-1-25-26-16-13-13-3-4-1-1-1-3-1-41-2+269-2-2-1-1-1-2+501-1-2-2-3-2-1-2-1-16-6-1-2-2-6-1-5-1-14-2-1-12-1-2-1-3-3-1-5-1-2-25-1-2-5-1+500-10-5-1-10-6-15-5+5-1-4-20-5-1-2-2-1-4-3-3-50-1+298-3-1-2-1-7-1-1-1-1-5-1-6-1-1-5-1-12-1-6-1-2-1-3-3-1-1-4-4-2-18-1-2-3-3-3-1-1-2-2-4-3-3-1-2-2-3-5-2-1-1-2-1-5-42-1-1-118-1-3-2-472-5-1-2-10-328-4-5+1-6-2-1-1-3-1-1-7-1-2-14-174-2-35-6-1-1-1-2-1-5+208-2-2-1-2-1-20-1-2+2-1-1-1-2-2-3-1-4-1-22-6-1-4-1-33-5-2-5-2-3-13-2-1-2-4-3-2-1-2-2-33-4-3+2-2-2-14-2-2-1-2-5-4-3-5-2-2-2-1-1+1-8-8-1-1-1-12-15-1-1-4-3-3-1-1+14-1-1-1-1-32-1-1-1-1-2-1-3-6-15-5-2-3-2-1-21-2-1-2-4-1-1-2-1-1+1-2-13</f>
        <v>1282</v>
      </c>
      <c r="N7" s="41">
        <f>80+65+56+80+80+80+54+80+80+80+80+50+80+38+80+80+80+80+80+80+80+80+80+80+80*9+59+80*7+20+60+75+80*6+80*4+75+26+70+80+80+2+80*4+2+70-1-15-1+5-1-1-1-3-2-8-63-69-3-2-2-2-1-9-1-1-8-1-1-9-1-23-6-1-2-1+1-15-15-12-3-20-1-1-3-1-2-2-2-1-1-1-6-3-2-4+27-12-1-3-2-15-30-8-10-1-2-3-15-2-1-11-38-2-1-1-4-5+20-1-1-3-1-4-4+1-1-10-1-5-24-5-2-1-3-3-2-1-28-15-13-10-12-1-1-20-27-1-4-1-58+100+414+96-1-1-1-1-1-1-4-2-1-1+50-1-1-1-6-12-2-3-1-13-2-30-1-1-3-19-1-1-1-6-2-8-3-6-60-1+244-1-15-8-6-25-1+1-1-2-4+420-24-1-5-5-10-1-15-1-60-4-1-10-1-1-5-19-14-5-1-3-1-1-15-6-4-1-264-11-1-10-2-2-4-2-8-7-1-1-4-162-1-4-1-9-1-39-34+1+2-1-1-3-3-1-3-3-3-12+4-18-1-1-2-1-4-4-2-3-2-20-1-1-10-1-1-1-6-5-14-10-1-6-4-1-1-15-6-1-50-10-4-5-3-15-5-17-1-2-1-1-1-1-2-1-3-2-1-1-18+99-17-1-1-8+-2-30-2-16-10-12-2-4-5-50-4-19-4-3-1+1-5-4-5-1-2-4-1-1-3-17-2-2-1+198+376-1-7-3-10-2-1-8-6-2-2-6-7+23+398-1-1-2-6-2-1-1-1-30-1-1-1-80-3-6-3-2-2-1-4-3-1-1-3-11-2-3-9-1-1-4-1-9-1-1-2-1-4-35-12-1-1-20-1-6-4-29-20-2-1-1-30-2+1+4+700-10-41-2-4-3-6-1-1-2-394-1-30-9-7-4-11-2-382-6-3-4-19-3-5-115-2-1-45-3-70-4-29-2-3-1-2-4-1-1-1-21-4-2-2-1-90-8-1-1-1-22-2-2-1-3-4-32-3-97-33-14-14-3-2-1-2-2-2-4-5-87-4-3-1-2-1-1-1-1-10-2-8-1+799-10-5-4-3-2-1-5-21-11-1-47-3-1-1+600-16-1-4-10-2-1-2-14-3-4--1-1+1-72-2-2-1-1+679-1-7-1-2-1-1-2-2-2-20-2-19+298-1-25-1-1-13-1-6-2-1-1-1-1-2-20-1-16-2-1-1-4-1-8-1-16-6-42+1-2-1-4-7-3-4-4-10-1-2-4-1-3-6-1-1-80-4-1-1+1-1-7-2-3-4-12-5-1-15-20-1-1-6-1-3-1-2-4-1-32-1-3-6-20-1-1-4-6-3-2-1-1-6-2-7-20-4-4-6-1-13-4-2-4-1+1-2-1-2-4-10-11-18-1-5-1-1-3-4-30-2-1+115-1-1-1-8-10-1-3-1-1-1-7-1-2-13-12-2-1+1-4-1-8-5-3-1-1-8+497-1-1-1-8-25-1-12-2-1-1-76+298-207-1-5-1-4-3-10-828-103-16-1-1-1-1-1-1-26-1-1-2-179-2-5+5-7-4-1-6-1-1-2-4-6-7-4-13-1-2-1-20-254-6-1-2-176-1-4-36-6-1-1-1-2-4-1-3-4-2-2-20-4-1-13-2-2-1-1-2-2-1-17-6-8-3-1-2-2-1-3-1-4-9-1-37-12-3-1-1-3-1-1-8-28-4-1-5-4-1-966-1-20-1-1-7-3-2-4-42-2-20-1-4-8-5-5-1-1-3-66-14-2-17-12-3-3-6-2-8-2-2-2-7-1-6-3-4-1-4-51-2-2-5-3-6-4-11-3-1-1+1-13-8-4-1-12-1-1-1-1-2-1-1-1-6-3-1-15-25-1-1-29-4-3-2-2-3-4-2-1-1-3-4-1-3-3-3-1-4-1-1-50-8-3-8-2-3-12-2-1-3-2-10-19-2-1-2-2-1-1-4-1-2-57-1-2-3-1-2-9-4-22-19-1-2-1-2-1-4-1-4+1-2-23</f>
        <v>1539</v>
      </c>
      <c r="O7" s="41">
        <f>80+80+80+80+80+80+13+80+60+80*11+78+79+80*6+3+81+80*5+54+13+80*3+90+25+22+77+80*8+75+40+1+80*3+20+20+39-3-15-6-2-1-1-7-1-1-4-68-36-2-1-1-1-1-6-1-4-3-12-7-1-3-8-3-1-1-1-28-3-20-3-3-2-8-12-1-5-1-1-2-2-2-6-2-1-1-10-4-6-1+21-3-2-2-5-3-1-30-9-7-1-20-1-4-5-2-1-1-2-1-26-11-23-1-2-4+35+99+55+234-2-6-10-12-3-2-5-4-4+2-1-1-3-1-4-4+45-2-7-1-3-5-6-1-1-2-26-15-25-15-9-5-2-1-10-40-1-1-2-1-2-42-2+198+321-2-1-2-1-4-3-11-1-1-2-1-26-2-15-2-1-1-27-2-1-2-3-2-1-10-2-1-3-1-1-60+236-1-6-4-8-25-1-1-4+1-1-3+624-1-30-4-4-10-4-15-22-2+1-10-1-1-3-6-11-1-1-5-6-4-4-1-1-15-10-4-1-1-5-210-3+1-2-2-11-1-8-3-13-6-1-1-4-148-1-1-4-3-4-25-2-2-3-4-22-12-10-1-2-2-2-4-1-2-5-2-20-1-1-10-2-2-12-4-1-10-20-1-4-1-11-10-21-50-5-13-5-14-6-7-1-5-1-1-1-1-1-1-4-10-1-1+3-11+398-14-2+1-9-2-1-1-2-35-1-21-1-8-10-3-3-80-17-1-2-4-1+1-6-2-2-3-10-6+751-2-2-6-8-3-5-2-1-2-2-1-1-3-9-2-6-1-1-3-60-3-1-80-1-3-5-2-1-1-2-9-2-3-1-1-2-3-1-1-1-4-1+2-2-1-1-2-1-1-7-6-1-3-2-2-35-1-10-2-1-10-3-4-28-17-1-1-12-4+699-2-73-1-6-3-2-1-2-3-6-1-1-249-2-20-14-11-6-1-2-1-246-5-6-2-8-29-1-3-75-1-40-6-80-11-33-1-2-2-8-2-1-3-19-2-3-2-1-70-1-7-1-2-3-17-2-1-1-2-2-27-85-43-3-13-13-3-2-1-1-6-97-1-6+300-3-1-4-2-1-1-10-2-7-3+702-2-12-3-2-3-1-3-6-16-1-3-1-65-2-1-15-1-10-2-1-19-3-4-54-1-1-1-1-2-1-1+53+400-1-5-2-1-2-12-12-8-30-8-2-10-2-1-1+297-1-20-1-10-1-1-1-1-15-43+2-2-2-7-6-5-1-5-2-1-1-2-8-1-2-1-80-4+100+48-4-1-15-2-5-8-1-5-8-1-6-2-2-1-2-13-5-32-2-1-2-1-20+194-2-9-5-2-3-1-1-1-2-1-9-3-6-1-24-2-1-2-25-2+1-2-1-8-8-7-2-1-2-18-1-2-1-1-1-1-1-7-6-13-1-2-1+1-2-1-5-8-4-1-1-6-2-1-1-15-25-21-5-46-1-15-1-1-179-1-5-1-1-2-4-1-3-2-2-1-1-1-19-11-716-102-5-8-2-1-1-20-2-2-3-2-370-2-5-1-8-3-2-1-4-5-3-2-17-1-7-1-1-1-2-6-8-1-40-184-8-2-1-1-2-150-1-1-8-1-1-35-1-2-1-2-2-4-3-1-2-20-2-8-8-1-3+1-1-1+503-20-20-13-1-1-1-2-34-11-7-1-2-11-1-1-11-12-1-4-1-12-5-3-2-6-7-22-1-2-1-7-1-1-4-6-3-2-1-1-1-1-2-1-1-51-16-12-20+1-2-9-2-20-3-1-4-6-4-2-3-5-1-14-1-1-6-3-6-2-1-19-2-2-1-1-1+1-1-3-16-4-1-1-12-5-12-6-7-3-16-25-4-31-1-5-3-1-1-1-1-4-2-1-3-8-1-1-1-46-16-1-1-1-1-9-2-19-3-2-1-4-20-20-1-1-4-1-1-4-2-1-31+167-1-3-15-6-4-12-3-23-17-1-1-1-1-1+1-3-14</f>
        <v>2583</v>
      </c>
      <c r="P7" s="41">
        <f>70+70+80+80+80*4+55+70+80+70*2+81+62+80*5+75+71+64+80*5+80+40-1-5+30-4-3-2-1-1-29-2-11-1-3-1-1-4-3-3-15-3-8+2-5-8-1-10-1-1-6-2-1-15-1+11-11-15-2-8-1-4-1-1-2-1-14-11-1-6+200-4-10-2-12-6+1-2-1-3-1-4-4-1-4-1-1-2-3-13-5-7-14-5-2-10-39-1-8+391-1-1-3-4-2-13-1-5-1-1-1-18-1-1-1-1-5-1-1-1-2-1-4-1-10+1-6-1-4-1+1-3-23-4-5-5-1-15-4-5-1-1-11-6-4-1-1-5-8-1-2-1-97-1-7-5-1-2-1-1-85-1-5-5-23-2-1-2-1-1-3-1-1-1-1-4-2-1-10-2-6-2-5-8-20-1+302-10-10-3-1-1-30-2-1-17-8-1-1-1-1-1-9-6-2-1-1-1-5-14-5-3-2-3-19+1-20-1-1-11-3-1-1-1-1-2-1-1-2+133-4-2-1-1-30-80+150-1-10-3-4-2-2-2-1-2-3-1-2-1-3-5-3-1-3-30-5-4-13-4-1-1-1-1+296-47-1-1-1-134-20-2-2-1-2-100-6-3+150-1-6-29-1-16-6-15-30-5-2-2-4+1-1-10-2-1-2-42-2-1-4-4-1-1-1-6-12-1-1-51-17-4-3-1-3-1-45-1+300-4-3-1-1-15-4-1+297-1-9-1-2-1-1-3-2-12-1-28-2-6-1-5-2-2-3-1-4-24-3-3-5-2+107-1-10-1-1-4-1-10-8-2-20-1-4-4-1-2-1-4+582-5-2-1-1-14-5+2-2-1-7-6-2-1-2-1-10-1-6-2-1-1-5-1-10-1-4-2-1-1-5-1-2-3-5-2-27-4-2-1-1-1-4-2-15+99-2-2-3-9-2-1-3-1-1-2-1-7-2-1-2-1-1-24-6-4-13-1-1-4-1-2-1-9-1-1-1-2-8-5-2+1-3-2-1-25-1-1-1-10-2-24-5-15-77-2-1-1-4-1-1-8-11-1-308-77-1-6-1-1-1-8-1-150-4-3-1-4-2-6-1-7-6-8-42-5-2-1-1-102-6-3-1-35-1-1-1+70-3-3-1-1-4-2-21-6-1-1-16-3-7-1-1-3-1-2-12-2-8-1-1-349-3-5-3-2-7-2-6-3-1-2-4-4-6-10-2-2-7-1-2-2-1-2-2-2-6-1-2-1-5-2-4-4-3-1-1+4-1-11-1-10-6-3-5-1-5-6-25-3-4-1-11-1-1-5-2-1-3-8-2-15-6-2-3-6-1-7-1-2-4-4-2-12-3-6-1-1-2-2-3-1-18-1-1-2-3--1-20-14-4-3-9-2-5-3-1+1-1-21</f>
        <v>992</v>
      </c>
      <c r="Q7" s="66">
        <f>70+10+70+70+60+75+70+75+70+70+59+75+4+17+70+31+70+70*5+60+99+76-1-1+35-2-1-11-7-1-1-2-3-2-5-1-4-1-3-2-1-1-2-2-1+2-8-1-10-1-9-2-3-5-1-2+13-1-1-1-5-1-1-2-2-1-5-6-2-2-1-4-1-1-1-8-1-1-2+1-5-1-3-15-1-2-2-2-1-4-30-6-1-33-1-2-2-34-1-2-1-1-1-5-2-5-1-2-30-2-1-12-1-5-1-1-4+101-4+1-2-1-3-8+1-1-2-1+50-1-1-1-1-1-1+1-10-1-80+149+148-4-7-1-1-5-1-1-1-1-2-10-1-2-4-6-4-1-1-58-6-1-4-1-64-4+43-4-7-1-4-12-2-1-2-2-1-1-14-20-1-1-16-1-2-8-16-7-14-1-4-3-1-4-18-2-1-1-1+80-2-1-4-2-1-11-2-1-1-2-10+81-1-1-1-2-2-7-3-10-1-7-1-1-1+6-5-1-2-1-1-80-2-2-1-1-3-1-4-1-10+40-5-1-1-1-3-3-1-1-1-6-1-1-3-5-3-2-1-15-2-10-25-1-1-100-1-2-1-3-7-13-1-5-1-4-6-38-4-3-1-38-1-1-1-1-1-1+80-5+3-4-7-1-1-1-2-6-6-5-1-4-2-8-2-2-3-2-2-1-2-3-5-2-1-1-1-2-1-5-1-2+1-1-5-8-1-2-1-1-18-5-4-1-1-1-2-3-1-1-3-1-1-1-2-1+8-2-1-4-1-7-9-2+1-7</f>
        <v>837</v>
      </c>
      <c r="R7" s="41">
        <f>78+50+60+60+49+44+40+35+75+50+70+33+35-2-2-1-3-2-2-1-1-1-1-1-4-1-1-1-3-1-5-2-1-1+92-1-1-1-3+1-1-1-2-1-10-3-1-3-1-1-3-1-2-3-3-1-1-1-1-1-1+1-1-5-3-1-1+50-2-1-80+49-3-1-2-5-6+20-22-1-24-4+100-3-4-1-1-2-9-4-4-1-5-2-14-3-3-8-15-1-1-1-1-1-3-2-1-1-10-1-1-4-1-7-1-1-50+80-1-1-1-1-15+20-2-1-1-1-2-4-10-1-2-3-1-1-3-2-3-1-2-1-14-7-2-2-28-1-1-3+62-1-8-2-2-1-14-1-2-1+69+1-2-3-1-1-3-2-4-1-5-2-2-3-2-2-3+15-1-1-3-3-1-3+4-4-7-1-1-7-5-2-1-2-1-1-1-4-6-2+1</f>
        <v>587</v>
      </c>
      <c r="S7" s="41">
        <f>35+19-1+2-1-1-1-1-4-2-5-2-2-10-1-5-1-1-1-17+1-1+1+21-10-1-3-1-1-1-1-1-1-1-1+20-10-1-7-1-1+51-2-4-28-10-7+15-1-2-2-1-1+1-7-2</f>
        <v>0</v>
      </c>
      <c r="T7" s="42">
        <f>9+40-2-1-1-1-1-1-1-1-1-1-10-8-1+2-1+1-20+10-4-6-1+39-5-8-2-3-1-2-1-1+8-12-2-5-1-3-1+15-2-1+1-5-3</f>
        <v>5</v>
      </c>
      <c r="U7" s="13">
        <f>SUM(C7:T7)</f>
        <v>12820</v>
      </c>
      <c r="V7" s="55"/>
      <c r="W7" s="10" t="s">
        <v>20</v>
      </c>
      <c r="X7" s="4">
        <v>564</v>
      </c>
      <c r="Y7" s="4">
        <f>X7*3.5</f>
        <v>1974</v>
      </c>
      <c r="Z7" s="4">
        <f>X7*2.5</f>
        <v>1410</v>
      </c>
    </row>
    <row r="8" spans="2:27" ht="19.5" customHeight="1">
      <c r="B8" s="58" t="s">
        <v>20</v>
      </c>
      <c r="C8" s="14">
        <f>97+41+10+51+24+100+101+44-2-2-3-1-1-2-1-1-1-10-1-2-2-1-20-16-1-2-2-2-15-1-1-2-24-3-2-3+1-1-3-4-1-1-1-1+45-30-1-5-8+34+44-10-5-13-13-1-1-1+144-2-1-1-2-3-1-1-1-1-1-2-2-1-1-1-3-2-4-3-1-4-9-1-1-1-4-16-2-1-3-1-1-1-1-2-1-1-1-3-1-1+3-1-1-5-5</f>
        <v>413</v>
      </c>
      <c r="D8" s="14">
        <f>50+50+20+78+100+28+100*6+102+31-1-1-3-2-25-2-2-2+22-4-3+188-5-4-1-5-2-1-1-2-40-1-1-1-1-30-3-1-2-2-2-2-20-1-3-1-1-1-1-40-23-3-1-1-2-1-2-1-1+400-2-30-50-5-4-10-10-2-17-4-1-17-1-3-2-1-5-3-3-3-1-1-1-1+1-15-3-5-11+1-1-6-2-1-1-1-1-1-1-1+1-2-1-1-50-1+1-1-1-1-5-1-3-2-5-1-1+85+52+200-1-15-1-2-2-1-5-22-27-1-1-1-1-2-1-1-2+198-2-2-4-1-2-2-2-1-1-2-18-9-3-8-1-12-2-2-2-3-2+126-2-10-3-2-3-2-1-3-2-3-1-1-2-4-1-5-1-5-8-1-6-1-3-2-10-1-1-2-2-1-1-1-1-1-12-1-3-16+123-1-2-1-3-1-1-1-1-1-1-2-4-1-2+2-1-1-1-3-3-2-1-1-1-10-4+2-4-2-1-1-1-4-6-1-8-1-5+1-30-3+29-2-1-2-4-14-1-2-1-1-1-1-28-39-4-3-2-1+14-3-1-2-1-3-15-1-1-2-1-11-1-1-2-14-1-3-5</f>
        <v>1363</v>
      </c>
      <c r="E8" s="14">
        <f>82+100*2+40+84+50+90+90+70+100*3+204+109+17+50-19-1-70-2-1+22-2-4-9-1-11-1-1-20-2-2-3-1-1-1-6-20-5-1-1-1-4-1-5-7-3-3-1-1-1-1-2-5-1-2-2-10-17-1-2-1-6-1-3-2-40-3-16-6-1-2-1-1-3-4-42-1-15-1-7-5-5+90-2+3-14-6-2-14+400-2-1-5-1-10-2-1-5-6-1-2-1-1+1-1-1-1+9+1+1-1-15-3-1-10-1-1-1-1+1-1-2-1-1-2-5-1-1-2-6-1-1-12-4-2+129-1-1-5-2-3-50-1+1+2-2-1-4-10-1-5-1-1-5-1-3-1-1+204-2-14-4-2-3-17-1-21-26-1-1-1-1-1-1-1+197-3-1-3-1-2-2-1-1-3-4-2-31-11-2-15-14-2-4-1-1-2-6-3-1-1-9+85-1-10-3-5-1-4-3-9-2-1-1+144-6-3-1-18-6-8-1-1-5-1-1-4-12-9-1-2-2-6-12-1-3-1-1-3-1-1-21-1+342-1-1-3-22-1-12-2-3-5-2-1-3-1-3-1-3-2-1-3-1-8-1-4-5-1-1-1-1-24-6-1-1-4-9-1-2-1-1-6-2-6-80-10-2-4-5-1-1-1-2+1-1-1-2-9-5-1-2-8-2-2-1-6-1-1-4-8-1-16-46-5-1-1-1-2-1+20-5-1-2-2-8-18-1-2-9-1-6-2-6-26-1-1-5-2</f>
        <v>1480</v>
      </c>
      <c r="F8" s="14">
        <f>82+100*5+35+62+99+100*3+94+103+140+64-1-12-2-1-70-2-2+1-5-11-1-15-2-1-1-2-1-2-2-20-1-1-1-1-2-1-20-2-3-2-1-17-2-3-1-1-40-20-2-3-1-3-1-4-29-1-52-3-2-5-10-2-2+10-10-6-10+349-1-3-1-10-1-5-1-6-2-2+46+1-1-10-3-10-1-12-2-4-1-4-2-1-1-3-3-1-6+50-1-3-1-1-50-1+1-5-1-2-7-1-10-1-1-8-1-1-1-1+243-15-1-3-4-4-2-1-23-1-17-20-4-1-10-1-1-1-2+270+102-5-1-1-1-1-1-2-1-1-2-1-2-26-12-1-8-12-1-1-3-1-3-1-1-2-2-5+85-1-2-10-4-4-2-1-6-1-2-14-6-2-1-5-1-1-11-1-1-1-11-2-2-1-3-3-1-1-9-1-9+341-6-1-3-10-1-12-1-1-1-4-1-1-2-1-5-1-4-1-2-1-2-1-1-2-2-1-3-2-1-1-16-2-4+2+1-6-1-1-2-4-2-2-3-3-1-3-20-1-10-1-7-1-3+1-2-1-50-1-2-4-5-8-1-2-1-1-1-8-31-1-8-1-2-1+22-1-9-3-1-7-2-1-5-1-4-20-1-1-1-1-6</f>
        <v>1700</v>
      </c>
      <c r="G8" s="14">
        <f>81+120+62+80+78+59+49+100*4+90+43-2-25-2-1-1+4-2-1-1-1-10-1-1-2-2-30-2-1-10-1-2-3-20-32-2-1-2-1-1-19-35-1-3-3-2+10-5-4-2-1-2-1-2-1-1+1+1-10-5-21-2-2-1-1-3-1-4-1-1+8-2-50-1+1+2-1-1-4-2-5-3-1-5-1-2-4-1-7-1-8-10-1-5-2-1-1-15-2+102-5-2-2-1-2-1-1-1-2-1+152-12-1-1-6-1-1-3-2-2-10-1-1-3-1-3-4-3-2-2-3-1-12-1-7-3-3-6-1-1-1-1-1-1-1-3-4-21-12-1-2-3-1-4-5-1+1-1-2+108-4-1-1-1-6-8+4+1-4-1-1-1-1-10-2-2+1+3-1-1-3-1-2-1-2-1-12-19-1+26-2-2-1-2-5-1-1-3-8-1</f>
        <v>764</v>
      </c>
      <c r="H8" s="14">
        <f>75+27+35+84+60+41+56+77-1-10-2-3-1-1-1-10-4-1-4-1-20-8-1-1+15-5-3-3-2-1-2-1-1+1-1-1+14-50+1-2-5-1-1-1-1-2-1-7-10-2+48+1+102-5-4+45-1-1-5-1-2-3-1-1-2-10-4-1+8-4-2-1-1-1-15-4-1-1-3-3-1-1-1-1+2-2-5-1-1-1-2-3-10-1</f>
        <v>413</v>
      </c>
      <c r="I8" s="14">
        <f>35+13+42+87-1-1-1-6-2-1-1+29-1-4-2+29-3-1+20-30+1-2-1-2-15-2-1-6-2+25-1-1+11-1-2-1-1-2-2+21-1-1-1-2+25-3-2-1-1-1-15-2+1-1-1-3-1-1-2-1</f>
        <v>203</v>
      </c>
      <c r="J8" s="14">
        <f>42+6+33-1-1-1-10+1-1-1-1-1-1-1-1-1-2+1</f>
        <v>60</v>
      </c>
      <c r="K8" s="38">
        <f>18-1+29-10+1-2-1-1-1-3-1-1-1+2</f>
        <v>28</v>
      </c>
      <c r="L8" s="35">
        <f>80+1+78+81+81+80+14+80+50+60+80*2+60+80+15+41+98+160+33-55-50-1-2-1-1-1-1-1-1-1-1-1-1-2-1-10-1+1-1-369-3-3-9-1-2-5-28-2-3+1-1-1-1-80-1-4-7+199+75+102-2-2-3-15-2-2-10-1-1-1+109+300-1-1-1-2-48-1-5-1-4-8-3-1-1-2-1-10-2-2-3-1-1-2-1-6-1-1-4-3-2+1-2-2-5-2</f>
        <v>1218</v>
      </c>
      <c r="M8" s="14">
        <f>80+79+72+6+40+6+14+31+3+80+34+1+80*4+24+89+80*2+36+80*7+50+67+20+80*2+160+33+80*5+21+72+55+160+90+87+26-6-1-10-1-55-50-1+18-2-6-1-3+2-2-1-1-1-3-40-1-10-1-1-2-1-1-1-1-2-4-2-10-36-1-1-20-34-2-2+1-20-1-2-1+20-77-3-1-10-6-10-1-2-2-3-1-1-1-44-5-55-1-6-13-5-5-2-2-12-5-1-2-10-2-1-20-8-2-1-10-10-4-1-1+130-1-177-1-1-3-1-10-1-2-2-1-1-15-30-4-10+412-10-2-2-1-1-2-7-2-1-1-2-10-1-80-7-2-1-10+1-1-1+1+1-1-1-30-20-72-1-1-3-5-5-1-2-1-10-3+300+50+225+299-2-2-2-2-4-5-6-16-18-1-1-1-1-3-1-3+74-10-30-2-1-1-1-1-1-2-1-1-6+62-8-3-4-9-1-6+56-6-1-1-10-2-1-1-1-3-2-1-10-1-3-1-2-6-4-4-2-3-2-10-66-4-1-3-1-4-4+2-1-20-2-3-10-1-1-12-1-1-26-22-5-3-16-3-13-1-2-1-2+298-2-10-1-1-1-1-1-5-1-2-2-3-4-25-1-3-2-2-1-16-1+1-3-2-4-8-6-1-4-4-9-20-4-1-1-3-2-2-2-1-3-1+1-1-2-1-10-30-3-38-11-1-10-3-63-1-4-1-2-4-1-27-4-5-1-2+45-2-1-7-3-1-3-2-14-2-3-16-3-2-2-5-1-2-10-4-1</f>
        <v>2851</v>
      </c>
      <c r="N8" s="67">
        <f>80+80+80+80+80+80+20+80+80+45+80+80+80+80+24+1+80+80+80+52+80+80+80+80+24+12+9+17+80*12+80*3+60+50+58+40+10+40+80+80*4+80*3+40+80*3+520+70-13+19-18-60-8-55-50-2-1+24-4-34-2-4-1-2-7-1-2-1-20-2-1-1-1-12-2-3-100-1-1-10-1-1-1-2-4-1-1-2-2-1-5-4-2-9-1-3-4-1-2-1-1-1-1-1-10-10-1-36-4-2-29-5-1-3-3+1-30-3-1-8+30-93-1-1-2-1-2-1-13-20-6-1-1-1-5-3-2-2+398-4-1-1+480-8-1-2-79-1-1-110-1-6-13-17+50-2-3+26-2-6-1-22-2-2-2+182-1-20-7-1-6-3-2-1-15-1-4+98-10-3-30-730-2-1-1-1-1-4-1+8-6-4-1-15-55-5-2-1-2-5-1-5-2-10-4-30-2-1-1-2-5-2-2-7-1-2-15-2-1-1-9-10-2-1-80+1+518-3-35-34-12-2+1-1+1+2-1-1-1-3-3-35-6-20-1-204-5-1-3-1-7-30-1-2-1-2-5-2-1-1-1-6-1-1+384+124+993+116-2-4-2-2-40-6-2-3-3-16-1-11-25-33-1-1-2-1-5-1-25-1-2-1-1-2-5+106-1-1-1-1-4-2-1-27-1-7-2-4-1-1-1-28-1-1+780-22-14-1-1-1-2-6-3-2-2-1-9-2-2-4-5-2-1-6+419-2-8-25-1-1-4-1-3-2-15-798-7-4-3-10-10-1-1-5-1-4-1-1-52-1-12-2-1-1-2-1-6-4-2-1-8-1-1-4-1-20-1-1-3-1-24-32-1-4+350-10-2-1-5-3-24-1-3-2-18-1+74-2-1-2-9-3-2-1-15-2-1-1-30+152-1-3-15-2-1-4-6-1-2-2-1-2-1-6-1-4-1-2-1-2-6+2-2-4+1-8-13-1-36-1-1-5-6-29-2-68-6-1-80-8-1-5-6-25-29-16-9-13-1-2-10-1-6-2-10-1-4-2-2-12-5-3-1-1-2-10-3-2+80-3-1-1-3-12+1-3-1-2-1-3-41-4-2-1-41-1-3-22-1-76-17-2-6-14-2-4-75-2-1-1-8-1-8-32-58-4-1-1-9-4-2-1-2-1+11-5-3-15-5-4-2-1-15-1-2-16-12-4-4-7-7-6-1-5-5-9-1-1-2-1+1+1-1-10-1-2-16</f>
        <v>4731</v>
      </c>
      <c r="O8" s="14">
        <f>80+80+80+80+80+13+54+80+11+80+32+62+80+80+80+17+58+80+80*4+70+10+78+80*8+79+17+80*11+79+80*9+79+21+29+90+80*6+75+60+88+81+20+80*15+70+236+18-1-22-1-95-1-55-50-2-1+19-2-16-1-2-10-1-2-1-1+1-2-2-1-1-1-3-1-1-14-7-1-1-1-4-1-6-100-2-1-1-2-5-1-1-6-1-2-4-2-3-2-2-7-1-1-1-6-6-2-20-3-1-3-1-15-1-10-36-3-1-21-1+1-2-30-2-2-1-4+1-1-15-4-2-3+15-1-94-2-4-1-3-3-3-20-6-4-2-20-3-1-6-2-2-1-3-6-1-42-1-38-3-125-6-6-19-8-8-2-2-2-3-33-2-2-2-2-3-7-20-4-1-12-6-1-20-21-4-1-1-39-3-25-1026-1-1-1+2-2-1-2-15+1-3-75-2-2-1-4-5-2-2-7-20-2-1-29-3-2-2-1-1-2-8-1-2-1-1-9-1-2-15-12-15-80-1-45-16-10-2-36-2-1-1+2-1-1-1-6-2-35-1-18-62-3-7-5-1-1-1-1-3-1-1-7-2-1-1+168+502+500+52+399-1-3-1-1-34-24-5-3-1-1-13-2-8-1-34-33-3-1-2-2-1-2-2-2-1-1-1-6-1-30-1-30-1-2-3-1-1-2-1+627+498+487-1-1-22-3-1-2-1-37-1-13-7-6-3-1-17-1-1-31-18-1-1-1-15-1-1-3-4-3-3-1-1-1-4-1-2-1-1-15-1-2-25-1-2-5-5-15-51-3-4-3-4-8-8+2-3-2-1-5-3-40-1-1-1-2-12-5-2-2-3-1-3-20-1-1-1-1-1-12-1-20-3-3-41-1-6-13-2-1-2-1-11-1-1-1-1-15-3-2-30-3-1-2-1-2+731-1-2-7-1-1-1-3-1-1-1-4-2-1-9-2-1-8-2-3-2-4-2-2-2-1-1-16-12-1-1-1-43-1-3-3-1-2-2-1-1-1-2-46-3-20-4-11-56-46-1-6-1-8-1-2-58-1-6-1-7-3-2-1-9-5-2-6-8-2-4-6-2-2-1-4+20-1-6-2-1-3-20+1-4-1-4-1-3-6-41-1-1-2-61-2-3-15-1-1-46-1-1-13-1-2-4-1-6-3-1-2-66-2-8-18-6-36-45-4-8-1-1-2-1-3-1-1-15-13-1-2-1-14-2-2-8-18-4-9-14-6-1-5-1-2-2-1-1-1-2-9</f>
        <v>5637</v>
      </c>
      <c r="P8" s="14">
        <f>70+70+8+36+70+6+70+52+35+15+70+70+70+41+16+24+80*4+70+80+78+57+80*4+40+60+80+70*4+48+49+40+80*5+49+44+84+60+39+60+136-13-1+3-8-25-3-6-3-50-50-3-2+7-12-2-6-1-1+3-2-1-1-1-1-1-1-3-20-1-2-3-1-1-2-3-8-1-5-2-1-20-3-1-1-1-2-1-3-5-24-4-18-1-1-1-1+1-5-3-1-1-2+5-60-2-4-1-3-5-10-2-3-10-5-2-1-1-2-1-1-3-30-24-50-4-10-16-26-2-2-2-10-1-1-2-4+99-29-4-1-2-5-6-1-2-5-20-5-1-3-7-10-437-1-1-1-2-2-9-1-2-2-4-20-1-9-50-3-1-1-1-13-20-6-1-1-2-1-1-2-1-1-2-2-3-1-80-1-1-36-6-2-20-1+1+1+1-2-1-2-30-4-17-1-3-4-3-7-7+259+99-11-6-1-4-7-3-1-17-1-28-1-1-1-5-3+298+299-10-30-3-1-2-3-1-1-3-2+54+60+487-15-1-4-1-2-3-1-11-2-3-2-1-1-1-2-1-1-1-1-1-2-1-8-1-3-1-1-1-3-4-10-43-1-6-4+28-1-1-2-3-20-4-4-2-3-2-2-1-15-1-8-9-1-1+1-10-1-14-1-5-8-1-1-5-1-1-1-1-1-1-2-20-1-2-1-1-5-1-1-1-2-1-1-1-1-8-3-4-2-2-1-2+150-1-1-1-1-13-3-1-32+100-1-1-3-4+162-1-4-1-10-1-7-1-25-15-1-1-24-2-1-1-5-1-1-1-9-3-3-1-1-1-4-1-1-10-4-6+1-1+46-2-3-1-1-1-1-2-5-1-54-4-3-2-2-4-1-2-1-1-32-1-2-2-5-16-33-1-4-4-2+12-15-2-7-1-1-1-3-1-7-3-1-2-9-2-1-3-6-1-2</f>
        <v>2758</v>
      </c>
      <c r="Q8" s="14">
        <f>70+5+30+6+70+1+33+22+71+70+140+70+74+14+80+80+75+20+140+26+55+80+56+70+71+15-10-10-1-1-45-1+1-6-1-1-1-1-1-1-1-10-1-2-1-1-2-6-1-1-1-2-1-10-1-1-1-5-5-2-2-3+1-3-1-40-1-5-2-3-1-1-5-1-14-10-2-4-2-5+98-2-5-2+30-5-1-5-5-5-5-127-1-1+1-7-10-6-1-5-2-1-1-2-1-1-1+1-80-15-1-6-1-1+1-3-10-1-5-1-3-1-10-2-1-10+172+10-6-2-2-2-7-10-1-1-1-1-1-4-1+150+180-5-30-1-2+104+59-5-2-2-1-3+140+61-1-1-1-3-1-1-3-6-3-6-2-1-2+4+28-1-8-1-1-10-3-4-4-1-1-5-3-1-1-12-2-1-2-2-1-2-1-1-1-1-4-4-2-24-1-1-8+1-9-10-2-2-1-2-1-1-3-1-1-1-2-2-1-2-1-24-1-25-2-8-2-8-5-6-2-3-7-3-2-2-2-1-1-2-2-3</f>
        <v>1505</v>
      </c>
      <c r="R8" s="14">
        <f>1+21+70+51+27+60*3+25+30+9+120+70+30+140+30+12+50+70*4+60+49-1-1-1-1-1-1-1-1-4-1-5+1-1-1-4-8-2-3-3-1-2-1+1-1-1-1-2-2-6-80-11-8-1+1-5-1-1-2-3-15+22-1-1-1-6-3-1-3-3-1-2-7-1-6-1-1-1-1-5-1-2-1-4-1-3-5-2-1-1-1-14-1-2+1-2-2-1-1-1-2-2-1-4-4-1-1-18-5-1-1-2-8-2-2-1+1-1-1-1-1-1-2-1</f>
        <v>944</v>
      </c>
      <c r="S8" s="14">
        <f>15+33-2-1-1-1-1-2-2-5+14-3-2-3-5-1-20-2-3+1-1-3+15-4-2-3-1-5-2-1-1-1+1-1+35-1-6-1+1-1-1-5-4-1-1-1-14+1-1</f>
        <v>0</v>
      </c>
      <c r="T8" s="18">
        <f>47+15+14-1-1-2-1-1-1-2+1-1-20-4+1-1-1-1-1-1-2-1-1-1-1-4-14-1+1-9</f>
        <v>6</v>
      </c>
      <c r="U8" s="13">
        <f t="shared" ref="U8:U26" si="0">SUM(C8:T8)</f>
        <v>26074</v>
      </c>
      <c r="V8" s="55"/>
      <c r="W8" s="10" t="s">
        <v>21</v>
      </c>
      <c r="X8" s="4">
        <v>898</v>
      </c>
      <c r="Y8" s="4">
        <f t="shared" ref="Y8:Y30" si="1">X8*3.5</f>
        <v>3143</v>
      </c>
      <c r="Z8" s="4">
        <f t="shared" ref="Z8:Z30" si="2">X8*2.5</f>
        <v>2245</v>
      </c>
    </row>
    <row r="9" spans="2:27">
      <c r="B9" s="58" t="s">
        <v>21</v>
      </c>
      <c r="C9" s="14">
        <f>21+10+98+25+33-1-1-1-1-1-10-1-4-1+49-1+11-2-13-1-10-12-3-1-3-1-30-3-1+31-1-1-1-1-1-3-4-2-1-1-1-1-1-1-3+5-1-1</f>
        <v>156</v>
      </c>
      <c r="D9" s="14">
        <f>8+15+100+100+16+70+10+58-5-1-1-1-3-2-1-3-2-1-1-5+54-2-35-20-1-1-1-1-1-2-1-5+139-3-1-1-15-14-2-1-50-1+114-1-6-15-1-2-3-5-6-1-13-3+1-2-1-1-18-3-1-1-2-50-2-1-8-3-1-2+99-1+100-2-1-2-1-2+96-1-1-1-1-1-5-6-1-1-2-2-1-1-1-5-1-4-2-1-1-3-2+2-2-1-1-2-1-1-2-1-1-4-5-2-5-2-1-4-1-6-39-1-2+13-1-2-1-1-2-1-1-5</f>
        <v>508</v>
      </c>
      <c r="E9" s="14">
        <f>15+1+100+17+95+49-7-1-1-1-7-1-4-1-1-2-1-2-1-5-6-2-4-6+200-20-32-1-1-2-1-2-1-2-1-16+339-4-1-1-16-40-4-3-1-15-1-4-1-3-1-3-1-10-1-1-1-1-1-1-15-1-3+1-2-1-1-2+20-1-31-3-2-50-1-1-1-1-9-6-1+291-2-1-1-3-1-2-2-1-1-1-2-1-2-1-2-1-5-1-1-9-3-1-1-1-1-1-8-5-1-1-10-2-1-1-1-2-1-3-3-2-2-2-2-1-3-1-6-1-8-46-1-1+20-1-2-1-1-1-2-11-1-1-1-1-1</f>
        <v>582</v>
      </c>
      <c r="F9" s="14">
        <f>35+100+17+80+27+99+4-1-1-2-1-1-2-2-1-1-3+178-2-5-2-1-3-1-1-5+192-3-1-1-1+1-2-1-35-10-4-5-1-52-1-1-10-1-1-1-2-20-1-1-1-1-1-26-6-2+101-1-1-50-1-1-4-6+150-1+98-1-1-1-3+1-1-3-1-2-1-1-4-1-1-1-5-2-5-1-11-4-2-1-3-1-1-2-3-4-1-1-1-1-5-2-2-2+2-1-2-1-2-1-1-4-7-1-1-3-1-1-3-5-31-1-1+23-1-3-1-3-1-1-5</f>
        <v>652</v>
      </c>
      <c r="G9" s="14">
        <f>19+98+1+32+48+99+17-2-1-5-2-2-1-1+150-20-3-1-1-1-1-1-1+49-2-17-20-1-3-35-1-2-3-25-1-1-1-12-3-1-7-50-3-2+46-1-1-2-2-1-3-1-1-1-3-7-2-1-1-2-4-4-4+4-2-1-2-1-1-1-2-2-2-2-1-1-1-2-2-3-19-1-1-1+24-1-2-1-1-1-2-1-1</f>
        <v>255</v>
      </c>
      <c r="H9" s="14">
        <f>5+15+26+49-1-1+50-2-2-1+24-1-10-1-1-1-2-2-1-11-1-50-2-1+50-1-1-1-2-1-1-1-1-1-2-1-4-1-1-1-3-1-3-1-1-1-1-1-1</f>
        <v>95</v>
      </c>
      <c r="I9" s="14">
        <f>5+34+7+71-1-1-1-1-1-1-1-1-1-5-30-1-1-1-1-1-2-2-1-1-2-8-1-1-1+2-1-1-1-5</f>
        <v>43</v>
      </c>
      <c r="J9" s="14">
        <f>5+15+31+29+24-1-1-3-10-1-1-2+2-1</f>
        <v>86</v>
      </c>
      <c r="K9" s="38">
        <f>35+59+33-1-10-1-3+2-1</f>
        <v>113</v>
      </c>
      <c r="L9" s="35">
        <f>32+50+51+30+80+80+80+49-1-1-1-1-6-1-1-2-2-1-2-8+150-1-1+1-8-3-1-2-1-80-1-3+50-3+44-3-6-2-1-1-1-2-1-5-8-4-2-1-1-1-1-3-1-2-1-1-3-1+4-1-2</f>
        <v>515</v>
      </c>
      <c r="M9" s="14">
        <f>79+45+80+71+80+40+23+80+90+80+70+80+44-6-1-2-1+445-1-1-1-1-1+16-4-30-1-1-4+5-1-2-14-6-1-1-2+68-2-20-1-1-2-1-3-1-13-1-15-3-1-5-55-1-1+142-6-1-1-2-20-1-5-1-1-1-1-1-12-3-3-2-2-1-1-80-9-1-1-3+1-1-2-5-2-5+50-20+118-1-25-3-5-1-5-2-6-9-1-16-1-1-1-1-1-5-1-1-1-1-4-2-16-1-1-1-12-22-1-1-8-10-1-1-1-15-1-2-1-1-1-1-1-1-2+1-4-35-1-4-1-2-25-1-2-2-2-10-3-2-1-1-10-2-1-3-1-3-3-27-4-1-1+27-64-1-1-2-5-3-6-1-3-2-5-1-1-3</f>
        <v>887</v>
      </c>
      <c r="N9" s="14">
        <f>80*10+29+80+79+50+69+80*5+68+30+5+53-8-1-1-1-5+602-4-7-1-1-15-4-1-2-2-1-1-2-1-6-20-1-2-6-1+175-6-42-2-19-1-4-4-1-2-1-1-2-1-1-1-11-1+521-20-1-2-11-1-2-2-1-5-5-49-1-3-1-18-2-2-8-8-110-30-1-1+4-6-6-3-1-25-6-3-1-6-1-1-31-1-3-1-4-10-1-1-1-4-2-1-1-80-1-1-26-2-1-10+1-1-2-4+2-1-1-1-1-11-15-10-1-2-3-30-1-1-2-1-1-4-50-4-1-2-2+399-2-3-1-10-2+173-9-1-32-1-1-1-1-2-3-3-6-2-1-4-2-1-2-1-2-32-1-2-2-20-1-2-1-32-3-2-2-13-1-2-2-15-1-3-15-3-1-1-1-2-17-1-3-2-1-1-1-11-1-30-2-55-1-200-9-1-3-1-1-52-1-1-7-1-1-1-1-2-2-10-3-12-3-2-25-1-1-4-6-1-12-1-3-1-2-6-58-4-1-10-3-1-25-1-1-3-1-5-2-4-14-1-1-7-4-2-1-2-2-1-4</f>
        <v>1755</v>
      </c>
      <c r="O9" s="14">
        <f>80*3+34+80+84+84+80*6+80*12+30+70+22-10-6-2-4-1-1-1-3+398-2-2-1-4-2-1-4-1+7-5-1-20-1-1-2-1-18+530-8-1-1-17-18-1-1-6-2-1-1-2-2-1-3-1-1-12-1+128-59-7+1-1-1-1-1+1-2-1-2-10-75-1-30-2-4-42-1-6-8-2-3-125-40-1-4-9-6-2-2-1-3-2-25-12-1-15-1-2-9-80-1-3-2-35-2-9-1-2-2-2-80-1-37-3-1-5-1-1+2-1-1-1-5-15-10-4-30-10-1+279-10-10+10-1-1-3+210-4-1-3-100-1-2-2-1-1-4+77-1-1-6-2-9-1-1-22-1-1-1-2-1-1-1-1-5-1+1-6-1-22-1-1-20-3-1-1-12-1-5-1-1-2-15-2-2-9-1-2-15-1-1-2-4-1-1-1-1-1-2-6-1-2-2-2-1-24-1-1+1-14-19-500-2-4-1-1-65-2-12-9-2-2-12-1-6-1-2-20-2-2+1-2-10-1-2-2-6-1-6-2-9-1-1-1-8-45-1-10+8-27-1-1-11-1-1-4-13-3-3-3-2-1-1-1-9-3</f>
        <v>1446</v>
      </c>
      <c r="P9" s="14">
        <f>70+18+70+20+30+80+80+80+29+80+58-6-1-6-1-1+399-2-1-4+2-10-1-30-4-1-1-2-3-1-1+200+100-4-9-9-18-1-2-1-1-10-1-2-2-1-1-6-1+100-48-4+1-1-2-3-1-29-1-17-2-30-50-14-1+100-12-1-2-1-3-29-6-1-10-1-2-1-1-15-1-1-2-1-80-1-1-1-15-1-3-1-1-1-2-4-5-10-1-3-1-10-25-1+260+35-1-2-10-18-1-1-1-1-1-3-1-1-1-1-1-18-1-15-3-9-6-2-1-7-2-1-2-3-1-1-1-1-1-1-1-1-3-16-1-6-24-250-1-10-1-1-31-2-1-1-2-4-2-10-2-15-6-1-9-3-1-1-1-4-33-1-3-10+32-7-1-2-1-1-1-3-3-1-1-1-2-1-1-1-1-1-3-2</f>
        <v>627</v>
      </c>
      <c r="Q9" s="14">
        <f>7+70+70+38+70+10+32+70+31+50+29+36+70+70+7+150+1-10-1-1-3-1-7-1-1-2-3-1-1-1-1-1-1-8-2-1-1-5-1-4-2-11-1-10-1-2+50-1-5-5-7-1-1-1+1-80-5-1-2-1-3-1-2-1-1-1-1-9-1-8-1-3-1-1-6-1-8-1-1-10-1-4-1-1-1-1-1-1-1-1-3-1+1-6-5-50-2-1-1-19-2-2-1-2-2-5-4-5+1-1-5-4-2-2-1-1-1</f>
        <v>467</v>
      </c>
      <c r="R9" s="14">
        <f>39+32+11+60+30+48+49+13+58+50-1-1-1-1-1-2-1-1-1-1-1-2+24-3-3-2-4-1-5-80-3-2-1-1-1-2-1-2-2-1-5-3-2-2-4-1-1-1-1-1-1-1-1-3-3-1-6-1-2-3-10-3+1-3-1-3-1-6-1</f>
        <v>216</v>
      </c>
      <c r="S9" s="14">
        <f>50+35+46-1-4-2-2-1-3+1-3-20-10-10-1-1-1-1-1-3-5-2+2-2-1-1</f>
        <v>59</v>
      </c>
      <c r="T9" s="18">
        <f>11-1-1-2-2-1-1-1-1-1+35-5+2-10-1</f>
        <v>21</v>
      </c>
      <c r="U9" s="13">
        <f t="shared" si="0"/>
        <v>8483</v>
      </c>
      <c r="V9" s="55"/>
      <c r="W9" s="10" t="s">
        <v>22</v>
      </c>
      <c r="X9" s="4">
        <v>1025</v>
      </c>
      <c r="Y9" s="4">
        <f t="shared" si="1"/>
        <v>3587.5</v>
      </c>
      <c r="Z9" s="4">
        <f t="shared" si="2"/>
        <v>2562.5</v>
      </c>
    </row>
    <row r="10" spans="2:27">
      <c r="B10" s="58" t="s">
        <v>22</v>
      </c>
      <c r="C10" s="14">
        <f>30+48+38-1-1+28-4-1-12-2-1-1-5-1-3-30-3-1-1-1+31-1-1-1-1-3-4-1+28+1-10-3-3-1-1-3-6-1-1-1-1-1+4-1-2</f>
        <v>93</v>
      </c>
      <c r="D10" s="14">
        <f>100+69+20+25-1-2-2-1-1-1-2-28-3-3-2-1-2-9-2-1+92-2-5+1-1-1-2-50-4-5-3+90-2-1-1-1-1-1-3-1-2+149-2-1-1-1-3-2-1-1-2-8-5-1-6+107+99-2-2+100-4-1-1-3-2-1-1-7-2-2-1-2+2-1-1-2-4-1-2-2+17-2-1-1-2-1-1-4</f>
        <v>634</v>
      </c>
      <c r="E10" s="14">
        <f>100*3+61-5-2-3-4-1-3-3-2-1-2-1-2-1-4-4-1-1-1-45-5-1-2-1-1-2-6+92-1-1-5-1-1-5-1+1-1-50-1-10-2+90-1-5-1-1-3-1-3-2-20-1-2+150-1-3-1-3-2-1-6-1-1-1-2-2-2-1-6-5-9-7-5+100-2-2-2-2+1-1+100-3-1-1-1-2-1-2-1-1-2-6-9-4-1-1-1-3-1-1-3-1-4-1-1-1+25-2-1-1-3-1-1-1-3-13</f>
        <v>550</v>
      </c>
      <c r="F10" s="14">
        <f>100+99+50+100+25-2-5-1-1-1-10-1-1-1-4-1-2-2-2-1-4-1-25-3-3-1-1-1-2-1-2+90-1-2-1-3-2-1-2-1-1-50-2-1-10-3-1-1-1-1-4-4-1-1-2-1+34-7-3+65+116-1-2-2-1-1-1-3-1-5-10-4-1+100-2-2+144-1-6-1-1-2-2-1-1-6-1-3-7-2-1-1-3-1+2-1-4-2-1+26-2-1-1-1-1-1-10-3-2-9</f>
        <v>650</v>
      </c>
      <c r="G10" s="14">
        <f>99+21-3-1-1-2-5-2-2-1-1-1-1-1-23-2-1-1-1-6-15+92-2-4-1-1-4-50-3-5-1-3-1-1-2-2-3-3+67+120-2-1-1-3-1-7-1+50-1-1+1-2-2-1-1-2-3+100-1-1-3-1-1+3-1-2-1-1-1-1+25-2-6</f>
        <v>371</v>
      </c>
      <c r="H10" s="14">
        <f>8-1-2-1-1-1-2+92-1-1-2-50-1-2-1-3+33-1-3+65-2-1-1-2-4-1-2+25-2+28-1-1-2-1-10-1+2+1-6</f>
        <v>144</v>
      </c>
      <c r="I10" s="14">
        <f>60+22+7-1-1-1-3-1-2-30-1-2-1-1-1-1-2-2-1+45-1+18-2-1+2-1</f>
        <v>98</v>
      </c>
      <c r="J10" s="14">
        <f>24-1-10-1-1-1+18+25-1-2-1+1</f>
        <v>50</v>
      </c>
      <c r="K10" s="38">
        <f>56+18-10-1-1-3-1+1</f>
        <v>59</v>
      </c>
      <c r="L10" s="35">
        <f>20+80+61+41+100+85+90+57-5-1-1-1-15-6-2-1-1-1-80-2-1-5-10-1-1-1-1-5-8-3-2-34+100-7-1+196-1+5-1</f>
        <v>637</v>
      </c>
      <c r="M10" s="14">
        <f>80+84+40+60+28-2+80*3+90-5-2-1-4-3+3-1-2-6-2-35-1-1-5-1-1-1-1-1-1+1-2-1+78-20-4-1-2-1-1-1-80-1+1-1-4-1-5-1-1-2-5-4-1-1-1-3+295-20-1-1+64-1-1-4-2-3-12-1-1-22-2-5-2-1-3+1+224-3-1+117-1-1-1-2-1-2-11+1-2+354-4-4-1-1-1-1-2-1-1+52-1-1-1-10-2-2-1-3-8</f>
        <v>1441</v>
      </c>
      <c r="N10" s="14">
        <f>80*6+67+15-1+80*4+69+30+40-30-1-4-1-6-1-2-1-1-8-2+8-2-4-1-1-2-1-12-1-2-1-27-1-1-2+1-5-4-1-2-1-1-6-1-1-1-34+297+1-30-4-8-1-1+1-1-1-4-2-3-80-1-1-1-1-4-1-5-2-1-15-2+89-1-1-2-34-1-1-5-3-1-2-1-1-2+147-1-3-1+200-3-2-3-3-1-4-20+343-2-3-2-1-2+319-8-1-1-1-1-13-2-20+213-1-32-2-4-2-3+300-1-13-3-2+290-7-2-10-1-2-1-3-13-1-1-2-1-1-5-1-1-12-1-6-4-10-1-2-4-1-1-2-1-1-1-1-5-3-1-1-7-1-3-4-2-1-1-3-1+54-1-2-3-1-3-7-4-2-1-1-1-1-20</f>
        <v>2546</v>
      </c>
      <c r="O10" s="14">
        <f>80*6+18+15+16-1+80*3+90-30-5-6-2-1-7-2-1-7-1+7-2-1-2-1-1-26-2-3-1-43-2-30-2-1-1-2-1-8-1-1-2-1-20-1-2-2+394-30-12-1-1-1-1-2-5-1-2-80-1-4-1-3-2-1-15-1-4+179-16-1+401-2-1-13-1-1-1-2-2-2-2-1+149-5+149-3-4-3-2-5-20-2-1+1-3-1-1-1-2-1-2-1-1-1-19-20-1-11-2+640-12+433-2-1-7-1-10-5-2-1-1-5-1-3-3-2-2-1-4-11-1-2-1-1+1-3-1-1-1+139-1-2-4-6-7-1-3-1-5-2-3-2+52-1-6-1-1-3-7-3-3-4-9</f>
        <v>2697</v>
      </c>
      <c r="P10" s="14">
        <f>28+70+70+32-4+40-30-1-8-5-2-2-2-4+57+2+152-1-2-1-1-19-2-30-1-1-1-1-2-10+209-29-5-5-1-1-1-1-1-3-80-2-1-2-1-5+90-6-10-7-1-1-1-1-1-1+160+142-6-6+117-1-1-1-1-1+2-2-1-1-3-1-1-1-1-8-15-9-1-1-1-4+81-4-1-2-1-2-2-8-1+297-1-2-2-9-1-1-1-1+198-1-2-4-3-1-1-4-1-8-1-1-2+47-3-1-1-2-1-1-7-3-2-2-1-8</f>
        <v>1330</v>
      </c>
      <c r="Q10" s="14">
        <f>78+38+100+43+35-4-1-2-1-2-15-1+1-10-1-2-1-3-6+78-1-2-1-1-80-1-3-5-1-1-2-1-1-6+117-1-1-1-1+2-1-1-1-6-1-2-10-1-4-4+296-1+24-1+18-5-1+82-1-12-1-1+1-2-1-1-1-1+4-1-6-1-1-1-4</f>
        <v>684</v>
      </c>
      <c r="R10" s="14">
        <f>49+38+120+24-1+30-1-1-2-10-1-1-80-1-2-1-1-1-1-3+10-2-5-1-2-2-3-5+31-7+67-3-2-1+100-1-2+4-1-2-1-1</f>
        <v>325</v>
      </c>
      <c r="S10" s="14">
        <f>29+2-1-1+28-20-1-10-1-4-1-1-1-1+2-2</f>
        <v>17</v>
      </c>
      <c r="T10" s="18">
        <f>30+3+19-1-1+15-1-20-1-1-1-3-1-1+2-4</f>
        <v>34</v>
      </c>
      <c r="U10" s="13">
        <f>SUM(C10:T10)</f>
        <v>12360</v>
      </c>
      <c r="V10" s="55"/>
      <c r="W10" s="10" t="s">
        <v>23</v>
      </c>
      <c r="X10" s="4">
        <v>1022</v>
      </c>
      <c r="Y10" s="4">
        <f t="shared" si="1"/>
        <v>3577</v>
      </c>
      <c r="Z10" s="4">
        <f t="shared" si="2"/>
        <v>2555</v>
      </c>
    </row>
    <row r="11" spans="2:27">
      <c r="B11" s="58" t="s">
        <v>23</v>
      </c>
      <c r="C11" s="14">
        <f>100+44+21-1-1-3-1-3-1-1-10-1-1+1-2-4-1-5-1-1-1-2-1-30-2-1-1-1-1-2-1-4-2-1-3-3-1-2-5-1-1-2-1-2+100-3-1+5</f>
        <v>159</v>
      </c>
      <c r="D11" s="14">
        <f>100+100*3+80+30+68-2-15-1-4-3-5+30-2-1-1-1-20-6-4-1-5+1-7-5-1-2-1-7-1-1-1-1-1-1-1-1-1-2-1-4-1-5+1-1-3-1-1-40-35-50-1-26-1-1-1-5-2-1-1-4-1-1-6-10-1-1-1-2+1-2-8-1-2-5-3-1-5-2-1-1-5-5-1-2-1-2-1-2-2-2-1-2-4-3-2-2-2-1-2-9-1-2-5-2-26-1-1-4-1-10+1-1-24-2-11+1-1-1-1+50-1+200+9-2-1-1-1-4-2-1-3</f>
        <v>367</v>
      </c>
      <c r="E11" s="14">
        <f>51+87-1-27-1-5-2-1-4-4-6-1+269-2-1-3-1-1-1-6-1-1-1-1-20-1-1-2-1-1-1+1-7-10-2-2-3-7-2-1-2-1-1-1-1+97-3-1-4-1-2-6+100-2+1-1-1-1-1-5-1+1-1+60-1-5-1-1-1-14-55-50-1-2-1-25-1-5-3-1-1-1-1-6-1-2-1-1-1-2-3-5-2-1-5-3-1-1-8-22-1-3-1-1-3-5-5-1-2-5-9-1-1-1-3-3-2-2-2-1-21-1-2-1-5-1-3-1-1-2-1-6-28-1-3-2-7-1-5-45-2-2-2-1-3-30-5-30+1+30-25-3-3+368-1-1-2-1-8-50-3-2-1-1-1-1+14-1-2-4-1-3-1-2-3</f>
        <v>293</v>
      </c>
      <c r="F11" s="14">
        <f>50+10*2+30+62-1-1-1-1-21-2-4-2-7-1-3+269-6-1-1-3-15-1-1-1-2-1-2+1-2-3-13-10-3-1-5-1-2-1+150-2-1-5+102-1-1-1-1-1+36-2-2-1-1-9-54-2-50-2-1-6-1-1-1-3-1-4-14-1-1-1-10-1-3-2-1-1-3-1-1-4-1-10-2-1-2-3-1-2-4-1-1-5-11-1-3-1-2-1-1-1-2-5-1-1-2-1-4-1-3-1-1-1-1-3-20-1-3-1-1-1-47-2-1-1-18-36-2-1-21-12-1-11+1-2-2+298-3-1-1-1-1-2+16-1-2-2-1-1-1-1-1+1-36</f>
        <v>399</v>
      </c>
      <c r="G11" s="14">
        <f>59-1-1-11-1-2-2-5-5+37-5-1-1-1+98-1-3+21-5-1-2-1+1-8-5-1-2-2-1+50-1+1-3+60-2-2-3+18-1-1-36-23-50-1-3-3-1-1-1-1-3-1-4-1-1-1-1-1-1-1+1-2-1-3-2-1-12-2-2-1-1-1-3-5-2-1-1-2-1-19-2-1-1-1-2-2-1-1-5-1-1-32-9-9+1+100-34-1-1-4+100-2-5-50-1+25-1-1-1-4-1-1-1-1</f>
        <v>117</v>
      </c>
      <c r="H11" s="14">
        <f>49+68-3-2-2-2-1-5-1+1-5-2+20-1+30-1-1-1-40-8-50-1-1-5-1-1-2-1-1-1-1-2-4-1-1-1-1-2-3-1-2-1-1-4-1-3+1-1+149-48-1-1-1-1+1-1-1-1-1</f>
        <v>94</v>
      </c>
      <c r="I11" s="14">
        <f>30+29-1-1-1+1-1+18-1-1-8-30-1-1-1-1-6-1-3-2-2-1-4-1-1-1-2-1-5+1+98-1-2-16-1+5-1-1</f>
        <v>82</v>
      </c>
      <c r="J11" s="14">
        <f>48+20+47-1-2-5-1-1-10-1-1-3-1-2-1-1-1-1-1-1-1-2+2</f>
        <v>80</v>
      </c>
      <c r="K11" s="38">
        <f>43+5-2-10-1-1-1-3-1+2-2</f>
        <v>29</v>
      </c>
      <c r="L11" s="35">
        <f>70+30+90*2+71+80+99+60+32+44+43+43-1-1-2-1-1-1-5-5-2-1-1-1-80-1-1-1-1-1-1-4-5-8-3-2-2-1-2-1-1-5-1</f>
        <v>609</v>
      </c>
      <c r="M11" s="14">
        <f>59+50+45+80*7+34+20+65-2-1-1-6-2-1-2-5-1-1-1-1-20-10-4-4-1-2-15-1-5-20-20-4-1-1-1-4-5-4-5-1-10-6-2+100-3+26-1-1-2-20-6-1-3-2-1-1-1-7-1-1-1-1-1+140-1-1-80-10-2-1-44+1+1-1-1-1-30-19-1-4-20-1-1-1-1-2-9-2-1-28-1-1-1-1-1-2-6-1-2-1-1-2-4-50-8-1+300-1-2-15-2-1-1-12-22-1-1-2-1-11-2-1-1-1-3-1-4-1-2-1-1-1-2-1-3-24-4-1-1-2-26-3-12-1-4-2-5-2-1-10+1-15-1-8-1-1-1+33-2-1-1-2</f>
        <v>638</v>
      </c>
      <c r="N11" s="14">
        <f>1+39+19+80*8+63+79+30+21+50+50+55-20-1-36-7-4-1-1-4-1-1-4-10-1-1-4-1-50-40+99-2-1+22-1-1-4-5-1-3-5-6-30-1-9-1-10-1-20-20-4-2-1-1-1-1-2-1-1-1-2-4-10-1-2-5-1-1-1-10-10-13-4-1+100-9-1-1-7-1+345-1-1-1-2-25-2-1-1-6+50-1-1+346-1-1-1-2-1-4-2-1-1+356-1-3-2-10-3-80-1-1-1-7-1-55-1+1+1-1-2-1-1-35-22-10-4-20-1-1+1+80-2-3-1-1-3-5-1-9-3-1-58-8-2-1-2-1-1-1-16-1-4-2-1+6-2-10-1-50-1-12-8-5-1-1-1-2-1-1-3-20-3-3-2-1-2-20-32-1-2-3-1-3-14-2-4-2-1-1-2-1-1+493-1-2-5-3-3-3-1-1-3+1-3-1-1-2-2-1-1-47-12-5-1-2-2-1-4-1-1-6-1-1-48-3-9-1-1-2-2-24-2-2-13-2-1-15+1-1-1-12-2-1+1-8-4-7-1-1+2-1-1-1-6-1-1-2-3-2-1-1-1-1-1-10-1-14</f>
        <v>1550</v>
      </c>
      <c r="O11" s="14">
        <f>80+80+80+25+30+39+80+80*4+73+23+37+29+13+20+14-14-1-47-14-8-1-6-1-1-4-13+1-4-45-20+298-3-1-18-2+22-1-5-1-1-4-2-2-34-20-20-2-4-1-1-2-1-10-1-1-1-1-1-1-4+3-1-1-10-10-2-3-4-1-10-6-3+256-1-1-2-1-25-2-1-7+100-2-1+194-1-1-1-1-2-1+1-5-1-2-1-5-1-2-1-2-80-2-7-1-28+80-1-35-10+339+28-11-4-18+92-1-1-4-3-10-5-6-1-10+10-1-2-2-1-2-1-1-20-7-1-1-1-1-2-1-1-1-3-3+125-1-1-1-15-1-1-5-2-2-1-1-1-9-2-50-2-20-2+400-1-1-2-1-3-2-3-20-12-2-2-3-1-4-4-10+75-2-2-1-1-3-2-1-1-1-1-12-10-13-1-3-1-3-10-1-2-3-4-2-1-6-1-5-17-1-2-1-1-2-2-46-1-8-2-2-1-8-37-2-1-20-1-7+1+1-3-1-9-1-3-4-1-1-1-1-1-1-7-2-1-10-1-13</f>
        <v>1730</v>
      </c>
      <c r="P11" s="14">
        <f>60+30+1+19+20+70+80+38+35+70+30-4-1-2-18-3-3-3-1-1-4-1-20-2+100-1-1+21-2-6-1-3-4-1-1-20-20-1-1-5-1-5-1-5-3-1-2-1+236-1-1+150-1-1-29-1-5-4-1-3-1-1-2-1-4+140-1-3-2-2-4-80-1-27-30-2-5-4-4-4-1-2-15-1-1-8-2-1-1-2-1-1-1-3-1-1-1+248-6-1-1+14-3-4-2-50-1-1+51-1-1-1-1-2-1-1-1-15-8-1-2-2-2-1-8-2-1-5-1-3-3-2-10-6-1-2-1-1-1-10-1-1-2-2-1-1-2-22-7-1-3-4-1-6-23-1-2-1-1-2-1-2-1-3-14-2-2-13-7-2+1-1-1-5-10-1-1-1-2-1-1-1+29-2-2-3-2-1+1-3-12</f>
        <v>680</v>
      </c>
      <c r="Q11" s="14">
        <f>20+39+20+65+70+60+71+56-3-2-9-2-2-2-1-1-1+29-1-2-2-3-5-3-5-5-1-1-5-3-1-1-1+59-2-2-3-2-2-1-2+60-1-4-4-80-9-1-10-1-1-4-5-5-10-1-2-3-1-1-1-1-2-1-20-2-1-10-3-1-1-1-1-3+74-3-1-4-2-3-6-1-1-7-2-2-5-4-2-1-2-3+1-2-4-1-2-2-1</f>
        <v>296</v>
      </c>
      <c r="R11" s="14">
        <f>40+50+39+40+19-1-2-1-1-2-1-1-1-1-4-1+19-1-1-4-1+30-1+36-1-80-8-1-5-1-2-1-3-1-1+2-1-20-2-2-1-5-1-1-1-2-5+74-1-1-7-1-1+1-2-1-1-1-4+1-1+1-1</f>
        <v>161</v>
      </c>
      <c r="S11" s="14">
        <f>35+21+5+17-2+10-1-20-1-3-1-1-20-1-1-1-1-1-3-1+2</f>
        <v>32</v>
      </c>
      <c r="T11" s="44">
        <f>21+22-1+9-1-20-1-1-3-2+2</f>
        <v>25</v>
      </c>
      <c r="U11" s="13">
        <f t="shared" si="0"/>
        <v>7341</v>
      </c>
      <c r="V11" s="55"/>
      <c r="W11" s="10" t="s">
        <v>24</v>
      </c>
      <c r="X11" s="4">
        <v>1010</v>
      </c>
      <c r="Y11" s="4">
        <f t="shared" si="1"/>
        <v>3535</v>
      </c>
      <c r="Z11" s="4">
        <f t="shared" si="2"/>
        <v>2525</v>
      </c>
    </row>
    <row r="12" spans="2:27">
      <c r="B12" s="58" t="s">
        <v>24</v>
      </c>
      <c r="C12" s="14">
        <f>62+70+71-1-1-5-1+20-1-1-4-1-1-1-1-2-1+1-2-9-3-2-3-30-2-5-1-3-1-1-1-10-1-1-1-1-4-1-3-2-2-7-3-1-2-2-1-2-6-6-1-2-1-2-4-1-1-1-1-1-1-2-2-4-60+3-1-2</f>
        <v>0</v>
      </c>
      <c r="D12" s="14">
        <f>100+100+12-1-1-25-2-2-6-3-40-1-1+302-1-1-1-10-1-10-3-1-3-2-4-1-1-1-2-1-1-1-2-1-1-1-2-1-1+219-1-2-1-1-1-1-1-1-1+55-15-1-2-4-5-2-2-3-1+1+1-1-5-2-2-30-1-2-1-1+119-3-3-2-1-50-2-2-1-1-5-5-5-28-1+1-3-12-7-5-2-2-10-9-1-2-1-1-1-1-3-1-20-1-1-1-1-7-1-3-1-2-1-1-2-3-1-2-1-1-5-1-7-1-1-3-5-2-1-1-1-1-1-1-2-1-6-1-11-6-2-1-1-1+97-3-2-1-1-9-3-2-1-1-1-1-2-1-7-1-1-4-1-16-24-1-4-1-1-2-8-1-4-1-1-10-2-2-5-5-1-1+14-2-50-1-5-3-9-7-1-2-16-3-7-1-3-1</f>
        <v>269</v>
      </c>
      <c r="E12" s="14">
        <f>70+49-70-2-1-1+299-7-7-40-3-1+99-1-2-4-1-1-2-10-1-2-1-1-2-4-1-10-1-2-1-1-1-1-1-1-1-1-2-12-5-3-3-1-2+1-1+267-11-10-2-1-1-3-3+1-2+29+177-1-15-3-1-1-2-4-1-1+4-10-1-2-5-1+15-2-1-1-1-1-2-5-1-2-3-44-2-3-2-3-1-4-37-45-1-4-1+240-2-1-4-3-3-2-1-50-2-1-1-1-4-10-10-2-1-5-5-1-34-1-1+3-8-34-14-1-12-3-1-3-5-2-1-2-1-1-15-1-1-3-1-1-2-15-1-14-2-1-1-1-15-1-1-6-2-2-1-1-1-3-3-1-1-2-2-4-1-3-1-1-7-8-5-2-3-2-4-1-7-1-1-1-1-1-1-9-1-1-3-7-13-3-1-5-1-1-1-5+156-1-1-2-1-1-2-1-15-1-5-2-1-1-5-2-1-3-5-2-4-4-4-10-27-17-23-4-1-3-2-4-7-1-100-17-1-15-1-1-3-3-1-1-1-3+21-3-1-2-1-30-5-1-3-1-7-25-1-2-5</f>
        <v>132</v>
      </c>
      <c r="F12" s="14">
        <f>23+34+407-2-3-2-70-2-1-1-1-18-40-1-1-1-1-1-1-6-2-5-4-5-6-1-1-1-2+2-1-2-1-1-2-4-1-1-9-5-3+444-1-2-2-1-2-1+51-10-2-3-28-15-3-1-2-2-1-2-1-2-1-30-2-1-1-1-32-1-1-3+243-3-2-1-6-1-1-50-3-1-10-10-1-1-1-10-1-1-1-1+2-4-2-15-3+1-8-1-1-1-5-1-1-15-3-1-3-1-1-20-1-18-2-1-1-1-1-1-9-1-2-14-4-1-1-4-1-6-1-2-1-6-1-1-1-11-2-5-1-1-2-1-3-2-1-1-1-7-8-2-4-1+100-1-1-1-1-1-10-1-2-1-2-2-4-2-1-1-2-1-6-2-1-1-4-2-2-13-39-23-16-4-1-1-4-4-4-10-1-3-1-2-2-1-2-1-1-29-5-1+26-3-1-2-1-5-1-7-20-1-1-2-1-8-6-1-1</f>
        <v>363</v>
      </c>
      <c r="G12" s="14">
        <f>9-1-5-3+199-5-40-20-4-1-1-2-1-5-2-2-5-1-1-1-5-1-1+178-1-1-3-3+25-3-2-1-2-1-1-1+1-1-1-5-1-2-16-2-3-1-10+184-1-1-3-50-5-5-10-1+1-2-10-2-1-3-1-1-1-2-1-2-18-15-1-1-3-3-6-10-2-2-1-6-2-3-1-2-1-2-1-1-6-2-3-9-1-1-2+50-1-1-1-1-1-1-1-1-11-4-2-19-11-8-13-1-4-1-2-4-1-2-1-1-1-6-6-1+25-1-1-1-5-11-4-1-15-1</f>
        <v>150</v>
      </c>
      <c r="H12" s="14">
        <f>8-8+120-2-2-4-1-1+73-1-2-1+2-1-2-1-1-1-1-2-2-50-2-2-1+51-1-1-3-9-1-1-2-1-10-1-1-1-2-1-1-1-1-5+102-1-2-1-2-1-6-3-6-4-4-1-1-3+1-1-5-15-1-1</f>
        <v>168</v>
      </c>
      <c r="I12" s="14">
        <f>12-1-1+60-3-1-1-1+30+1-1-1+51-30-2-2+1-6-1-2-2-1-1-1-2-1-4-2-1-1-2-11-1-72+2-1-1</f>
        <v>0</v>
      </c>
      <c r="J12" s="14">
        <f>12+20-1+2-10-3-1-1-1-1-1+18-2-1+2-1</f>
        <v>31</v>
      </c>
      <c r="K12" s="38">
        <f>63+1-10-3-1-1-1-1+2-1</f>
        <v>48</v>
      </c>
      <c r="L12" s="35">
        <f>80+74+93+40+100+20+80+80+10-1-1-2-2-1-2-5-1-1-1-80+30-3-1-1-2-10-2-1-1-1-1-1-8-2-2-2-5-2-1+97-1-57-2-1-6-1-2-1-1-10-2-1-2-2-1+10-1-1-2-1</f>
        <v>476</v>
      </c>
      <c r="M12" s="14">
        <f>40+58+34+80*4+40+80+17+35+80*2+90+80+90+10-10-1-2-40-2-4-1-5-1-1-10-1-10-3-2-1-2-1-1-1-3-20-8-2-2-1-2-5+217-1-5-1-1-2-1-1-2-3-1-1-10-30-3-7-1-1-20-1-1-10-4+100+90-7-1-3-15-1-1-1+1+1-17-1-50-4-5-2-6-8-2-1-1-1-6-18-6-80+257-1-47-1-3-1-1-1-1-3-30-1-1-2-1-72-3-1-1-1-14-2-2-6-1-1-15-36-2-9-1-2-1-1-15-3-1-1-1-4-1-1-1-1-1-2-2-2-1-1-6-1-1+6-1-1-12-1-2-3-5-1-3-2-3-3-1-2-1-2-1-12-1-2-1-1-12+199-2-2-1-1-2-6-1-6-1-4-1-1-1-2-1-25-1--1-1-2-2-2-2-1-3-3-1-16-3-1-5-2-2-3-2-2-7-7-1-2-3-13-4-1-1-1-1-15-8-3-1-1-4-3-1+40-1-1-70-2-2-9-10-20-18-4-1</f>
        <v>770</v>
      </c>
      <c r="N12" s="14">
        <f>50+8+86+80+80*2+78+79+12+80*9+36+-70+49+80*5+70+90+47-14-1-60-2-12-40-1-1-1-1-1-1-2-1-1-2-1-2-2-20-3-1-2-3-5-6-1-1-7-1-3-1-1-1-1-2-20-1-4-3-1-65-6-1-3-1+583-3-2-65-7-1-2-3+46-1-8-2-1-1-5-1-6-1+1+1-5-2-10-1-1-1-3-3+298-11-1-1-1-1-1-1-8-1+1-2-15-1-3-4-10-2+47-45-9-7-10-25-1-1-5-1-1-4+3-17-1-3-1+398-6-2+5+1-26-4-1-60-5+287-1-10-10-1-38-2-1-2-2-1-3-3-20-60-80-1-2-2-2-47-1-3-1-11+1-3-2-2-1-1-1-1-1-1-2-35-1-1-90-3-4+1-34-4-1-2-1-1-2-30-2-2+1-3-3-2-45-1-1-46-40-8-5-1-1-1-2-4-1-6-1-29-21-1-1-2-6-4-1-1-2-1-1-2-1-1-17-2-1-1-40-1-30-1+1-1-1-1-5-13-9-2-1-3-2-5-1-1-1-4-2-2-10-2-4-3-1-1-1-2-12-1-20-6-2-2-1-6-20-1-1-1-2-1-1-1-2-1-20+234-1-2-1-12-1-2-6-5-1-3-3-2-1-1-2-1-3-1-2-1-5+1-1-1-2-1-1-10-36-3-1-6-23-1-1-1-1-1-2-1-1-3-1-2-20-27-6-1-2-5-1-1-1-8-5-8-1+1-1-6-2-2-1-1-32-2-6-1-1-4-9-14-1-7-1-1-1-10-34-1-1-7-1-1-8-1-1-8-1-3-4-5-7-4-1-1+26-6-1-2-2-2+1-1-100-1-2-16-1-1-20-33-2-1-1-1-4-2-1-1-1-1-5</f>
        <v>1399</v>
      </c>
      <c r="O12" s="14">
        <f>10+80*12+5+79+80*4+68+20+80*9+80+80+85+60-2-1-95-1-2-1-5-30-1-1-1-2-2-1-2-2-1-1-2-1-1-4-5-1-2-1-15-2-2-8-1-2-1-5-9-1-1-2-20-2-3-3-2-10-3-4-4-1-12-1-2-1-10-12-5-1-4-1-1-4-3-4-4-1+3-2-1+89-1-5-10-3-7-2-1-3-1-6-1-3-6-1-10+349-40-1-2-1-6-6-25-1-1-4+3-19-3-1-3-1-1+1-4+1-2-12-50-9+402-1-9-20-28-2-2-8-1-1-1-1-16-73-1-80+196--3-1-2-1-2-27-1-1-1-2-2-1-1-3-35-11-1-1-1-148-2-44-1-2-2-20-2+1-3-2-40-46-34-4-6-1-5-5-1-1-2-1-1-1-10-77-1-2-1-1-6-20-1-4-1-1-2-2-19-2-1-20-1-2-1-15-1-12-4-2-2-2-2-13-1-3-1-2-5-4-8-3-1-4-1-2-1-9-2-20-1-2-1-1-1-6-13+100-1-1-1-1-1-1-1-1-9-2-9-1-1-1-1-3-3-2-1-1-1-1-3-1-2-4-1-1-18-7-1-1-43-9-1-5-2-1-2-1-2-1-1-1-1-5-13-27-5-1-1-1-12-3-6-6-15-6-1-2-58-6-2-3-22-3-4-1-1-7-33-1-5-1-2-1-2-3-1-1-1-16-5-2-1-1-1+30-1-2-1-1-1-1-30-1-7-1-1-26-4-2-1-3</f>
        <v>1519</v>
      </c>
      <c r="P12" s="14">
        <f>70*3+30+20+15+7+70*4+39+25+80+70*3+10+76+57-14-1-25-1-3-30-1-1-1-1-1-7-5-1-9-1-1-3-1-3-20-3-1-1-5-2-1-3-1-1-5-12-5+215-1-1-1-2-1-5-1-10-5-1-4-1-2-2-2+108-15-29-8-1-2+178-4-1-1-2+1-1-12-3-1-40-5-1-16-2-3-1-1-8-32-80+86-1-1-2-2-1-3-1-1-1-2-2-30-5-1-1-76-1-2-4-2-1-2-15-27-11-2-3-1-2-1-1-2-5-29-2-10-1-1-4-12-4-1+3-1-1-6-1-1-2-1-2-3-3-3-8-2-1-1-4-3-3-4-2-15-1-1-1-5-10+91-1-1-1-5-1-12-1-2-4+132-1-2-1-2-6-1-32-1-1-9-20-1-2-3-1-2-4-13-1-6-8-1-1-1-6-3-4-1-4-1-44-3-4-1-1-3-8-1-1-15-1+1-2-1-1-2-2-4-1-2-3-1-1-1-2-2+46-2-2-2-2-5-1-28-2-1-6-1-10-2-3-3</f>
        <v>737</v>
      </c>
      <c r="Q12" s="14">
        <f>6+61+70+70+47+25+15+70+70+69+71-10-1-40-2-8-3-2-7-2-1-1-1-2-1-2-1-1-3-2+75-2-1-1-3-1-8+1-3-2+142-3+98+1-3-1-12-2-2-1-1-1-1-1-2-1-1-5-7-2-80-1-5-1-1-10-12-2-1-1-2-1-12-6-2-1-1-1-17-1-5-3-3-1-4-2-2-5-2-2-10-2-1-1-6+39-3-1-8-1-2-1-1-3-24-5-1-1-1-8-7-7-1-3-2-1-1-2-4-1-1-1-4-1-1-1-5-1-15-2-1-3-1-1</f>
        <v>439</v>
      </c>
      <c r="R12" s="14">
        <f>39+60+70+10+69+13-30-1-2-1-2-4+74-1+30+1-1+70-1-1-3-5-1-80-5-1-1-3-3-5-3-1-2-1-1-1-2-1-1-1-1-1-5-2-1-1-6-2+39-1-1-8-1-14-3-1-3-1-1-2-1-1-4-1-3-1-1-1-1-2-1</f>
        <v>238</v>
      </c>
      <c r="S12" s="14">
        <f>15+16+5+18-3-4-2-20-3-1-1-2-1+17-1-6-1-2-1</f>
        <v>23</v>
      </c>
      <c r="T12" s="18">
        <f>47-1-20-1-2-1-1-1-1+16-1-2-1-2-1</f>
        <v>28</v>
      </c>
      <c r="U12" s="13">
        <f t="shared" si="0"/>
        <v>6790</v>
      </c>
      <c r="V12" s="55"/>
      <c r="W12" s="10" t="s">
        <v>25</v>
      </c>
      <c r="X12" s="4">
        <v>776</v>
      </c>
      <c r="Y12" s="4">
        <f t="shared" si="1"/>
        <v>2716</v>
      </c>
      <c r="Z12" s="4">
        <f t="shared" si="2"/>
        <v>1940</v>
      </c>
    </row>
    <row r="13" spans="2:27">
      <c r="B13" s="58" t="s">
        <v>25</v>
      </c>
      <c r="C13" s="14">
        <f>20+78+20+10+15-2-1-1-1+40-1-1-10-1-1-1+15-12-3+48-1-30-4-1-3-2-1-1-10-6-3-1-1-3-5+1-1-2+1-1-1-2-3-1-1-3-3-6</f>
        <v>117</v>
      </c>
      <c r="D13" s="14">
        <f>80+100+198+51-22-7-2-2-1+50-1-15-1-1-1-2-2-2-3-27-2-1-1+102-1-1-6-5-1-10+117-13-3+100-1-1-5+1+99-50-1-1-4-3-2-1-6-1-1-4-10-1-12-1-4-6-1-2-1-8-1-5-6-2-19-2-3-1-1-5-4-3-20-5-2-1-2+1-1-2+49+1-1-1-8-3-2-3-4-1-2-1-1-5-1-21-4-1-2-1+1-4-1-1-1-4-1-2-1-2-2-1-2-2-1-4+29-2-1-5-1-1-3-7-1</f>
        <v>522</v>
      </c>
      <c r="E13" s="14">
        <f>5+100*3-1-22-1-1-4-3+40-1-1-2-1-6-1-2+100-1-25-1+99-1-1-2-1-1+49-2-1-1-1-1-4-18-8-1-3-1+245-1-1-1-1-1-8-2-2-1-1-15-3+1+100+48-1-1-1+50-50-6-1-1-3-6-5-1-22-1-1-9-15-1-34-2-4-2-2-10-1-1-2-1-4-10-12-1-1-3-7-8-2-9-6-2-1-1-1-7-8-9-2-20-5-3-2-2-2+119+1-9-2-1+1-2-1-2-3-2-7-1-1-2-1-6-2-3-1-2-1-10-2-43-9-2-10-5-2-11-2-1-2-1-4-1-2-1-3-3-2+26-6-1-2-2-8-2-3-4-6-1-3-23-4</f>
        <v>485</v>
      </c>
      <c r="F13" s="14">
        <f>75+31+75+43-1-2-1-1-6-1-2-2-1-1+99-20+100-1-1-1-3-1+48-4+204-2-3-1-9-1-1-2-1-7-1-1-20-1-3-1-10-2+94+200-50-2-1-1-1-2-6-5-24-2-10-20-15-2-2-2-2-10-3-1-7-1-10-3-1-12-1-1-3-1-13-8-1-1-1-1-7-6-1-1-1-1+147-10-6-7-6-5-2-2-1-1+1-1-1-2-1+1-1-2-1-2-1-1-1-1-1-1-1-1-3-3-3-3-1-6-3-1-43-1-2-2-10-5-2-12-1-1-1-2-2-2-3+27-1-2-2-2-3-2-14-4</f>
        <v>586</v>
      </c>
      <c r="G13" s="14">
        <f>100+20+58-4-2-1-1-2+99-1-10-1+100-1-2-4-3+21-2-2-1-9-1-2-1-1-1+128-2-2-4-1-3-25-1-4-1-50-2-1-3-5-1-1-6-2-3-5-3-10-2-4-5-1-2-1-9-10-1-2-1-1-1-1-1-3-1-1-5-1-3+1-1+49+1-1-1-1-1-2-2-2-1-3-1-1-2-18-1-1-2-2-1-1-5-1-1-2-2-1-2-2-1+22-1-1-1-2-1-2-4-2-4</f>
        <v>276</v>
      </c>
      <c r="H13" s="14">
        <f>30+33+10+20+77-1-1-5+10-1+39-1-1+29-11-50-1-2-1-4-8-2-2-5-1-1-1-1-10-20-2+1+1-1-2-2-6-1-1-1-2-1-1+2-2-2-1-1-5</f>
        <v>91</v>
      </c>
      <c r="I13" s="14">
        <f>30+30+20+38+15-1-1-1-1-5-30-1-2-25-1-4-4-1+1+1-1-1-1-1-1+3-2-1-1-3</f>
        <v>49</v>
      </c>
      <c r="J13" s="14">
        <f>49+20+15+10-1-3-10-1-1+2-4</f>
        <v>76</v>
      </c>
      <c r="K13" s="38">
        <f>35+59+10+15-10-1-1+2-1</f>
        <v>108</v>
      </c>
      <c r="L13" s="35">
        <f>32+70+75+10+25+45+50+70+90+44-1-1-1-2-3-1-50-2-5-1+99-8-3-5+100-1-80-3-1-1-6-10-2-1+145-5+1-2+1-50-3-2-1-5-34+4-1-3</f>
        <v>567</v>
      </c>
      <c r="M13" s="14">
        <f>1+3+25+80*3+37+19+197+57-2-2+209-18-8-1-1-1-6-2-1+1-1+99-1-20-2-3+40-4-1-4-1-50-2-18-1-1-2-10-1-3-2-1-15-1-5-16+100-2-12-3+100-10+100+98-1-1-80-75+49-1-1-8-1-1-1-1-1-20-1+50-8-15-2-1-1-3-3-1-3-4-2-1-18-1-8-1-4-1-6+166-10-5-1-1+384-3-1-2-1-1-4-1-12-1-2-1-4+1-8-2+1-2-2-1-1-4-6-1-2-2-10-1-4-1-1-1-22-2-4-11-4-1-1-1-8-1-144-1-1+47-1-1-1-2-3-22-2-1-3-1-17</f>
        <v>1160</v>
      </c>
      <c r="N13" s="14">
        <f>10+64+10+6+78+6+12-20+360-25-2-16+100-2-1-45-1-1-21+200+135-1+350-1-20-6-1-12-1-5-1-1-1-1-32-2-2+302-1-50-1-2-15-1+1+1-1-3-10-2-1+351-1-4-1-1-2-8-20-9-4-1-18+117+421+280-1-2-1-31-3-2-1+200-9-10-1-3-2-1-80-5-75+1-4-2-22-1-1-1-6-25-1-2-12-8-45-3-13-4-5-1-1-1-3-4-1-7-3-2-20-3-1-3-1-1-11-4-2-1-1-3-1-4-1-3+200-9+486-20-4-3-2-1-1-1-5-6-10-1-1-1-20-20-2-1-1-4-12+1-1-1-10-1-1+1-8-2-2-48-7-13-3-4-1-2-25-1-30-10-1-60-1-9-6-1-1-1-1-1-37-1-6-1-6-2-1-5-2-23-1-2-8-1-1-1-1-2-3-2-3-2-1-7-227-4-5+32-5-1-1-2-1-1-3-4-40-10-15-3-5-1-2-50-1-43</f>
        <v>1963</v>
      </c>
      <c r="O13" s="14">
        <f>80*3+49+84+86+85+85+86+85+74+30+6+80*3+82+2+7-14+358-19-4-16-2-3-1-1-1-3-1+372-1+347-1-20-8-14+40+20-3-2-2-2-27-4-1+140-4-50-1-12-1-2-1-1-2-10-3-2-1-1+110-3-6-5-1-1-15-12-12-5-1-6-2+390+30-2-1-1-3-1-35-1-2-1-20+47-2-80-1-20-65-1-2-11-1-7-2-1-1-1-25-1-10-6-1-1-2-2-1-8-9-40-1-12-8-3-1-1-1-2-6-1-7-1-3+150-20-1-4+349-10-6-2-40-1-1-1-2-1-2-1-1-7-20-1-1+60-13-2-1-1-11-1-5-10-20+60-1-1-3-4-6+1-1-9-3-1+2+1-1-12-5-6-1-49-3-1-1-9-1-5-8-1-6-1-2-22-1-1-10-60-4-1-1-1-34-6-1-1-2-1-1-5-4-2-32-2-1-3-20-2-2-3-1-2-1-2-2-4-1-3-14-1-106-6-5+26-1-1-6-9-2-1-12-4-26-2-5-3-1-1-10-3-10-45</f>
        <v>2179</v>
      </c>
      <c r="P13" s="14">
        <f>70+70+70+36+40+36+199+14-4+179-7-8-1-1-1-1-1-1-15-2-2+99-1-20-9-9-9+40-2-1-1-16-2-1-1-1-50-4-2-1-1-1-5-1-1+270-1+1-1-1-1-9-6-6-2-1-15-1-1-1-5-1-15-1+200+48-1-5-2+118-3-80-10-1-75+82-6-2-2-1-2-20-6-10-6-15-3-2-5-4-7-11-3-7-3-1-10-4-1-1-1-1-3-1+294-5-1-4-2-8-5-10-15-1-3-1-3+1-1-1-9-1-1-2+1-3-1-4-2-25-5-1-6-1-4-5-14-30-10-60-1-2-1-2-2-1-1-16-4-1-6-1-1-5-2-14-2-2-1-1-1-5-1-1-2-1-1-1-4-3-2-27-1-1-5+26-3-1-4-1-3-3-15-2-5-1-2-1-1-4-21</f>
        <v>895</v>
      </c>
      <c r="Q13" s="14">
        <f>50+60+30+50+50+53+73+40+19+45+18+30+41-3+15-1-1-1-5+40+100-1-6-7-1-2-1-1-3-1+150-1-1-3-7-80-5-10-1-3-1-5-1-2-12-1-5-1-2-3-1-3-2-5-4-1-1-10-2-6-3-10-1+1+49+1-3-4-1-1-1-3-7-10-40-1-1-6-1-1-1-1-5-1-1-5-1-1-2-3-6+5-5-1-3-2-1-3-2-5-2</f>
        <v>562</v>
      </c>
      <c r="R13" s="14">
        <f>50+50+19+10+9+33-1+14+40-9-2-1+20-2-3-1-1+100-20-1-4-1+8-80+20-1-3-3-2-1-1-5-1-2-1-5-1-1-1-5+69-1+1+43+1-11-1-2-1-3-1-10-1-1-1-1-1-1-6-1-3+4-1-3-4-3</f>
        <v>275</v>
      </c>
      <c r="S13" s="14">
        <f>5+11+2+29+12+15-1-4-3-20+20-1-1-1-1-1-1-10-1-1-1+2</f>
        <v>49</v>
      </c>
      <c r="T13" s="18">
        <f>30+19-1+14-2-1-1-20-2-1-1-5-1-1+2-1-1-1</f>
        <v>26</v>
      </c>
      <c r="U13" s="13">
        <f t="shared" si="0"/>
        <v>9986</v>
      </c>
      <c r="V13" s="55"/>
      <c r="W13" s="10" t="s">
        <v>26</v>
      </c>
      <c r="X13" s="4">
        <v>638</v>
      </c>
      <c r="Y13" s="4">
        <f t="shared" si="1"/>
        <v>2233</v>
      </c>
      <c r="Z13" s="4">
        <f t="shared" si="2"/>
        <v>1595</v>
      </c>
    </row>
    <row r="14" spans="2:27">
      <c r="B14" s="58" t="s">
        <v>26</v>
      </c>
      <c r="C14" s="14">
        <f>57+28+33-3-2-1-3-1+20-15+1-3-2-2-1-1-1-2-2-1-2-4-1-1-2-1-1-1-1-2-1</f>
        <v>82</v>
      </c>
      <c r="D14" s="14">
        <f>66+61-1-7-1-2+49+87-2+70-7-1-6-5-2-4-1-1-1-14-34-6-3+99-5-1-2-30-1-3-5-10-1-2-2-1-1-4-1-2-1-10-2-6-2-1-3-1-1-1+102-1-3-6-1-1-2-10-2-2-1-1-2-6-1+2-2-21-1-2-8-1-1-1-1-1-3</f>
        <v>258</v>
      </c>
      <c r="E14" s="14">
        <f>68-8-2+195+40+39-1-10-14-2-3-1-1-1-2-2-1-1-1-1-1-3-17-52-1-1+5-3-1+1-2-5-2-2-1+197-30-1-6-2-2-1-1-2-1-1-3-1-1-3-1-25-2-8-2-3-3-3-1+1+101-1-1-1-1-1-1-3-9-2-40-3-2-1-2-22-1-1-1-43-1-11-3-1-4-1-1-1-1-1-3-2-3-1-1-1</f>
        <v>230</v>
      </c>
      <c r="F14" s="14">
        <f>87-1-2+298+20-1-8-2-1-1-1-1-1-1-3-10-32-3-1+1-1-1-1-30-7-6-8-2-1-1-2-4-2-1-1-2-1-1-2-1-30-1-1-14-1-2+198-1+3-2-1-3-3-1-1-11-1-2-45-2-2-1-1-1-1-2-10-1+2-2-43-6-1-1-12-1-1-2-2-1-1</f>
        <v>251</v>
      </c>
      <c r="G14" s="14">
        <f>42-2+49+63+69-1-1-1-1-6-16-3-1+20-25-4-2-3-5-6-1-1-2-9-1-20-5-1+52-1-2-7-4-1-1-3-1-3-9-1+3-18-2-1-2-1</f>
        <v>124</v>
      </c>
      <c r="H14" s="14">
        <f>60-2+46-1-1-1-1-8-5+20-20-2-1-1-8-1-10-1-1+52-2-4-2-1-10-1-2-6-9-3-1-1</f>
        <v>72</v>
      </c>
      <c r="I14" s="14">
        <f>77-2+13+4-1-15-1-10-1-1-2-10-1+2</f>
        <v>52</v>
      </c>
      <c r="J14" s="14">
        <f>12-1+42-1-5-4-1-1-1-1-3-1</f>
        <v>35</v>
      </c>
      <c r="K14" s="38">
        <f>18+38+45+80-5-2-5-1-3-2-1-1+1</f>
        <v>162</v>
      </c>
      <c r="L14" s="35">
        <f>73+108+90+39+72-1-1-1-1-1-4-1-20+19-3-1-1+49-3-8-2-1-2-1-1-1+2-2</f>
        <v>396</v>
      </c>
      <c r="M14" s="14">
        <f>80+80+80+80+70+80+64-1-2+65-1-4-2-1+8-8-1-1-1-15-6-15-10-5-61-3-1-1-4-3+195-24-30-5-7-1-1-5-1-2-1-1-1-25-12-2-2-2-1+200-3-1-5-22-1-2-5-25-2-1-35-1-1+1-2-22-2-2-1-2-1-3-1-1-1-1-2-1-1-5-1</f>
        <v>581</v>
      </c>
      <c r="N14" s="14">
        <f>80*9+32+66-1+80*10+63-1-2-3-1-1-1-10-2-2-1-1-1-1+4-9-6-1-1-1-15-1-4-20-1-7-1-14-162-1-6-1-1+3-1-3-2-4-26-1-1-1-40+99-1-3+1-15-13-1-1-3-6-4-1-1-1-1-1-13-2-1-1-3-25-12-2-20-2+198-1-1-2-1-4-1-2-5-32-2-35-2-8-1-1-2-5-1-1-1-1-3-176-1-2-3-33-37-2-6-5-2-1-3-1-8-1-1-1-3-2+1-1-1-1-1-1-1-2-7-3-10-1-1-1</f>
        <v>1064</v>
      </c>
      <c r="O14" s="14">
        <f>80*10+3+80*7+56-10-1-2-7-1-3-1-2-3-1-1+4-3-1-8-1-1-1-1-2-1-3-1-5-1-21-148-9-1-2-1-1-9-1-1-1+1-2-2+294-18-40-1-1-1-1-1-15-3-2-10-9-1-1-2-2-1-2-16-2-2-2-1-30-3-12-1-9-1-1-1-1+202+1-1-3-1-1-1-5-3-5-12-1-2-1-18-1-1-5-3-1-1-150-4+1-1-62-34-2-5-5-1-3-1-5-1-28-3-3-1-1-2-2-16-3-2-2-3-1</f>
        <v>1062</v>
      </c>
      <c r="P14" s="14">
        <f>58+140+125+60+80+75-1-4-1+16-1-6-1-4+1-1-20-1-5-1-1-1-14-85-1-6-2-1-1-3-1-1-5-25+198-1-1-5-1-1-6-2-1-1-16-2-1-1-20-12-6-2+242-1-3-5-3-3-2-3-9-1-1-1-3-2-5-2-1-1-102-3-1-1-13-16-2-1-6-7-2-1-2-1-2-1-1-1-1</f>
        <v>513</v>
      </c>
      <c r="Q14" s="14">
        <f>50+69+62+70+20+70-1-1-3-1-2-10-1-1-5-33-1-20-1-3-1-10-1-10-1+152-1-2-4-1-1-1-1-1-38+1-6-1-2+1-1</f>
        <v>329</v>
      </c>
      <c r="R14" s="14">
        <f>47+60+17+70+31+60-6-10-1-3-2-15-2-1-10-1-1-2-1-1-10-14-1-1+2</f>
        <v>205</v>
      </c>
      <c r="S14" s="14">
        <f>11+2+28+9-3-2-2-1-1-5-1-4-1-1-1-1-10-5+1</f>
        <v>13</v>
      </c>
      <c r="T14" s="18">
        <f>35-5-1-1-1-1-1-2+1</f>
        <v>24</v>
      </c>
      <c r="U14" s="13">
        <f t="shared" si="0"/>
        <v>5453</v>
      </c>
      <c r="V14" s="55"/>
      <c r="W14" s="10" t="s">
        <v>27</v>
      </c>
      <c r="X14" s="4">
        <v>1381</v>
      </c>
      <c r="Y14" s="4">
        <f t="shared" si="1"/>
        <v>4833.5</v>
      </c>
      <c r="Z14" s="4">
        <f t="shared" si="2"/>
        <v>3452.5</v>
      </c>
    </row>
    <row r="15" spans="2:27">
      <c r="B15" s="58" t="s">
        <v>27</v>
      </c>
      <c r="C15" s="14">
        <f>53+20+73+50+68-1-10-1-15-1-1-2-2-2+31-1-1-1-1+31</f>
        <v>287</v>
      </c>
      <c r="D15" s="14">
        <f>100*4+80+99+98+99+74+59-4-1-1-6-1-1-1-1-10-1-2-1-30-3-5-1-1-1-2-1-1-5-2-1-2-6-1-1-3-1-1-1-1-1-1-1-2-1-1-1-3-3-1-1-1-1-1-1-2-3-1-1-3-1</f>
        <v>778</v>
      </c>
      <c r="E15" s="14">
        <f>100*4+38+98+84+70+64-4-5+1-6-1-1-3-1-1-2-1-1-1-1-10-1-2-1+1-1-1-1-30-6-5-2-1-2-2-2-1-5-4-1-3-1-1-1-1-3-1-1-1-1-1-5+297-1-6-1-1-2-1-1-1-1-1-2-1-1-1-2-1-7-1-3-1-2-1-1</f>
        <v>887</v>
      </c>
      <c r="F15" s="14">
        <f>100*5+20+50+58-4-1-1-3-6-1-1-3-1-1-1-1-2-1-1-1-1-1-2-2+1-1-1-1-30-6-1-3-1-2-7-1-1-3-1-3+397-1-3-1-1-1-2-3-2-3-1-1-1-1-1-1-1-1-1-2-1-2-3-1-1</f>
        <v>893</v>
      </c>
      <c r="G15" s="14">
        <f>100+2+24+98+80-2-3-3-1-1-1-1-1-1-20-1-1+1-1-1-1-25-3-3-5-2-2-1-6-2-1-3-1+99-2-1+100-1-1-2-3-1-2-7-1-1-1-3-2-1-1-1</f>
        <v>380</v>
      </c>
      <c r="H15" s="14">
        <f>54+55+40+70+21-2-20-2-5-1-2-2-2-1-2-1+31-1-1-2-1-3-1-5-1-1-1-1</f>
        <v>213</v>
      </c>
      <c r="I15" s="14">
        <f>48+26-1-1-1-1-15-1-1-2-2-1-1-2+61-1-4</f>
        <v>101</v>
      </c>
      <c r="J15" s="14">
        <f>48+22-5-1-1-1-1-2+1</f>
        <v>60</v>
      </c>
      <c r="K15" s="38">
        <f>36-1-5-1-1-2-1+1</f>
        <v>26</v>
      </c>
      <c r="L15" s="35">
        <f>60+80+79+79+61+53-1+1-1-20-1-1-3-22+2-5</f>
        <v>361</v>
      </c>
      <c r="M15" s="14">
        <f>70+70+80+80+90+78-1-1-1-1-1-1-1-30-2-5-24-2-1-5-1-1-2+160-2-1-5-5-2</f>
        <v>533</v>
      </c>
      <c r="N15" s="14">
        <f>90+90+80+70+80+85+69+85+85+90+80+64-2-1-1-1-1-1-1+1-40-3-1+1-2-15-26-1-2-1-1-1-1-1-5-1+200-1-3-2-1-1-1-3-1-4-1-8-3-1+79-1-1</f>
        <v>1108</v>
      </c>
      <c r="O15" s="14">
        <f>80*8+70+80*3+70+73-1-2-1-2-1-1-1-1-40-1-1-1-15-18-1-2-1-1-5-1-1-2-1+75-1-5-4-1-1-1-1-1-10-2-1-1-2-1-1</f>
        <v>1034</v>
      </c>
      <c r="P15" s="14">
        <f>70+70+49+49+70+71-1-1-1-1-1-1-25-5-5-1-2-1-2-3-1-1+101-1-1-1-2-1-1-1-3-1-1-2-2-1</f>
        <v>410</v>
      </c>
      <c r="Q15" s="14">
        <f>70+65+64+70+45-2-1-1-1-20-1-2-3-1-2-1-1-1-1-1-2</f>
        <v>273</v>
      </c>
      <c r="R15" s="14">
        <f>70+19+20+60+62-1-15-1-1-2-1-1-1-1-1</f>
        <v>206</v>
      </c>
      <c r="S15" s="14">
        <f>20+30+3-5-1-2+1-1</f>
        <v>45</v>
      </c>
      <c r="T15" s="18">
        <f>30+9-1-5-1-1+1</f>
        <v>32</v>
      </c>
      <c r="U15" s="13">
        <f t="shared" si="0"/>
        <v>7627</v>
      </c>
      <c r="V15" s="55"/>
      <c r="W15" s="10" t="s">
        <v>28</v>
      </c>
      <c r="X15" s="4">
        <v>1416</v>
      </c>
      <c r="Y15" s="4">
        <f t="shared" si="1"/>
        <v>4956</v>
      </c>
      <c r="Z15" s="4">
        <f t="shared" si="2"/>
        <v>3540</v>
      </c>
    </row>
    <row r="16" spans="2:27">
      <c r="B16" s="58" t="s">
        <v>28</v>
      </c>
      <c r="C16" s="14">
        <f>54+20+28-1-1-10-10-1-2-1+1-1</f>
        <v>76</v>
      </c>
      <c r="D16" s="14">
        <f>100+60-6-1-2-2-6-2-1-1-8-3+153-1-3-20-3-2-2-1-3-1-3-2-1-1-1-7-1-1-1-2-1-3-2-3-1-3</f>
        <v>212</v>
      </c>
      <c r="E16" s="14">
        <f>40+91+59-2-1-1-11-1-2-4-1-1-4-1-1-1-10+81+150-1+1-2-3-25-6-1-1-2-1-1-1-1-6-10-1-3-2-1-1-1-1-1-1-1-80-7-1-4-1-1-1-1-1-3</f>
        <v>207</v>
      </c>
      <c r="F16" s="14">
        <f>84+60+63-4-1-1-16-5-1-1-1-4-2-2-10+240-1-1+1-2-25-1-6-1-2-25-10-1-1-1-1-1+1-3-2-1-1-1-2-1-2-20-10-4-1-6-2-1-1-2-1-1</f>
        <v>260</v>
      </c>
      <c r="G16" s="14">
        <f>87-10-3-2-7-1-1-2-1-3+100-1-20-3-1-10-3-2-2-2-2-3-1-3-1-10-7-1-1+1</f>
        <v>85</v>
      </c>
      <c r="H16" s="14">
        <f>47-4-11-1-2+51-15-2-1-2-1-1-1-3-1-1-5</f>
        <v>47</v>
      </c>
      <c r="I16" s="14">
        <f>31+74+51-1-1-1-1-10-1-1-1-2-1+1</f>
        <v>137</v>
      </c>
      <c r="J16" s="14">
        <f>33-5-1-1-1-1-1+1</f>
        <v>24</v>
      </c>
      <c r="K16" s="38">
        <f>18+27-5-1-1+1</f>
        <v>39</v>
      </c>
      <c r="L16" s="35">
        <f>52+80+62-5+14-1-1-15-1-1-3-1-1-1-8+3</f>
        <v>173</v>
      </c>
      <c r="M16" s="14">
        <f>90+12+80+80+62+80+20+75-2-3-6-2-14+100-1-3-25-5-1-1-1-18-5-1-10-1-1-1-2-2-12-2-30-1-1-2-1-2-1</f>
        <v>442</v>
      </c>
      <c r="N16" s="14">
        <f>80*8+22+80*2+90+63-1-1-2-1-8-2-16-1-1-1-1+166-1-6+82-1-2-30-1-1-1-3-15-1-1-1-8-1-1-1-1-12-2-1-5-1-1-1-2-1-3-2-6-10-1-80-1-1-2-1-1+80-5-5-2-1-38-1--1-2-1-3-4</f>
        <v>997</v>
      </c>
      <c r="O16" s="14">
        <f>80*7+60+20+60+6+59+43+80+15+51-1-1-1-1-7-18-1-1-1-4-2+134-1-1-12+109-1-1-3-30+1-1-15-1-8-1-1-1-1-19-1-12-5-1-2-10-1-1-2-4-5-20-1-1+20-7-1-1-1-20-1-1-1-1-2-4-1-1-3-4</f>
        <v>968</v>
      </c>
      <c r="P16" s="14">
        <f>70*7+41+5+45+32-2-2-1-4-1-2-2-1-1-4-2-1-6-3-1+1-1-2-20-1-5-15-24-1-15-1-1-3+1-3-1-1-1-1-1-3-7-1-5-2-1-10-1-1-2-3-1-6</f>
        <v>442</v>
      </c>
      <c r="Q16" s="14">
        <f>1+51+30+45+29-2-2-1-1+76-5+75-20-3-1-4-4-5-2-1-1-1-1-3-1+2-2-1</f>
        <v>248</v>
      </c>
      <c r="R16" s="14">
        <f>50+52+39+40+17-1-3-1-15-1-2-1-2-1-1-1-1</f>
        <v>168</v>
      </c>
      <c r="S16" s="14">
        <f>10+20+4-2-1-5-3-1-1-1+1</f>
        <v>21</v>
      </c>
      <c r="T16" s="18">
        <f>9+26-6-5-1-1+1</f>
        <v>23</v>
      </c>
      <c r="U16" s="13">
        <f t="shared" si="0"/>
        <v>4569</v>
      </c>
      <c r="V16" s="55"/>
      <c r="W16" s="10" t="s">
        <v>29</v>
      </c>
      <c r="X16" s="4">
        <v>1250</v>
      </c>
      <c r="Y16" s="4">
        <f t="shared" si="1"/>
        <v>4375</v>
      </c>
      <c r="Z16" s="4">
        <f t="shared" si="2"/>
        <v>3125</v>
      </c>
    </row>
    <row r="17" spans="1:26">
      <c r="B17" s="58" t="s">
        <v>29</v>
      </c>
      <c r="C17" s="14">
        <f>100*3+50+62+81+19-1-1-8-1-1-1-1-1-3-10-4-1-1-1-1-1-5-2-1-2-2-2-1-1-1-1-1-2-1-1-2</f>
        <v>450</v>
      </c>
      <c r="D17" s="14">
        <f>100*3+76-2-2-1-1-2-2-2-1-1-4-1-1-1-1-1-1+1-2-3-1-4-1-1-1-1-14-5-2-1-1-3-20-2-1-1-3-2+1-3-50-1-1-2-1-1-1-2-3-4-2-2-2-5-2-1-1-1-2-3-11-5+98-2-1-3-5-1+38-2-1-2-1-1-1-13-5-3-1-1-5-5-1-1-1-2-8-2-3-1-1-3-1-1-6-3-1</f>
        <v>227</v>
      </c>
      <c r="E17" s="14">
        <f>100*4+98+23+56-4-2-1-1-1-1-1-1-1-1-1-1-8-1-1-1-1-2-1-1-2-1-2-3-2+2-3-1-2-1-2+1-2-1-12-2-1-26-5-1-1-1-1-1-4-8-25-2-16-2-1-1-2-1-6-1-3-5-6-1+6-1-80+2-7-7-1-2-1-1-1-1-1-2-1-2-4-1-2-2-2-5-4-1-3+133-2-6-3-1+136-1-1-1-2-1-1-1-1-3-2-1-1-14-1-10-3-1-1-3-3-1-1-3-1-5-3-1-1-1-1-1-1-1-1-1-2-2-2-1-1-1-2-1-2-7-1-2-8-2-1-1-2-3-1-1-1-3</f>
        <v>402</v>
      </c>
      <c r="F17" s="14">
        <f>100*4+99+80+102+83+102+59+99-2-1-1-1-1-1-1-1-2-1-1-1-1-1-1-1-1+1-1-6-2-2-5-3-1-2-14-5+1-1-1-1-4-3-25-4-5-2-6-3-1+2-4-30-6-5-1-1-1-1-1-2-2-3-1-4-1-3-1-3-2-1-1-3-3-1-6-2-3-40-2-3-4-3-1-2-1-3-1-3-1-5-3-1-1-1-3-5-2-1-1-1-1-2-1-1-1-2-1-1-1-6-3-1-2-5-4-1-1-1-2-1-1-1</f>
        <v>692</v>
      </c>
      <c r="G17" s="14">
        <f>105+50+42-3-1-1-1-1-1-1-3-2-1-1-1-2-1-1-1-5-5-1-1-1-3-20-2-11-3-3-3-5-1-1-1+2-10-1-4-15-5-1-1-1-1-1-4-1-6-2-5-4-1-7-3-1-1-1-2+73-1-1+70-1-1-1-1-4-1-1-1-1-3-5-1-5-2-1-2-1-2-1-2-2-1-1-1-1-1-1-2-2-1-1</f>
        <v>123</v>
      </c>
      <c r="H17" s="14">
        <f>19+90+50+27-1-1-1-2-1-1-5-2-15-2-2-1-3-5-1-1-1-4-1-1-1-1-1-2-1-1-1-2-2+1-2-1+19-1-1-1-1-3-1-1-1</f>
        <v>130</v>
      </c>
      <c r="I17" s="14">
        <f>30+89+45-1-1-1-10-1-1-8-1-1-1-1-3-1</f>
        <v>133</v>
      </c>
      <c r="J17" s="14">
        <f>30-5-1-1-1-1-1+1-1</f>
        <v>20</v>
      </c>
      <c r="K17" s="38">
        <f>19+28-2-4-1-5-1-1-1-1-1-1+1</f>
        <v>30</v>
      </c>
      <c r="L17" s="35">
        <f>3+70+60+31-1-1-1-15-1-1-1-3+49-1-1+2</f>
        <v>189</v>
      </c>
      <c r="M17" s="14">
        <f>46+80+79+90+21+44-1-2-4-1-1-1-1-1-1-1-1-5-1-1-10-2-1-1-25-2-1-2-1-5-5-6-3-1-1-1-232-10-2-1-1-1+1-5+70-1-1-1-1-1-1-3-1-2-1-1-1-1-4-2</f>
        <v>68</v>
      </c>
      <c r="N17" s="14">
        <f>80*4+40+67+21+53+58-1-1-1-5-1-4-1-1-1-1-2-2-2+1-2-2-1-2-1-1-1-1-2-2-1-1-5-1-3-2+1-1-1-30-3-1-1-11-4-4-1-2-2-15-5-1-1-10+2-6-1-3-1-1-1-1-125-1-1-1-3-10-2-1-10-3-2-1-1-1-5-1-2-2-1-2-1+151-1-2-1-2-1-3+123-1-1-1-7-1-1-3-1-1-3-4-1-3-1-1</f>
        <v>463</v>
      </c>
      <c r="O17" s="14">
        <f>80*5+41+70+10+39+30+39-1-1-1-2-4-1-2-1-2-4-2-1-3+2-4-2-6-1-1-1-1-5-1-1-1-1-1-1-1-30-1-2-1+1-2-3-10-8-1-4-1-15-3+2-7-5-1-1-1-65-1-1-1-3-10-2-1-5-5+272-1-1-1-2-1-1-2-1-1-1-3-3-3-5-1-1-1-1+4-1-1-2-1-1-1-1-4-3-2-2-3+2-1</f>
        <v>616</v>
      </c>
      <c r="P17" s="14">
        <f>80+37+70+21+49+36-3-1-1-1-1-2-1-2+1-2-1-1-1-1-5-20-1-1-3-4-2-5-5-1-2-1-8-1-25-2-1-2-3-1-3-1-1-3+50+66-2-1-1-2-1-3-1-1-1-1-1-2-1-1-2-2-1</f>
        <v>267</v>
      </c>
      <c r="Q17" s="14">
        <f>49+70+53-1-1-3-1-2-1-1-1-3-20-2-1-4-3-5-5-1-3-1-3-1-2+25-1+25-1-1-3-1-1-1-2-1</f>
        <v>145</v>
      </c>
      <c r="R17" s="14">
        <f>20+50+58-1-1-15-2-1-2-10-1-1-1-1+2-1</f>
        <v>93</v>
      </c>
      <c r="S17" s="14">
        <f>10+9+31+6-5-1-1+1</f>
        <v>50</v>
      </c>
      <c r="T17" s="18">
        <f>20+11+19+23-5-1-3-1+1</f>
        <v>64</v>
      </c>
      <c r="U17" s="13">
        <f t="shared" si="0"/>
        <v>4162</v>
      </c>
      <c r="V17" s="55"/>
      <c r="W17" s="10" t="s">
        <v>30</v>
      </c>
      <c r="X17" s="4">
        <v>1119</v>
      </c>
      <c r="Y17" s="4">
        <f t="shared" si="1"/>
        <v>3916.5</v>
      </c>
      <c r="Z17" s="4">
        <f t="shared" si="2"/>
        <v>2797.5</v>
      </c>
    </row>
    <row r="18" spans="1:26">
      <c r="B18" s="58" t="s">
        <v>30</v>
      </c>
      <c r="C18" s="14">
        <f>49+30-1-4-2-1-1-10-3-2-15-3-1-12-1+3-5-1-2-1-1-1-15</f>
        <v>0</v>
      </c>
      <c r="D18" s="14">
        <f>100*2+60+53-1-1-8-6-1-1-2-1-1+1-1-1-1-1-1-1-12-3-1-2-1-1-30-3-1-1-1-2-1-16-1-1+21-11+5-2-4-2-3-1-5-3-1-4-1-5-1-2-20-2-1-8-1-3-33-2-1-1-1-4-2</f>
        <v>111</v>
      </c>
      <c r="E18" s="14">
        <f>77+57-1-1-40-1-19-1-1-1-5-1-1-3-1-2-1-14-3-1-10-2-1+1-6-4-6-1-1-7+125-10-20-22-1+66+200-4-5-2-7-1+6-2-11-7-6-3-2-1-1-1-3-1-1-1-1-2-2-8-1-1-3-28-1-1-3-2-1-6-1-2-1-1-1-57-1-1-1-2-1-1-1-2-2-8-1-1-1</f>
        <v>139</v>
      </c>
      <c r="F18" s="14">
        <f>100+100+30+83-1-1-26-1-1-1-1-1-5-1-1-1-1-1-1-1-1-5-1-1-1-1-19+1-1-5-2-1-30-2-6-2-1-2-1-1-1+242-31+4-1-3-6-2+7-1-3-1-10-1-3-2-3-1-1-1-3-5-13-6-2-16-1-2-56-2-1-1-12</f>
        <v>248</v>
      </c>
      <c r="G18" s="14">
        <f>40+77-1-12-3-5+62-1-5-1-1-1-1-1-1-24-1-2-1-25-3-1-1-1-2-20+20-1-3-2-2+4-1-2-5-1-2-2-1-1-6-4-1-4-8-1-1-1-25-1-1-1-5</f>
        <v>7</v>
      </c>
      <c r="H18" s="14">
        <f>60+63+67-1-1-101-20-2-3-1-1+19-3-1-1-2+2-8-1-1-2-1-1-1-1-1-1-1-1-10-1-1-1</f>
        <v>41</v>
      </c>
      <c r="I18" s="14">
        <f>32-4-1-15-1-1+20-6-1-1-1-1+2-1-1-1-2-15</f>
        <v>2</v>
      </c>
      <c r="J18" s="14">
        <f>15+4-1-1-2-5+16+4+1-1-1-2</f>
        <v>27</v>
      </c>
      <c r="K18" s="38">
        <f>29-5-3+1-1-1</f>
        <v>20</v>
      </c>
      <c r="L18" s="35">
        <f>14+50+52+19+46+40+36-2-1-8-2-1-20-1+97-4+3+2-3-3-9-1-47</f>
        <v>257</v>
      </c>
      <c r="M18" s="14">
        <f>40+80+80+1+11+77+36-1-2-2-26-1-2-5+139-1-1-2-1-1-1-11-2-1-22-1-1-30-1-5-5-1-1-1-11-1-2-9-2+346+4-1-1-6-4-3-2-1-5-3-1-1-2-1-5-2-1-22-5+1-1-1-10-1-134-2-1-1-1</f>
        <v>444</v>
      </c>
      <c r="N18" s="14">
        <f>30+80+80+80+80+80+17+80+39-8+296-2+296-46-1-1-1-8-1-1-1-1-1-2-3-1-1-1-3-2-2-1-1-30-2+1-1-8-2-27-40-1-15-1-10-1-2-1-1+499-31-20-3-1-1-11-5+6-3-1-18-1-4-8+1-5-1-1-2-1-1-6+1-1-2-1-1-1-2-1-4-1-5+2-2-8-20-1-9-1-20-1-1-1-1-1-1-2-125-1-2-1-9-14-1-7-2</f>
        <v>1063</v>
      </c>
      <c r="O18" s="14">
        <f>61+80+80+58+80+80+16+80+80+80+40+21-12-2-2-24-2-29-3-1-1+150-1-1+358-1-1-2-1-1-3-1-1-1-1-1-6-1-2-35+1-1-17-40-1-1-1-15-1-2-10-19-1-3-1-1-1-38-9-4-1-2-9-8+50+7-1+291-1-1-1-1-1-2-10-3-1-1-5-2-6-1-2-1-5-1-3-1-5-1-6-19-1-20-2-1-1-1-1-82-1-2-11-12-1-1-1</f>
        <v>1072</v>
      </c>
      <c r="P18" s="14">
        <f>61+70+70+10+140+41+65+80+28-2-1-32-22-1-1-1-2-1-1-2-1-1-1-14-1-7-9-25-1-1-5-1-10+100+147-13-1-3+1-1-3+4-1-2-1-1-5-7-1-3-3-1-1-1-1-2-1-1-5-11-1-20-1-2-36-1-1-2-1-7-6</f>
        <v>527</v>
      </c>
      <c r="Q18" s="14">
        <f>47+4+59+120+63-14-1-4-1-1-6-1-1-1-20-2-3-1-1-5+38+50+2-4-5-1-2-1-1-2-1-13-2-1-1-3</f>
        <v>284</v>
      </c>
      <c r="R18" s="14">
        <f>30+70+25+25+26-2-1-3-1-2-15-2-1+20-9-3+1-1-5-1-1-1-1-12-1</f>
        <v>135</v>
      </c>
      <c r="S18" s="14">
        <f>30+23-2+5-1-2-5-1-1-1</f>
        <v>45</v>
      </c>
      <c r="T18" s="18">
        <f>19+30-2+5-5-1+1-1-1-2</f>
        <v>43</v>
      </c>
      <c r="U18" s="13">
        <f>SUM(C18:T18)</f>
        <v>4465</v>
      </c>
      <c r="V18" s="55"/>
      <c r="W18" s="10" t="s">
        <v>31</v>
      </c>
      <c r="X18" s="4">
        <v>1714</v>
      </c>
      <c r="Y18" s="4">
        <f t="shared" si="1"/>
        <v>5999</v>
      </c>
      <c r="Z18" s="4">
        <f t="shared" si="2"/>
        <v>4285</v>
      </c>
    </row>
    <row r="19" spans="1:26">
      <c r="B19" s="58" t="s">
        <v>31</v>
      </c>
      <c r="C19" s="14">
        <f>31+30+70+35-2-1-1-1-5-2-1-15+1-1-1-2-2-1-1-2-1-10-4-1-1-1-1-1-2-1-1-17+3-1-1-8-1-1</f>
        <v>79</v>
      </c>
      <c r="D19" s="14">
        <f>100+60+51+55-1-2-2-1-3-2-1-5-1-2-2-1-2-1-4-1-5-1-5-1-1-2-30-1-3-1-1-1-3-1-1-5-2-2-10-1-4-5-1-2-7-1-1-2-1-1-3-1-2-1-8-18-10-3-4-1-1-2-1-1+128+1-2-1+93-2-1-4-1-1-2-2-20-2-3-2-1-2-17-21-1</f>
        <v>214</v>
      </c>
      <c r="E19" s="14">
        <f>100+60+79+40+67-2-3-1-3-1-1-1-1-2-1-4-2-1-1-1-1-1-3-1-4-2-2-2-1-5-1-1-1-1-3-1-5-1+1-1-5-1-5-7-2-1-4-1-1-1-30-6-1-10-2-2-1-1-7-1-3-5-2-2-1-1-1-9-2-1-1-6-1-1-1-1-3-1-1-3-1-1-1-12-13-3-40-4-9-2-5-1-1-5-1-1-1-1-2+298-1-4-1+1-1-6-4-3-3-3-1-10-1-2-33-1-1-4-4-2-4-1-1-2-35-2-41-15</f>
        <v>159</v>
      </c>
      <c r="F19" s="14">
        <f>100+160+101+62+79+68-2-2-2-3-2-3-1-1-4-1-1-1-3-1-1-1-2-2-1-4-2-2-1-1-1+1-9-1-3-2-2-1-1-1-30-7-6-1-1-1-2-4-2-3-2-1-1-3-1-1-1-1-2-1-6-1-2-2-1-1-1-3-1-1-2-2-15-8-8-30-1-3-2-2-1-3-1-1-6+30-1-1-1-4-2-1-1-1-3-2-1-1-1-2-2-5-3-20-1-1-2-10-1-13-1-15</f>
        <v>265</v>
      </c>
      <c r="G19" s="14">
        <f>70+31+50+55-8-2-1-4-1-1-2-4-2-4-2-4-4-2-2-1-1-1-3-3-1-1-25-4-3-2-4-2-1-1-2-1-1-6-1-2-2-3-1-2-8-7-4-2-2-1-3-1-3-1+100-4-1-2-1-1-1-2-4+50-1-1-31-10-13</f>
        <v>135</v>
      </c>
      <c r="H19" s="14">
        <f>100+31+14-3-2-1-1-1-2+1-5-5-2-20-2-1-1-4-2-1-2-2-2-2-2-1+29-1-3-4-1-21-1+2+1-2-10</f>
        <v>71</v>
      </c>
      <c r="I19" s="14">
        <f>51+70+16-1-1-1-2-15-1-3-3-1-4-1-1-5-4-1+2-6</f>
        <v>89</v>
      </c>
      <c r="J19" s="14">
        <f>30+10+1-1-1-1-5-1+1</f>
        <v>33</v>
      </c>
      <c r="K19" s="38">
        <f>30+31-5-2-1-3-1+1</f>
        <v>50</v>
      </c>
      <c r="L19" s="35">
        <f>90+40+32-1-1-1-5-1-1-20-1-4-1-1-3-4-1-2-1+49+50-1+50-4-2+3-1-2-3</f>
        <v>253</v>
      </c>
      <c r="M19" s="14">
        <f>10+80+90+80*6+68+71+37-1-1-2-2-1-1-4-1-5-1-1-2-5-2-2-2-1+1-3-5-1-1-24-6-2-1-1-1-30-1-5-5-1-20-5-3-15-1-2-6-1-2-2-1-2-4-1-1-5-2-1-2-1-1-1-18-2-1-1-7-3-4-7-1+100-2-1-1-1-1-1-4-2-1-1-1-1-1-2-6-3-3-1+1-5-1-2-4-18-1-1-1-2-13</f>
        <v>613</v>
      </c>
      <c r="N19" s="14">
        <f>73+50+50+80+80+80*9+20+56+80+19+44-300-3-2-6+2-1+59-4-6-8-1-1-1-1-1-1-3+301-2-3-1-2-5-3-1-1-10-1-2-1-5-1-1-1-1-3-2-2-5-1-8-26-10-4-1-1-40-3-1-1-10-15-20-5-7-1-1-3-2-6-15-1-10-2-16-1-1-1-1-1-1-3-1-1-8-3-1-4-1-1-1-2-2-1-1-5-1-1-1-5-4-13-2-15-2-6+249-1-3+253-4-10-2-1-2-2-1-2-1-5-3-3-1-1-2-8-1-13-1-6-1-1-1-2-2-2-1-40-42-1-3-1-4-1-1-3-4-5-2-44-11-1-8-2-49-1</f>
        <v>1137</v>
      </c>
      <c r="O19" s="14">
        <f>80+70+29+80+80+80+80+80*4+23+50+59+21+21-100-1-1-3-1-4+1-11+245-3-6-12-1-2-1-1-1-5+99-3-1-2-20-1-3-1-10-1-1-1-5-1-1-1-1-1-1-1-2-1-13-6-18-5-1-2-2-40-2-1+1-1-1-10-15-10-1-1-5-2-1-7-1-4-1-2-15-1-2-3-15-1-1-1-5-5-1-1+14-2-1-1-3-1-1+1-1-1-5-1-1-2-1-1-2-1-1-5-5-8-2-16-6-1-1-1-5-1-3-1-1-6-4-1-6-5-1-2+565-1-1-1-4+1-20-9-10-1-2-2-2-3-46-1-8-1-6-2-1-1-1-4-5-40-5-1-2-1-24</f>
        <v>1193</v>
      </c>
      <c r="P19" s="14">
        <f>70+19+80*4+39+20+55-2-2-1-2-2-1-1-1-1-3-2-6-15-1-2-1-5-1-1+1-1-1-1-1-3-1-1-5-3-1-1-25-2-5-1-10-1-5-1+1-4-1-2-15-4-6-1-3-1-1-5-1-1-1-1-1-3-2-1-1-5-1-7-12-1-1-1-1-1-3+399-1-4-2-4-5-1-3-1-1-2-26-5-1-2-1-8-2-16-1-16</f>
        <v>615</v>
      </c>
      <c r="Q19" s="14">
        <f>17+70+50+42-1-3-2-2-1-1-15-3-3-1-20-3-1-3-6-3-1-1-1-2-1-2-1-1-2-2-1-1+49-3+49-1-4-2-2-1+147-5-1-1-4-3-10-1-1-7-3-3</f>
        <v>288</v>
      </c>
      <c r="R19" s="14">
        <f>50+70+64-1-1-15-2-1-4-1-1-10-1-2-3-1+15-1-1-2-3-10+1-2-1-12</f>
        <v>125</v>
      </c>
      <c r="S19" s="14">
        <f>15+8+1-5-1-4-1-2-1+15-1+1-1</f>
        <v>24</v>
      </c>
      <c r="T19" s="18">
        <f>15+12-5-1-1-1+15-1+1</f>
        <v>34</v>
      </c>
      <c r="U19" s="13">
        <f t="shared" si="0"/>
        <v>5377</v>
      </c>
      <c r="V19" s="55"/>
      <c r="W19" s="10" t="s">
        <v>32</v>
      </c>
      <c r="X19" s="4">
        <v>1102</v>
      </c>
      <c r="Y19" s="4">
        <f t="shared" si="1"/>
        <v>3857</v>
      </c>
      <c r="Z19" s="4">
        <f t="shared" si="2"/>
        <v>2755</v>
      </c>
    </row>
    <row r="20" spans="1:26">
      <c r="B20" s="58" t="s">
        <v>32</v>
      </c>
      <c r="C20" s="14">
        <f>50+36+74-1-1-1+2-3-3-15-1-2-1-1-2-2-3-1-1-1-1-1</f>
        <v>121</v>
      </c>
      <c r="D20" s="14">
        <f>100+100+100+100+100+100+80-1-2+102-1-1-1-1-1-2-1-1-1-1-1-1-1-1-1-1-1-2-1-2-1-1-3-2-1-30-3-1-1-5-2-1-1-1-1-11-1-1-1-3-8-1-1-1-3-3-2-2-1-5-4-2-5-2-1-1-2-1-1-3-4-1-5-1-1-1-4-1-4-1-9-4</f>
        <v>600</v>
      </c>
      <c r="E20" s="14">
        <f>100+98+100+50+100+120+54-1-2+152-1-1-1-1-1-1-3-1-1-2-1-10-1-1-1-2-2-1-1-1-1-1-2-3-1-5-10+3-1-1-2-3-3+1-1-1-10-1-1-30-2-6-1-1-1-1-1-2-2-1-1-1-2-1-1-2-2-1-30-8-1-22-1-8-1-2-1-5-1-1-3-1-3-1-1-1-1-2-1-7-2-22-1-2-2-1-5-1-1-1-1-1-1-4-2-1-2-1-2-5-1-2-10-1-1-1-1-1-5-1-4-1-5-6-1-1</f>
        <v>433</v>
      </c>
      <c r="F20" s="14">
        <f>80+60+100+39+100+100+100+75-1-1-2-1-2-2+246-1-3-1-15-6-1-1-2-3-1-1-2-1-1-2-1-2-5-1-1-1-1-2-1-1-2+1-1-30-6-6-1-1-1-1-4-1-1-1-1-1-1-1-1-2-1-4-2-2-1-1-3-1-1-1-1-1-3-2-2-5-7-8-5-1-2-1-1-1-1-2-1-1-1-1-1-1-4-2-10-1-1-1-1-2-1-13-1</f>
        <v>669</v>
      </c>
      <c r="G20" s="14">
        <f>98+69+57-2-2-1-3-1-1-1-1-1-1-1-1-1-1-2-1+1-2-1-1+1-1-1-1-3-2-1-25-3-1-1-1-1-2-1-1-1-13-4-1-1-10-2-1-1-5-11-5-3-3-1-1-1-1-2-2-1-5-2-1-1-13-1</f>
        <v>63</v>
      </c>
      <c r="H20" s="14">
        <f>100+33-2+76+1-1+1-2-20-2-3-1-2-1-1-1-9-1-2-2-1-9-3-1-1-5-1+2+1-1-4-1-1</f>
        <v>136</v>
      </c>
      <c r="I20" s="14">
        <f>64-1+25-1-1-15-1-3-1-1-1-1+1-1-13-2</f>
        <v>48</v>
      </c>
      <c r="J20" s="14">
        <f>19-1-1-5-1-1-3-7</f>
        <v>0</v>
      </c>
      <c r="K20" s="38">
        <f>26-1-5-1-1-1-1+1</f>
        <v>17</v>
      </c>
      <c r="L20" s="35">
        <f>90+80+30+60+26-3-1-20-1-4-3-2-3+3-1-1-1</f>
        <v>249</v>
      </c>
      <c r="M20" s="14">
        <f>90*2+49+80+237+29-1-1-1-1-2-1-1-1-2-1-2-4-30-5-1-1-1-1-1-1-6-5-2-4-1-2-1-1-2+1-3-3-2-1</f>
        <v>484</v>
      </c>
      <c r="N20" s="14">
        <f>80*4+70+74+34+67-1+315+7-1-1-1-1-1-1-1-5-2-1-2-2-1-1-1-1+1-1-5-1-1-2-1-1-3-40+1-1-15-1-1-4-1-1-2-1-16-5-5-1-5-1-1-5-4-1-1-5-1-1-1-2-2-2-1-1-2-1-3-3-4+1-4-8-1-1-7-1-79-1</f>
        <v>608</v>
      </c>
      <c r="O20" s="14">
        <f>80*4+79+58+70+33+70+80+59-1+331+69-1-1-1-3-1-2-3-1-1-2-1-1-1-5-1-1-3+1-40-15-1-2-1-10-2-1-15-1-6-1-6-2-1-5-1-1-1-4-1-1-1-1-1-1-3-2-2-1+1-13-1-1-8-1-7-2-2-1-63-80-1</f>
        <v>831</v>
      </c>
      <c r="P20" s="14">
        <f>80+80+140+38+17-1+30-1-1-1-2-1-1-1-1-1-1-1-1-1-1-1-1-25-1-5-1-1-1-6-1-2-1-1-1-3-2-4-1-5-1-4-1-1+1-1-8-1-1-3-1</f>
        <v>285</v>
      </c>
      <c r="Q20" s="14">
        <f>60*3+10+79+29-3-1-1-1-3-1-1-20-3-1-20-1-1-1-1-1-2-1-1-1-1+2-1-1</f>
        <v>232</v>
      </c>
      <c r="R20" s="14">
        <f>60+30+29+34-1-1-1-15-1-2-1-1-1-1-1-1-1+1</f>
        <v>126</v>
      </c>
      <c r="S20" s="14">
        <f>36-1-1-5-1-1+1</f>
        <v>28</v>
      </c>
      <c r="T20" s="18">
        <f>47+37-1-5-1-1+1</f>
        <v>77</v>
      </c>
      <c r="U20" s="13">
        <f t="shared" si="0"/>
        <v>5007</v>
      </c>
      <c r="V20" s="55"/>
      <c r="W20" s="10" t="s">
        <v>33</v>
      </c>
      <c r="X20" s="4">
        <v>1137</v>
      </c>
      <c r="Y20" s="4">
        <f t="shared" si="1"/>
        <v>3979.5</v>
      </c>
      <c r="Z20" s="4">
        <f t="shared" si="2"/>
        <v>2842.5</v>
      </c>
    </row>
    <row r="21" spans="1:26" ht="21.75" customHeight="1">
      <c r="B21" s="58" t="s">
        <v>33</v>
      </c>
      <c r="C21" s="14">
        <f>25+72-1-1-4-10-1-2-2-1-1+3</f>
        <v>77</v>
      </c>
      <c r="D21" s="14">
        <f>70+19-2-1-1-1-1-5-1-1-2-1-2-1+150-20-1-1-20-3-10-3-4-1-2-1-2-1-2-2-1-1-3-1-3-1-3-1-2-1-10-10+99-1-1-1-3-1+25-1-3-1</f>
        <v>222</v>
      </c>
      <c r="E21" s="14">
        <f>1+90-1-10-1-4-1-1-1-1-10-1+1-2-1-10-1-1-1-1+100-31-1-1-7-1-25-1-6-14-3-4-1-1-1-1-1-1-1-1-4-2-2-2-3-1-3-1-1-1-2-1-1-1+99-2-4-11-12-3+200-1+99-1+1-2-1-2-3+25-1-1</f>
        <v>397</v>
      </c>
      <c r="F21" s="14">
        <f>90+26+24-4-1-1-1-20-2-2-2-1-2+198-40+1-5-25-6-1-2-4-5-4-1-2-1-1-2-2-1-1-1-3-3-2-5-3-3-1-1-5-1-1-3-1-9-7-12-2+100-1-1-2+25-3-1-1</f>
        <v>253</v>
      </c>
      <c r="G21" s="14">
        <f>31-1-20-2-1-1-1+150-1-1-40-1-1-20-3-1-5-1-1-2-1-1-1-1-1-1-1-2-1-3-1-1-1-1-9-2-5-1+100-1-1-1+2-1-3-1-1</f>
        <v>137</v>
      </c>
      <c r="H21" s="14">
        <f>40+52-10-2-1-15-2-1-1-2-1-3-1-1-1-1-1-1+2+24</f>
        <v>74</v>
      </c>
      <c r="I21" s="14">
        <f>23-1-1-5-1-10-1-1+26-1-4+1-3</f>
        <v>22</v>
      </c>
      <c r="J21" s="14">
        <f>46+48-1-2-5-7-1+1</f>
        <v>79</v>
      </c>
      <c r="K21" s="38">
        <f>20+24-1-5-17-1-1-1-1+24-1+1</f>
        <v>41</v>
      </c>
      <c r="L21" s="35">
        <f>39+24+80+90+90+6-5-1-30+1-1-15-3-6-3+25+3</f>
        <v>294</v>
      </c>
      <c r="M21" s="14">
        <f>72+15+90+90+51-1-2-1-8-1-1-1-10-1-1-1-1+245-40-1-25-5-1-1-2-1-3-1-5-1-2-4-5-2-5-2-2+14+100-1-2-2</f>
        <v>535</v>
      </c>
      <c r="N21" s="14">
        <f>90*3+70*3+80+30+11+63+90+80*3+39-1-1-1-1-6-1-1-15-1-1-3-1-1-40-1-6-30-1-1+1-1-1-15-1-1-1-1-3-1-1-2-1-2-5-2-1-2-3-1+53-1-4-1-14-8-5-2-16-1-15+99+100-1-1-1-3-1-4-12</f>
        <v>1038</v>
      </c>
      <c r="O21" s="14">
        <f>80*7+70+40+31-3-2-1-2-1-6-4-1-4-1-1-20-2-1-2-1-2-1+306-60-1-1-30-1-1-15-1-1-30-20+20-4-1-2-1-1-1-2-8-5-1-3-1-1-1-1-1-1-9-5-1-2-6-24-17+137+200-2-7-2-2-4-3</f>
        <v>1029</v>
      </c>
      <c r="P21" s="14">
        <f>70*5+9+80+25-2-1-2-1-2-30-11-1-1-1-1+82-40-1-1-20-5-10-1-3-1-3-1-1-1-6-3-1-2-1-1-1-1-1-4-6-3+96-2-2-15</f>
        <v>452</v>
      </c>
      <c r="Q21" s="14">
        <f>70*3+30+61+28+27-4-1-5-1-2-1-20-1-20-3-1-1-1-1-2-1-1-1-2-2-5-1+2-1</f>
        <v>280</v>
      </c>
      <c r="R21" s="14">
        <f>29+41+37+59+16-1-2-1-3-15-2-1-1-1-1-5-1-1-1-1-2-1+1-1-1</f>
        <v>141</v>
      </c>
      <c r="S21" s="14">
        <f>15+1-5+26-4-5-1-1-1+25+1</f>
        <v>51</v>
      </c>
      <c r="T21" s="18">
        <f>19-5-1-2-1+25+1</f>
        <v>36</v>
      </c>
      <c r="U21" s="13">
        <f t="shared" si="0"/>
        <v>5158</v>
      </c>
      <c r="V21" s="55"/>
      <c r="W21" s="10" t="s">
        <v>34</v>
      </c>
      <c r="X21" s="4">
        <v>372</v>
      </c>
      <c r="Y21" s="4">
        <f t="shared" si="1"/>
        <v>1302</v>
      </c>
      <c r="Z21" s="4">
        <f t="shared" si="2"/>
        <v>930</v>
      </c>
    </row>
    <row r="22" spans="1:26">
      <c r="B22" s="58" t="s">
        <v>34</v>
      </c>
      <c r="C22" s="14">
        <f>48-1+81-1-1-1-1-1-1-3-15-1-1-1+2-1-2-1-2-1-1-1-1-1-1-3-1-1-1-1-1-2</f>
        <v>81</v>
      </c>
      <c r="D22" s="14">
        <f>50+47-4-3+218-1-1-6-1-1-1-4-1-4-1-1-1-3-1-1-1-1-1-1-1-2-1-1-3-3-2-1-1-1-30-1-3-17-2-1-2-1-1-5-1-1-1+35-2-1-1-1+3-2-2-1-1-1-3-1-1-1+1-4-4-9-2-1-10-1-5-1-3-1-3-2-1-1-4-3-5-4-4-7-1-7</f>
        <v>132</v>
      </c>
      <c r="E22" s="14">
        <f>100+58-4-1-3-1-4-1-3-1-6-1-1-1-5-1-3-1-2-4-1-1-2-1-1+150-2-1-1-1-3-1-2-2+1-30-1-6-1-37+2+100-1-1-5-7+70-1-1-2-2-4-2-3-1-2-10-1-1-1-9-3-1-4-1-2+1-2-1-1-2-2-4-5-8-3-3-1-2-3-2-2-1-1-1-1-1-4-1-2-1</f>
        <v>226</v>
      </c>
      <c r="F22" s="14">
        <f>56-2-2+100-1-1-2-1-1-4-3-1-1-3-1-1-3-1-1-1+150-2-2+1-1-30-7-1-6-1-35-1-1-1+3-1-4-1-1-9-2+162+1-1-1-1-1+1-1-1-1-1-2-11+1-2-1-2-3-4-5-1-3-2-1-3-3-2-1-1-1-3-3-1-7-1-1-5-1-1</f>
        <v>260</v>
      </c>
      <c r="G22" s="14">
        <f>59-2-2-2-6-2-1-1-4-1-4-1-1-1+100-1-1-1-25-4-3-5-2-2+4-1-15-1-1+70-1+1-2-2-3-8-2-3-1-5-1-2-1-2-1-1-2-2-4-1-1-7-1-1-1-2</f>
        <v>87</v>
      </c>
      <c r="H22" s="14">
        <f>23-2-4-1-3-1-1+50-1-1-20-2-5-10-1+34-1+2-1-1-2-2-1-1-4-2-2-2-1-1-1-1</f>
        <v>34</v>
      </c>
      <c r="I22" s="14">
        <f>5-1-1+48+30-1-1-1-15-1+2-1-1-1-2-3-1-1</f>
        <v>54</v>
      </c>
      <c r="J22" s="14">
        <f>1+30+28+10-5-1+1-1-1-1-1-1</f>
        <v>59</v>
      </c>
      <c r="K22" s="38">
        <f>3+20-1-5-2+1-1-1</f>
        <v>14</v>
      </c>
      <c r="L22" s="35">
        <f>55+90+22-4-1+98-2-1-20-1-1+33-1+3-3-2-1-45-1-2+1-2-1</f>
        <v>214</v>
      </c>
      <c r="M22" s="14">
        <f>9+42+80+80+12-1+80*3+7-2-1-4-1-2-3-1-1-1-1-1+101-2-3-30-4-5-20-25-2+1+100-1-1-1-2-10-1+5-3-6-5-1-7-1-11-1-1-2-3-3-3-1-1-10-2-11-2-1-4-1-1-1-1-4-1-3-2-5-2-2</f>
        <v>449</v>
      </c>
      <c r="N22" s="14">
        <f>80+20+80+80+80+80+80+80+80+80+80+80+3-1+2-1-4-2-3-2-2-5-10-1-4-1-1-2-10-4-1-3-1-3-1-1-1-4-2-1-1-1-1-1+195-1-2-1-1-2+1-1-2-1-40-1-1-9-1-15-40-1-35-1-1-3-1+4+287-1+1-1+11-1-10-2-1-1+4-1-1-8-13-1-5-2-3-4-2-1-16-41-1-20-3-1-1-2-1-3-3-1-10+1-1-3-1-25-2-7-1-9-7-8-5-1-1-1-4-1-10-2-1-2-5-1-1-4-1-1</f>
        <v>908</v>
      </c>
      <c r="O22" s="14">
        <f>75+75+75+75+72+75+75+75+21+80*4+57+79-4-4-2-3-10-1-4-1-1-8-1-1-1-4-1-1-1-3-1-3-1-1-1-1-2-1-1+101-1-1-1-40-1-13-15-5-1-40-1-47-1+1+200-2-1-8-1-1-5-10-2+6-1-4-15-3-9-5-4-2-1-2-1-22-4-1-12-2-19-1-4-1-1-1-2-1-2-3-1-1-3-12-1-8-2-1-5-8-9-20-3-8-8-3-6-1-7-4-2-1</f>
        <v>885</v>
      </c>
      <c r="P22" s="14">
        <f>34+55+70+70+70+11-1-1+67-2-1-4-2-1-1-1-4-4-4-1-4-1-1-1-1-1-1+102-1-1-1-1-25-1-1-6-5-1-20-10-1-1-1-1-1-1-1-10-1-10+58+136+4-3-1+1-3-1-5-4-5-14-1-2-1-1-1-3-3-5-8-1-5-1-1-1-3-2-4-2-2-2</f>
        <v>455</v>
      </c>
      <c r="Q22" s="14">
        <f>70+70+58+29+24+34-1-3-2-1-1-1-1-1-1-20-2-3-6-10-1-2+68+2-1-2-2-1-1-1-3-1-1-5-2-2-1-2-1-1-2</f>
        <v>270</v>
      </c>
      <c r="R22" s="14">
        <f>50+1+42+50+60+10+65+12-1-1-1-15-2-1-3-1-1+2-1-1-1-1-1-2-1-1-1</f>
        <v>256</v>
      </c>
      <c r="S22" s="14">
        <f>22+39+20-1-1-5-1+1-1-1</f>
        <v>72</v>
      </c>
      <c r="T22" s="18">
        <f>13-1-1+26-5-1-1+1-1-1-1-1</f>
        <v>27</v>
      </c>
      <c r="U22" s="13">
        <f t="shared" si="0"/>
        <v>4483</v>
      </c>
      <c r="V22" s="55"/>
      <c r="W22" s="10" t="s">
        <v>35</v>
      </c>
      <c r="X22" s="4">
        <v>625</v>
      </c>
      <c r="Y22" s="4">
        <f t="shared" si="1"/>
        <v>2187.5</v>
      </c>
      <c r="Z22" s="4">
        <f t="shared" si="2"/>
        <v>1562.5</v>
      </c>
    </row>
    <row r="23" spans="1:26">
      <c r="B23" s="58" t="s">
        <v>35</v>
      </c>
      <c r="C23" s="14">
        <f>100+50+17-4-2-10-1-10-1-1-2+3-2-4-70</f>
        <v>63</v>
      </c>
      <c r="D23" s="14">
        <f>100+70+15+63-2-2-1-30-1-1-1-1-1-1-3-1-1-1-20-3-2-1-1-1-1-2-1+5-4-1-3-19-3-2-10-1-1-1-1</f>
        <v>128</v>
      </c>
      <c r="E23" s="14">
        <f>100+80+20+70+97+50+51-6-1-2-1-1-1-2-2-10-1-1+1-25-1-2-6-2-1-1-1-1-2-3+7-12-2-5-1-1-1-5-1-3-2-1-9-36-1-2-1-1-1-2-3-2-4-100-1-2-1-1</f>
        <v>202</v>
      </c>
      <c r="F23" s="14">
        <f>100+15+60+80+55-2-2-1-30-1-1-2-1-1-5-10-1-2+1-2-25-6-1-4-1-3-3-1-1-1+7-3-1-9-1-3+8-3-28-3-2-1-2-2-3-1-6-1</f>
        <v>150</v>
      </c>
      <c r="G23" s="14">
        <f>20+100+58+20+86-1-2-1-7-20-2-1-20-3-1-1-10-1-1-1+5-4-1-20-1-2+7-6-2-1-1-1-5</f>
        <v>180</v>
      </c>
      <c r="H23" s="14">
        <f>50+30+83-50-1-10-1-1-1-2-15-2-2+2-2+7-1-2-1</f>
        <v>81</v>
      </c>
      <c r="I23" s="14">
        <f>60+71-1-1-1-1-10-1-2-1+2-1-1-100-1-1</f>
        <v>11</v>
      </c>
      <c r="J23" s="14">
        <f>24-5+1-1-1-10-8+18-1</f>
        <v>17</v>
      </c>
      <c r="K23" s="38">
        <f>20+34-5-2-5+1-1</f>
        <v>42</v>
      </c>
      <c r="L23" s="35">
        <f>90+30+50+78+89+35+70+44-1-10+3-2-3-1-5</f>
        <v>467</v>
      </c>
      <c r="M23" s="14">
        <f>80*2+85+23+18+88+90+190+40+58+66-1-9-5-7-6-2-1-1-1-1-1-63-25-5-1-1-1+5-2-1-5-1-5-4-1-1-1-1-6-92-2-2+1-2-1-1-10-2-1</f>
        <v>552</v>
      </c>
      <c r="N23" s="14">
        <f>80*6+60+69+60+80*6+90+70+60+90+60-32-3-1-2-1-1-7-13-1-1-1-1-4-1-1-6-1-40-30+1-1-1-15-3-1-1-1-3-4-1-2+6-4-1-11-1-5+6-2-12-1-2-1-2-5-1-2-2-4-1-1-2-90-4-1-2+1-1-2-1-1-7-5-4-1-1-1</f>
        <v>1172</v>
      </c>
      <c r="O23" s="14">
        <f>80*5+65+58+60+80*8+70+77+73+1+60+85+86+84+40-1-13-2-1-1-1-1-10-10-1-6-1-5-1-1-2-2-12-2-1-2+1-1-30-30-1-15-5-20-30-1+30-2-1-1-3-3-1-1-2+6-5-1-7-1-5+16-232-1-2-1-2-5-1-10-9-1-6-1-90-7-1-1-1-1-6-5-6-2</f>
        <v>1219</v>
      </c>
      <c r="P23" s="14">
        <f>30+69+73+70+10+80*4+25+70+40+61-1-8-5-6-6-3-1-1-1-1-1-6-1-5-20-5-10+10-1-1-3-3-1-3-2-2-1-2-1+4-2-1-1-2-1-3+4-5-7-2-1-1-1-6-1-94-4-5</f>
        <v>548</v>
      </c>
      <c r="Q23" s="14">
        <f>90+70*3+90+11-1-4+35-1-1-1-5-2-20-3-2-1+2-1-1-2+4-1-1-1-93-4-1-1-1</f>
        <v>294</v>
      </c>
      <c r="R23" s="14">
        <f>50*3+101+30+79+55-2+35-1-1-5-3-1-15-2-1+1-1+9-3-1-1-5-100-1</f>
        <v>317</v>
      </c>
      <c r="S23" s="14">
        <f>19+40+25+4+3-6+35-5-1+1-1-70</f>
        <v>44</v>
      </c>
      <c r="T23" s="18">
        <f>14+20+35+20+10-15-1-5+1-1-1-1-1-70</f>
        <v>5</v>
      </c>
      <c r="U23" s="13">
        <f t="shared" si="0"/>
        <v>5492</v>
      </c>
      <c r="V23" s="55"/>
      <c r="W23" s="10" t="s">
        <v>36</v>
      </c>
      <c r="X23" s="4">
        <v>611</v>
      </c>
      <c r="Y23" s="4">
        <f t="shared" si="1"/>
        <v>2138.5</v>
      </c>
      <c r="Z23" s="4">
        <f t="shared" si="2"/>
        <v>1527.5</v>
      </c>
    </row>
    <row r="24" spans="1:26">
      <c r="B24" s="58" t="s">
        <v>36</v>
      </c>
      <c r="C24" s="14">
        <f>90+15-4-10+3-2-1-6-4-1</f>
        <v>80</v>
      </c>
      <c r="D24" s="14">
        <f>50+100+100+60-1-1-1-1-1-1-1-14-2-1-6-1-20-3+5-3-1-1-1-7-1-2-1-4</f>
        <v>240</v>
      </c>
      <c r="E24" s="14">
        <f>100+102+97+74-1-1-1-1-4-1-1-1-5-12-3-1-3-1-1-25-6-1-1-2-4-3-2-1-4-7-1-1-2-6-1</f>
        <v>269</v>
      </c>
      <c r="F24" s="14">
        <f>20+100+97+96+54-1-1-1-1-1-10-15+1-25-6-1-1-1-1-3+7-1-2-2-3-2-3-1-8-1-1-5-1</f>
        <v>277</v>
      </c>
      <c r="G24" s="14">
        <f>95+91-1+5-1-1-1-11-7-1-1-1-1-1-2-20-3-1-1-3+5-2-1-10-1-1-1-1-1-1-1-1</f>
        <v>118</v>
      </c>
      <c r="H24" s="14">
        <f>20+34-1-1-1-3-3+1-1-1-15-2-10+2-2-2-1-1</f>
        <v>13</v>
      </c>
      <c r="I24" s="14">
        <f>32+76-1-1-10+1-2-1-2</f>
        <v>92</v>
      </c>
      <c r="J24" s="14">
        <f>15-2+1-5+1-1</f>
        <v>9</v>
      </c>
      <c r="K24" s="38">
        <f>40+29+8-3+1-5+2-1</f>
        <v>71</v>
      </c>
      <c r="L24" s="35">
        <f>32+88+50+59+97-5-6-1-15-5-15-2+5-1-3-3</f>
        <v>275</v>
      </c>
      <c r="M24" s="14">
        <f>20+11+80+30+80*4+69-2-1-7-1-1-1-1+7-1-3-5-2-1-3-1-1-25-5-5-1-1+3-2-3-1-2-5-2-2-3</f>
        <v>452</v>
      </c>
      <c r="N24" s="14">
        <f>18+54+60+70+80+80*9+34+78+140-2-13-2-1-1-1-1+13-1-2-4-1-5-2-8-1-7-1-2-4-1-5+1-2-30-5-15-1-1-1-1+7-2-6-4-2-5-1-1-1-15-1-1-1-1-4</f>
        <v>1109</v>
      </c>
      <c r="O24" s="14">
        <f>23+70*4+80*3+57+59+80*3+70+25+105-1-2-10-2-1-1-1-1-1-2+10-1-6-3-2-8-3-1-8-1-1-1-4-2-9-1+1-2-1-1-30-5-15+5-4-1-4-1-5-1-2-14-3-4-1-2-1-2-1-7-2</f>
        <v>933</v>
      </c>
      <c r="P24" s="14">
        <f>27+70*3+43+80+70-2-6-1-1-1+6-5-1-2-1-1-1-6-1-2-1-20-5-1-2-1-1-1-3-1-5-1-1-5-1</f>
        <v>356</v>
      </c>
      <c r="Q24" s="14">
        <f>34+140+49+63-1-2-5-1-1-3-1-1-1-20-1-3-1-2-2-2-1-1</f>
        <v>237</v>
      </c>
      <c r="R24" s="14">
        <f>26+49+73-1-1-1-1-15-2+2-1-2-4</f>
        <v>122</v>
      </c>
      <c r="S24" s="14">
        <f>26-5-1+1-1-1-1</f>
        <v>18</v>
      </c>
      <c r="T24" s="18">
        <f>8+39+40+30-5+1-1-1</f>
        <v>111</v>
      </c>
      <c r="U24" s="13">
        <f t="shared" si="0"/>
        <v>4782</v>
      </c>
      <c r="V24" s="55"/>
      <c r="W24" s="10" t="s">
        <v>37</v>
      </c>
      <c r="X24" s="4">
        <v>399</v>
      </c>
      <c r="Y24" s="4">
        <f t="shared" si="1"/>
        <v>1396.5</v>
      </c>
      <c r="Z24" s="4">
        <f t="shared" si="2"/>
        <v>997.5</v>
      </c>
    </row>
    <row r="25" spans="1:26">
      <c r="B25" s="58" t="s">
        <v>37</v>
      </c>
      <c r="C25" s="14">
        <f>45+56-1+95+4-1-2-1-10-1+20-1-15-1-2-2-1-1-1+1-9</f>
        <v>172</v>
      </c>
      <c r="D25" s="14">
        <f>90+18+60+90+26+285+48+97+170-1-1-1-5+32+55-1-1-1-1-1-30-3-2-1-1-1-3-1-5-3-1-2-2-15-2-5-1-8-1-4-1-1-1-1-8-2-1</f>
        <v>852</v>
      </c>
      <c r="E25" s="14">
        <f>22+100+100+23+200+102+38+98-1-1-40-1-3+50-1-3-1-1-1-1+1-30-6-2+5-1-3-3-2-4-1-3-5-3-4-2-1-2-9-3-10-1-2-20-1-10-7-2-2-19-1-4-2-9-1-1</f>
        <v>509</v>
      </c>
      <c r="F25" s="14">
        <f>100+49+48-2+49+99+80+200+96+100-1-1-1-30-1-1-1+95-3+100-1-3-2-2-1+6+1-30-6-10-2+3-1-5-2-3-1-1-4-1-3-1-1-3-2-1-1-1-1-8-5-6-19-1-4-1-20-1-4-1-1</f>
        <v>825</v>
      </c>
      <c r="G25" s="14">
        <f>102+33+245+25+63+70+80+67-30-3+101-3-1-1-1-2-25-3-1-2-3-3-1-2-2-1-1-1-1-1-41-2-1-2-1-1</f>
        <v>650</v>
      </c>
      <c r="H25" s="14">
        <f>45+11+22+44+53+80-5-1-6-1-1-20-2-1-1-1-2-2-1+2-2</f>
        <v>211</v>
      </c>
      <c r="I25" s="14">
        <f>41+9+69+62+49+49-4-1-2-15-1-2-1-1+2-2</f>
        <v>252</v>
      </c>
      <c r="J25" s="14">
        <f>20+31+10+20-2-2-5-1-1+1</f>
        <v>71</v>
      </c>
      <c r="K25" s="38">
        <f>20+20+30+21+19-1-1-5-1-1+1</f>
        <v>102</v>
      </c>
      <c r="L25" s="35">
        <f>80+80+10+80+20+80+39+89+4-1-2-1+60-1-5-1-20-1-3-2-2-57+3-9-1</f>
        <v>439</v>
      </c>
      <c r="M25" s="14">
        <f>90+80+90+40+90+90+60+55-1-5-15-1-1+254-10-2-1-10-1-30-2-5-1-3-1-1-1-1-1-5-3-2-1-12-1-4-1-1-4-4-33-3-30-1-29-1-1-24-1</f>
        <v>595</v>
      </c>
      <c r="N25" s="14">
        <f>90+40+90+60+80+80*9+20+90+90+40+81+70+47-1-1-1-1+545-20-1-6+82-2-1-10-1-1-2-3-10-1-1-1-40-3+1-5-15-2-1-6-1-1-2-1-1-1-4-3-6-1-2-5-2-10-1-1-4-1-1-2-1-33-1-9-1-1-1-1-41-5-7-8-24-3-30-2-1-1-1-30-3-4-1-2-22-1</f>
        <v>1726</v>
      </c>
      <c r="O25" s="14">
        <f>80+80+70+80+80+80+80+60+80+80+46+80+80+141+79+80*3+79+28+24+50+39-1-1-6-2-1-2-2-5+552-1-3-10-1-3-1-1-3-10-1-1-1+1-1-40-1-8-1-15-4-1-11-2-1-3-1-1-1-2-1-5-2-1-1-2-1-1-4-10-1-1-1-1-2-4-1-1-4-20-24-30-56-1-4-12-1-2-2</f>
        <v>1864</v>
      </c>
      <c r="P25" s="14">
        <f>70+65+70+80*3+54+30+10-1-40-1+452-2-5-1-1-1-5-1-2-25-2-5-11-1-3-1-2-2-3-1-2-6-5-3-1-1-2-1-5-1-2-5-18-1-1-10-1-37-1-2-2-3-1</f>
        <v>764</v>
      </c>
      <c r="Q25" s="14">
        <f>50+70*3+80+15+11-10+2+120-1-1-1-1-20-1-3-1-1-2-1-2-2-1-1-1-1-5-12-1+2-11-1-1-2</f>
        <v>406</v>
      </c>
      <c r="R25" s="14">
        <f>50+24+44+40-2-1-1-15-2-1-1-1-2-1-1-1-1-3-1</f>
        <v>124</v>
      </c>
      <c r="S25" s="14">
        <f>5+20+22-2-5-1-1-1-1+1</f>
        <v>37</v>
      </c>
      <c r="T25" s="18">
        <f>20+15+5+8+22-1-5-1-2-1-1</f>
        <v>59</v>
      </c>
      <c r="U25" s="13">
        <f t="shared" si="0"/>
        <v>9658</v>
      </c>
      <c r="V25" s="55"/>
      <c r="W25" s="10" t="s">
        <v>38</v>
      </c>
      <c r="X25" s="4">
        <v>898</v>
      </c>
      <c r="Y25" s="4">
        <f t="shared" si="1"/>
        <v>3143</v>
      </c>
      <c r="Z25" s="4">
        <f t="shared" si="2"/>
        <v>2245</v>
      </c>
    </row>
    <row r="26" spans="1:26">
      <c r="A26" s="19"/>
      <c r="B26" s="58" t="s">
        <v>38</v>
      </c>
      <c r="C26" s="14">
        <f>79+26-2-1-1-1-1-3-1-1-1-3-15-1-1-2-1+2-2-2-1-1-1-1-2-2-2-1-1-1-3-1-11-1</f>
        <v>39</v>
      </c>
      <c r="D26" s="14">
        <f>100+67+66+152-3-3-2-3-1-1-1-1-8-8-1-1-1-1-1-3-1-1-3-1-4-1-30-1-3-1-1-1-18-1-2-2-5-2-2-2-1-1-1-7-1+5-8-2-5-1-1-1-1-1-3-4-3-5-3-2-1-2-1-4-1-1-1-3-2-3-20-1-1-5-21-1-7-2-8-1-4-1-1-30-1-1-1-1-1-1-1-1-45-5-2-1-3</f>
        <v>32</v>
      </c>
      <c r="E26" s="14">
        <f>101+52+34+202-1-2-2-1-1-6-1-1-1-1-1-1-1-1-7-15-28-1-1-1-3-1-2+1-1-7-3-1-1-1-1-2-1-3-1-1-2-1-3+1-1-30-1-6-1-1-24-2-1-7-1-3-2-1-13+7-8-2-3-1-1-1-3-1-2-2-3-2-3-3-1-4-3-2-4-3-4-28-1-5-3-3-1-43-7-1-11-2-3-1-1-10-1-18</f>
        <v>0</v>
      </c>
      <c r="F26" s="14">
        <f>100+18+100+100+18+81-1-2-5-2-1-1-1-2-3-1-7-24-22-1-1-1-1-11-1+1-1-1-2+1-2-1-30-1-1-7-6-10-2-24-1-2-1-1-2-1-3-1-1-1-1-14+7-1-5-1-3-1-3-1-1-1-5-3-2-1-9-1-1-1-1-1-1-5-1-1-2-1-3-5-4-2-13-3-1-4-1-3-3-3-1-43-2-7-6-1-2-1-3-1-3-1-1-30-1-1-1-5-13</f>
        <v>0</v>
      </c>
      <c r="G26" s="14">
        <f>90+1+14-3-2-1-6-1-2-1-5-16-5-1-1-1-1-1-4-1+59+38-1-1-1-1-25-4-3-1-18-4-1-3-3-1-6+5-4-2-1-1-2-1-2-2-1-1-1-2-2-1-2-1-1-1-5-1-8-2-2-18-1-7-1-3-6</f>
        <v>0</v>
      </c>
      <c r="H26" s="14">
        <f>54-2-1-1-4-2-1-1-1+30-1-1-1-20-2-12-1-2-2+2-3-2-1-1-2-1-1-2-1-1-1-1-1-2-2-9+30-4-1-2-1-1</f>
        <v>21</v>
      </c>
      <c r="I26" s="14">
        <f>15+47-1-4-1-1-15-1-1-10-18-1-1-3-1-1+1-1-3+30-1-3-2-3-1</f>
        <v>20</v>
      </c>
      <c r="J26" s="14">
        <f>20+15+26-5-1-1-1-2-1-1-7</f>
        <v>42</v>
      </c>
      <c r="K26" s="38">
        <f>33-5-2-1+1-1-1-1-2-1-10</f>
        <v>10</v>
      </c>
      <c r="L26" s="35">
        <f>80+80+80+15+161+130-1-4-1-1-1-20-1-4+3-3-1-1-1-1-1-16-1-1</f>
        <v>490</v>
      </c>
      <c r="M26" s="14">
        <f>80+29+80*8+100+18+26-1-8-4-1-4-6-2-6-1-1-1-1-4-1-1-1+260-1-3-3-1-2-30-1-1-5-1-1-1-1-1-1-6+1-2-1-1-5-1-4+1-1-1-1-5-5-2-1+1-2-25-3-1-22-3-3-2-10-1-1-12-1-1-1-8-1-3-2-1-1-4-42-2-1-6</f>
        <v>865</v>
      </c>
      <c r="N26" s="14">
        <f>15+80+80+80+80+80+80+51-1-4+80*8+90+81+40+80-2-1-2-8-1-10-1-6-1-1-1-6-35-19-1-2-7-1-1-1-1-4-1-1-7-5+261-2+1-4-1-3-10-3-40-3-1-1-3-15-1-1-1-1-1-1-1-1-1-1-16-1-1-1-1+6-1-2-2-1-1-3-5-2-4-12-1-5-1-1-1-4-5-1-18-2-1-1-7-1-37-9-1-2-5-2-1-30-1-2-1-1-1-8-1-1-1-3-3-2-2-1-4-62-3-1-4-1-1-4</f>
        <v>1221</v>
      </c>
      <c r="O26" s="14">
        <f>80+80+80+55+80+35-3+80*15+140+23+126+52+89+70-5-1-2-2-8+1+1-10-1-2-1-2-1-6-50-27-5-2-1-2-1+1-1-1-11-1-1-1+290-1-1-4-1-1+10-10-1-1-2-2-4-1-3-40-1-1-15-1-1-1+1-1-1-1-2-1-15-1+7-1-1-3-2-2-1-5-1-2-23-1-1-5-2-2-2-6-5-1-18-1-1-1-2-4-1-34-5-1-6-5-5-1-30-2-1-10-1-1-1-4-3-4-91-1-1-2-1-7</f>
        <v>1848</v>
      </c>
      <c r="P26" s="14">
        <f>69-1+80*5+140+62+69+19+80-2-1-8-1+1-4-1-1-1-6-15-11-4-2-2-1-1-8+296-2-1-1+3-1-1-5-3-25-1-1-1-5-1-1-1-1-2-1-5-2-6-1+3-1-4-3-1-10-1-1-5-1-2-3-11-4-2-1-16-1-1-2-1-30-2-6-1-1+1-1-2-1-7-2-50-3-2-2-1-1</f>
        <v>822</v>
      </c>
      <c r="Q26" s="14">
        <f>39+140+85+80+30-4-2-1-3-2-1-2-1-1-1-5-1-3-1+151-1-1+1-1-1-20-3-1-1-1-1-1+2-2-2-4-1-2-1-1-1-1-1-6-3-1-1-1-14-1-1-17-1-1-2-1-2-1</f>
        <v>399</v>
      </c>
      <c r="R26" s="14">
        <f>15+25+31+34+45+60-2-1-1+76-1-15-2-1-1+1-1-1-1-1-1-1-6-1-1-19-3</f>
        <v>227</v>
      </c>
      <c r="S26" s="14">
        <f>13+38-1+25-5-1-1-1-1-1-1-2-1</f>
        <v>61</v>
      </c>
      <c r="T26" s="38">
        <f>7+66+31-1+25-5+1-1-1-2</f>
        <v>120</v>
      </c>
      <c r="U26" s="20">
        <f t="shared" si="0"/>
        <v>6217</v>
      </c>
      <c r="V26" s="56"/>
      <c r="W26" s="21" t="s">
        <v>39</v>
      </c>
      <c r="X26" s="4">
        <v>1090</v>
      </c>
      <c r="Y26" s="4">
        <f t="shared" si="1"/>
        <v>3815</v>
      </c>
      <c r="Z26" s="4">
        <f t="shared" si="2"/>
        <v>2725</v>
      </c>
    </row>
    <row r="27" spans="1:26">
      <c r="A27" s="19"/>
      <c r="B27" s="21" t="s">
        <v>39</v>
      </c>
      <c r="C27" s="22">
        <f>106-1-3-1-1-3-1-3-15-1-1-5-1-1-1-1+3-1-1-1-2-1-1-1-1-1-2-1-1+28-1-1</f>
        <v>82</v>
      </c>
      <c r="D27" s="22">
        <f>31-4+43+180+50-4-5-1-2-1-3-1-8-1-1-55-1-1-3-1-1-1-2-30-3-1-8-1-1-1-1-2-1-2-1-1-2-1+5-3-1+152-2-5-3-2-1-1-1-1-3-1-1-186-2-1-25-1-1-21-1-2-1-1-1-3-1+200-1-1-1-2-4-2-1-9-1-1-2-1-8-3</f>
        <v>200</v>
      </c>
      <c r="E27" s="22">
        <f>48-4+246-1-1-1-1-2-1-1-1-1-8-15-1-1-87-2-1-1+75-1-4+2-5-4+1-1-1-1-6-5-1-30-2-6-2-1-1-12-1-18-1-1-5-3-1-2-1-1-2-1-1+4-3+273-1-10-8-1-1-3-4-3-1-151-12-2-1-25-5-1-1-1-19-4-2-1-2-1-1-1-1-3-1-1-1-1-3-1-1-3-3-6-1+200-3-7-3-1-1-2-1-2-1-15-4-3-1-1</f>
        <v>262</v>
      </c>
      <c r="F27" s="22">
        <f>1+86-5-1+98+53-1-1-9-24-1-65-2+160-1-1-1-2+1-4+1-24-2-2-1-30-6-1-2-1-20-1-10-1-5-1-1-2-1-1-1-1+7-1-1+243-2-5-1-5-1-1-4-1-1-4-3-76-1-1-1-1-5-25-5-1-1-1-25-2-1-3-7-1-1-1-1-1-1+98-4-1-2-4-1-8-1-1-2-1-3-11-3-2-1</f>
        <v>279</v>
      </c>
      <c r="G27" s="22">
        <f>16+100-3-1-2-16-1-24+57-1-1-1-1-1-1-1-13-1-1-25-3-2-9-2-3-10-2-3-5-1-1-1-1-2-1+5-1+102-5-2-2-2-115-2-5-5-1+196-25-7-1-1-11-1-3-1-1-1-2-7-4-1</f>
        <v>130</v>
      </c>
      <c r="H27" s="22">
        <f>5-2+42+26-1-1-2-4+25-2-20-2-1-5-1-5-1-1-1+2+21-4-2-48-1-5-4-3-1-4+100-1-1-2-1-1</f>
        <v>94</v>
      </c>
      <c r="I27" s="22">
        <f>74-1-4-1-1-15-4-2-1+2-1-1-42-1-1-1+60-1-1-2</f>
        <v>56</v>
      </c>
      <c r="J27" s="22">
        <f>4+11+25-5+1-36+30-1</f>
        <v>29</v>
      </c>
      <c r="K27" s="46">
        <f>7+25-5-1+1-1</f>
        <v>26</v>
      </c>
      <c r="L27" s="35">
        <f>72+80+75+11+47-3-2-7-1-1-1-1-1-20-1-3-1-1+3-1+41-1-1-3-1-1-1-4-2+30-1-2-18</f>
        <v>280</v>
      </c>
      <c r="M27" s="14">
        <f>1+80-3+80*2+27+75+45-1-2-5-1-5-5-1-3-8-1-6-1+75-10-1-1-1+73-1-1+1-2-2-1-30-1-1-5-1-2-1-3-3-3-3-10-1-3-1-5+5-2-10-1-1+332+5-4-4-1-1-1-5-56-4-1-25-5-2-2-12-2-1-2-1-2-1-1-5-1-3-2-1-1-3-2-2-5-1-7-1+59-1-1-2-1-2-81-20</f>
        <v>514</v>
      </c>
      <c r="N27" s="14">
        <f>80+13-1-2+80*5+79+70+37+19-4+160+29-1-7+1-1-1-1-10-4-1-1-1-10-8-1-1-35-2-1-1+99-1-25-1-12-2-4-1-1-1+98+1-1-1-5-28-1-2-2-1+5-3-1-13-1-1-1-40-1-1-1+1-1-1-15-2-2-1-3-3-1-2-3-8-1-5-25-2-1-2-6-1-1-1-2-1+118-1-1-5-1-1+3-3-10-2-1+564+1-4-9-5-7-2-4-5-1-1+23-2-1-4-5-1-1-1-98-13-1-9-40-3-10-10-1-3-47-2-1-1-16-1-1-1-2-1-2-1-41-1-2-4-1-4-9-1+99-1-4-4-1-1-3-3-1-1-5-5-1-2-1-2-13-26-1-8-6-1-1-1-2-1-3-67-1-1-1-2-10-1-2-1-1-1-3-1-1</f>
        <v>968</v>
      </c>
      <c r="O27" s="14">
        <f>65+80+80+45+80*5+69+67+50-4+80+40+38-1-1+1-1-1-1-1-2-5-15-4-3-14-1-2-50-30-1-1-1-59-4-1+147-1-8-5-1-1-1-2+5-1-1-6-1-2-1-1-40-1-1-1-15-1-1-5-2-1-1-1-3-7-2-7-4-1-7-30-1-2-7-2-1-1-2+1-10-1-1+2-2-3-8-1-1-1-1+579-3-5-1-92-8-13-1-40-5-15-10-1-53-1-2-1-1-1-18-2-1-1-7-5-1-2+100-3-1-1-1-1-1-1-2-2-2-1-9-14-1-5-1-8-2-1-1-1-1-1-3-45-1-1-1-1-2-1-1-1-1-1</f>
        <v>1028</v>
      </c>
      <c r="P27" s="14">
        <f>11-1+77+82-1+2+5-6-5-3-10-15-1-15-1-1-1-67-1-1+297-10-5-1-1+5-2-1-3-10-1-25-1-2-1-1-5-1-1-1-4-1-1-1-1-10-3-1-2-1-1-1-1-1-2+1-1-2+2-1-3-9-1-1-1-1+274-1-2-3-1-80-7-4-30-1-15-5-1-39-2-1-1-1-2-1-4+200-1-1-2+1-1-3-3-1-1-1-1-1+59-1-2-2-1-1-1-1-12-2-1-3</f>
        <v>520</v>
      </c>
      <c r="Q27" s="14">
        <f>55+41-1-15-2-3-1-18+189-3+12-6-1-20-3-1-1-1-2-5-2-4-1+2-1+101-1-3-5-3-1-2-32-1-1-5-3-10-4-1-11-1-1-2+1-4-1-3-1-2-1-3+58-1-2</f>
        <v>263</v>
      </c>
      <c r="R27" s="14">
        <f>29+42+29+26-2-1-2-4-1-1+21-1-1-15-1-2-1-1-1-5-1-1+2-1+25+17-1-13-6-1-6-2-2-2-1-3-2-4+30-3</f>
        <v>133</v>
      </c>
      <c r="S27" s="14">
        <f>6+25-2-1-1-5-1+1-2+20-1-4-1-1-1</f>
        <v>32</v>
      </c>
      <c r="T27" s="38">
        <f>13+34+24+1-1-5+1-1-1-4-10-1</f>
        <v>50</v>
      </c>
      <c r="U27" s="20">
        <f>SUM(C27:T27)</f>
        <v>4946</v>
      </c>
      <c r="V27" s="57"/>
      <c r="W27" s="21" t="s">
        <v>40</v>
      </c>
      <c r="X27" s="4">
        <v>998</v>
      </c>
      <c r="Y27" s="4">
        <f t="shared" si="1"/>
        <v>3493</v>
      </c>
      <c r="Z27" s="4">
        <f t="shared" si="2"/>
        <v>2495</v>
      </c>
    </row>
    <row r="28" spans="1:26">
      <c r="A28" s="19"/>
      <c r="B28" s="21" t="s">
        <v>40</v>
      </c>
      <c r="C28" s="22">
        <f>50+19-4-1-1-1-1-10+45+40-1+40-3-15-1-7-2-2-1-1-1-1-1-1-1-4-2-2-1-1-2-2-4-1-2-1-1-5-1</f>
        <v>109</v>
      </c>
      <c r="D28" s="22">
        <f>11+99+87-1-1-2-2-2-1-2+5-1-1+198-2-1-10-1-1+118-2+120-1-3-1-1-30-3-19-12-2-1-1-20-2-4-6-1-6-3-3-10-3-1-3-2-4-1-3-6-1-4-1-6-3-1-1-2-3-9-2-2-2-3-1-1-1-1-1-1-2-2-1-2-4-8-1-20-4-1-2-2-1-1-5-1-1-1-1-1-1-1-1-2</f>
        <v>344</v>
      </c>
      <c r="E28" s="22">
        <f>96+50+36-3-2-1-5-4-1-2+1-1-3-1+300-1-2-1-1-2-10-1-2-2+100-2+61-1-3-1-1-1+133-2+1-30-6-26-3-1-34-2-56-5-26-3-14-1-1-35-2-4-1-9+6-4-3-1-1-1-1-1-17-1-1-1-4-20-3-1-1-1-1-2-1-3-2-1-6-2-2-16-1-1-2-3-2-3-1-1-1-2-1-4-3-6-2-1-11-1-56-6-1-1-6-1-1-1-1-2-1-1-1-6-4-1-1-2-1-2-4</f>
        <v>225</v>
      </c>
      <c r="F28" s="22">
        <f>100+100+62-1-2-5-1-1-2-1-1-1-4-2-1-1-1-15+239-1-1-2-1-1-1+1-1-1-1-2-30-6-1-1-1-30-3-15-2-48-1-5-26-1-2-2-1-6-22-1-4-1-2-1-4-7+6-1-1-4-1-1-1+49-1-3-2-3-1-8-1-1-1-4-7-1-3-2-5+251-2-1-2-1-6-8-5-1-3-1-3-1-1-1-1-2-5-1-1-8-6-8-51-6-1-1-1-1-2-3-1-5-1-2-1-1-2-3</f>
        <v>332</v>
      </c>
      <c r="G28" s="22">
        <f>23+100-2-1-2-1-1-3-3+98-1-20-1-2-1-2+118-2-1-25-3-1-27-10+2-15-1-4-21-1-6-2-1-6-2-1-2-1-2-3+2-4-1-1-4-1-4-3-2-2-1-1-2-1-3-1-2-1-1-1-1-1-1-1-1-1-1-1-2-42-6-1-1-1-3-1-1-6-2-1-1-1</f>
        <v>53</v>
      </c>
      <c r="H28" s="22">
        <f>64-2-1-2-1-2+80-20-2-12-1-1-5-2-2-4-4-3-1+1-1-1-2-2-2-2-1-2-1-1-1-9-1-2-2-1-1-2-1-3-2</f>
        <v>40</v>
      </c>
      <c r="I28" s="22">
        <f>45+3-1-2+40-1-15-1-1-2-2+1-1-3-1-1-1-1-1-1-1</f>
        <v>53</v>
      </c>
      <c r="J28" s="22">
        <f>29+20+2-5+1-1-1</f>
        <v>45</v>
      </c>
      <c r="K28" s="46">
        <f>17+29+6-1-5+1-1</f>
        <v>46</v>
      </c>
      <c r="L28" s="35">
        <f>40+41+45-1-2-1-20-1-1+2-3-2</f>
        <v>97</v>
      </c>
      <c r="M28" s="14">
        <f>40+80+52+45-1-1-4-1+45-1-1-1-2-3-1-30-5-2-1-10-2-1-3-3-2-2+3-2-2-1-1-1-5-1-2-2-5-1-1-1-2-2-1-1-1-1-6-1-2</f>
        <v>146</v>
      </c>
      <c r="N28" s="14">
        <f>14+80+80*2+40+31+19+60-1-1-1-1-1-1-7-1+100-1-1-1+1-2-1+50-2-1-1-40-15-1-1-1-1-2-3-2-4-4-1-1-1-3-2-1+6-2-2-1-2-1-2-16-5-1-1-4-2-1-5-7+1-1-1-2-1-1-2-2-2-1-1-1-3-4-1-1-1-4</f>
        <v>374</v>
      </c>
      <c r="O28" s="14">
        <f>55+80*3+50+36+60+62-1-1-1-1-3-1-1-1-1-1+50-1-1-1+1-1-2-40+50-15-1-1-2-2-1-1-2-6-2-3-1-1-4-4-1+5-1-2-1-2-1-7-16-5-1-1-1-1-1-2-2-1-2-1-18-1-1-1-2-5-2-1-1-1-4-1-1-3-1-2-1</f>
        <v>410</v>
      </c>
      <c r="P28" s="14">
        <f>70+45-1-1-2-1-1+144-1-1-2-1+100+6-2-2-1-25-1-1-3-1-1-1-3-1-1-2-1-1+4-2-1-1-3-11-3-1-1-4-2-1-16-1-1-2-3-1-2</f>
        <v>255</v>
      </c>
      <c r="Q28" s="14">
        <f>23+10+32+24-1-1+45+50-20-5-7-1-2+2-3-2-1-5-1-1-2-1-2-1</f>
        <v>130</v>
      </c>
      <c r="R28" s="14">
        <f>17+3-1+44-1+20-15-3+2-1-1-1-1-1</f>
        <v>61</v>
      </c>
      <c r="S28" s="14">
        <f>1+30+20-5-2+1-1-1</f>
        <v>43</v>
      </c>
      <c r="T28" s="38">
        <f>35+15-1-1-5+1-1</f>
        <v>43</v>
      </c>
      <c r="U28" s="20">
        <f>SUM(C28:T28)</f>
        <v>2806</v>
      </c>
      <c r="V28" s="57"/>
      <c r="W28" s="21" t="s">
        <v>41</v>
      </c>
      <c r="X28" s="4">
        <v>1031</v>
      </c>
      <c r="Y28" s="4">
        <f t="shared" si="1"/>
        <v>3608.5</v>
      </c>
      <c r="Z28" s="4">
        <f t="shared" si="2"/>
        <v>2577.5</v>
      </c>
    </row>
    <row r="29" spans="1:26">
      <c r="A29" s="19"/>
      <c r="B29" s="21" t="s">
        <v>41</v>
      </c>
      <c r="C29" s="22">
        <f>41-15-1-1-1+3-2</f>
        <v>24</v>
      </c>
      <c r="D29" s="22">
        <f>75-1-1-1-1-1-1-30-3-1+80-1+5-3-1-1-1-1-1</f>
        <v>111</v>
      </c>
      <c r="E29" s="22">
        <f>37+44-1-3-1+1-1-30-6+100-1+48-1+6-1-3-1</f>
        <v>187</v>
      </c>
      <c r="F29" s="22">
        <f>48+88-1-1-1-1+1-30-6+80-1-1-1+7-1-3-1-1-1-1</f>
        <v>173</v>
      </c>
      <c r="G29" s="22">
        <f>18-2+44-25-3-10+40-1+5-1-2-4-1-1-1-1-1</f>
        <v>54</v>
      </c>
      <c r="H29" s="22">
        <f>35-2-1-1-20-2-5+26+2-1-2-1-1-1-1</f>
        <v>25</v>
      </c>
      <c r="I29" s="22">
        <f>30-2-15-1+2-1</f>
        <v>13</v>
      </c>
      <c r="J29" s="22">
        <f>21-5+1-1-1</f>
        <v>15</v>
      </c>
      <c r="K29" s="46">
        <f>23-5-1-1-1+1-1</f>
        <v>15</v>
      </c>
      <c r="L29" s="35">
        <f>15+4+60+15-1-20+3-3-1-1</f>
        <v>71</v>
      </c>
      <c r="M29" s="14">
        <f>10+19+38+44+89-2-1-1-1-30-5+100-1-1+47+5-1-5-1</f>
        <v>303</v>
      </c>
      <c r="N29" s="14">
        <f>30+48+100+177-1-1-1-2-2-1-2-1-3-40+1-1-15+200+109+6-2-2-1-5-1-1-1-2-1-1</f>
        <v>584</v>
      </c>
      <c r="O29" s="14">
        <f>34+70+23+44+187-1-1-1-2-1-1-2-2-10-1+1-40-15+90+111-1-1+103-1+7-1-5-2-1-7-1-1</f>
        <v>572</v>
      </c>
      <c r="P29" s="14">
        <f>10+30+70+58+8-2-1-18-1-1-25-5+100+50-1+5-3-3</f>
        <v>271</v>
      </c>
      <c r="Q29" s="14">
        <f>50+20+27+30-8-1-20-3+2-1-1-2-2</f>
        <v>91</v>
      </c>
      <c r="R29" s="14">
        <f>20+17+15-1-2-15-2+26+2-1-1-1</f>
        <v>57</v>
      </c>
      <c r="S29" s="14">
        <f>12+28-1-5-1+1-1-1</f>
        <v>32</v>
      </c>
      <c r="T29" s="38">
        <f>17+29-5+1-1-1-1</f>
        <v>39</v>
      </c>
      <c r="U29" s="20">
        <f>SUM(C29:T29)</f>
        <v>2637</v>
      </c>
      <c r="V29" s="57"/>
      <c r="W29" s="24" t="s">
        <v>42</v>
      </c>
      <c r="X29" s="4">
        <v>1673</v>
      </c>
      <c r="Y29" s="4">
        <f t="shared" si="1"/>
        <v>5855.5</v>
      </c>
      <c r="Z29" s="4">
        <f t="shared" si="2"/>
        <v>4182.5</v>
      </c>
    </row>
    <row r="30" spans="1:26">
      <c r="A30" s="19"/>
      <c r="B30" s="21" t="s">
        <v>43</v>
      </c>
      <c r="C30" s="22">
        <f>48+36-1-1-1-1-3-1-1-15-1-1-1+60-1-1-1-1-1-1-3-1-2-6-1-4-1-2-1-1-1+0-1-1-2-1-1+1-1-1</f>
        <v>81</v>
      </c>
      <c r="D30" s="22">
        <f>50+42-1+198-1-2-1-1-1-1-1-1-2-1-1-1-1-1-1-2-3-1-1-1-30-3-1-1-2-2-2-4-1-1+296-6-1-5-1-2-3-1-2-1-2-1-13-2-1-1-2-1-2-1-1-1-1-1-3-4-1-1-1-2-2-3-21-1-1-4-1-1-1-2-1-2-2-2-3-1-2</f>
        <v>399</v>
      </c>
      <c r="E30" s="22">
        <f>30+19-10-1+138-1-1+139-1-2-1-1-4-1-1+1-1-1-1-3-1-1-1-2-1-1-4-1-3-1-1-1-1+1+1-30-1-6-5-1+200-1+187+1-2-4-1-3-1-1-1-4-1+1-3-1-2-3-1-1-2-1-11-1-1-1-1-1-1-2-1-1-1-3-1-1-2-4-6-43-1-1-2-3-2-8-2-2-1-2-1-1-3-1-1-3-2-1-1-1</f>
        <v>472</v>
      </c>
      <c r="F30" s="22">
        <f>93+24-1-1-2-1+100+170-1-1-1-1-2-2-1-1-1-2+1+297-2-30-6-1-1-1-2-3-1-1-3-1-1-2-1-1-1-4-2-5-1-5-1-1-3-2-1-4-1-1-2-1-1-1-7-1-5-1-1-4-1-2-3-1-1-4-2-3-43-1-1-2-16-1-1-1-2-2-3-1-2-3-2-1-3-1-1</f>
        <v>450</v>
      </c>
      <c r="G30" s="22">
        <f>7-5-2+205-1-1-1-1-1-1-2-1+149-25-3-1-1-1-4-1-10-3-1-2-2-1-1-2-2-1-1-5-2-1-2-1-2-5-1-4-1-1-3-1-1-3-1-18-1-1-4-1-2-1-1-3-2-1-1-2-1</f>
        <v>210</v>
      </c>
      <c r="H30" s="22">
        <f>0+80-1-2+2-1-1-2+1-1-1-1-20-2-2-1-1+79-2-2-1-1-1-1-2-1-2-3-1-1-2-1-2-1-1-1-1-2-1-2</f>
        <v>94</v>
      </c>
      <c r="I30" s="22">
        <f>10-1-1+35-1-1-1-1-1-1-1-3-1-15-1-1-1+40-1-1-1-2-10-1-1-1-1-1-1</f>
        <v>33</v>
      </c>
      <c r="J30" s="22">
        <f>20+16-5-1-1</f>
        <v>29</v>
      </c>
      <c r="K30" s="46">
        <f>29+11-5-1-2+1</f>
        <v>33</v>
      </c>
      <c r="L30" s="14">
        <f>80+19-1-1-20-10-2+60-3-2-62-10+2</f>
        <v>50</v>
      </c>
      <c r="M30" s="14">
        <f>80+63+36+52-1-1-1-1-1-1-1+147-30-5-2-1-2-2-5-1-8-1-1-1-2-1-2-1-22-3-1-1+3-1-1-4-2-1-4</f>
        <v>269</v>
      </c>
      <c r="N30" s="14">
        <f>80+78+56+42+11-10-1+166-1-1-1-1-1-1-1-1-1-4+1+299-40-1-1-15-1-1-4-1-1-1-2-1-1-2-1-2-2-5-1-1-1-1-1-1-2-1-2-37-2-1-1-1-3-2-2-1-1-1</f>
        <v>564</v>
      </c>
      <c r="O30" s="14">
        <f>79+71+18+2+56-1-1+83-1-2-2-1-1-1-1+440-40-1+1-15-1-3-2-1-3-1-1-5-2-1-4-2-1-1-1-4-1-1-34-4-2-1-3-1-1-3-1-2-1</f>
        <v>595</v>
      </c>
      <c r="P30" s="14">
        <f>69+31-5-1+104-3-2-1-1-1-1-1-25-5-1-1-1-3+192-2-1-1-3-1-3-1-1-1-4-1-2-2-2-16-1-2-1-2-1-1</f>
        <v>295</v>
      </c>
      <c r="Q30" s="14">
        <f>70-1-1+26-1-1-1-20-1-3+94-1-2-1-2-2-2-1-1-1-1-1-6-2-1+2-2</f>
        <v>137</v>
      </c>
      <c r="R30" s="14">
        <f>20+16-1+26-1-15-2+38-2-1-1-1-1-1-1+2-2</f>
        <v>73</v>
      </c>
      <c r="S30" s="14">
        <f>20+4-1-1-5-1+1</f>
        <v>17</v>
      </c>
      <c r="T30" s="68">
        <f>24+10-5-1-1+1</f>
        <v>28</v>
      </c>
      <c r="U30" s="13">
        <f>SUM(C30:T30)</f>
        <v>3829</v>
      </c>
      <c r="V30" s="57"/>
      <c r="W30" s="24" t="s">
        <v>44</v>
      </c>
      <c r="X30" s="4">
        <v>1063</v>
      </c>
      <c r="Y30" s="4">
        <f t="shared" si="1"/>
        <v>3720.5</v>
      </c>
      <c r="Z30" s="4">
        <f t="shared" si="2"/>
        <v>2657.5</v>
      </c>
    </row>
    <row r="31" spans="1:26" ht="21" thickBot="1">
      <c r="A31" s="19"/>
      <c r="B31" s="21" t="s">
        <v>42</v>
      </c>
      <c r="C31" s="47">
        <f>7+41-1-15-4-1-15+3+31-2</f>
        <v>44</v>
      </c>
      <c r="D31" s="22">
        <f>34-1-1-1-1+82-2-2-1-30-3-2-1+5+88-3-1-2-19</f>
        <v>139</v>
      </c>
      <c r="E31" s="22">
        <f>53-1-3-1-1+133-2-2+1-1-30-6-3-7+6+126-3-6-1-1-1-50</f>
        <v>200</v>
      </c>
      <c r="F31" s="47">
        <f>38-1-2+66+65-3-1+1-1-30-6-3-10-3+7+122-3-1-2-1-4-57</f>
        <v>171</v>
      </c>
      <c r="G31" s="47">
        <f>33+40-2-1+1-2-1-25-3-40+5+89-2-2-2-9-1-5-19</f>
        <v>54</v>
      </c>
      <c r="H31" s="47">
        <f>20-2-1+41-2-20-2-5-1-1+2-1-2+31-5</f>
        <v>52</v>
      </c>
      <c r="I31" s="22">
        <f>13+10-15-1+1-1-1+29</f>
        <v>35</v>
      </c>
      <c r="J31" s="22">
        <f>4+19-1-5+1-1-1</f>
        <v>16</v>
      </c>
      <c r="K31" s="48">
        <f>6+24-5-1+1-1-3-1</f>
        <v>20</v>
      </c>
      <c r="L31" s="69">
        <f>60+82-1-20+2+31-3</f>
        <v>151</v>
      </c>
      <c r="M31" s="62">
        <f>59+80-3-4-1-1-1+110-3-2-2-30-1-5-5-2-3+5+160-5-1-1</f>
        <v>344</v>
      </c>
      <c r="N31" s="62">
        <f>41+80*4-1-1-1-1+161-1-2+1-1-6-6-3-40+1-1-15-5-1-5+5+268-5-1-1-1-1-1-1</f>
        <v>696</v>
      </c>
      <c r="O31" s="62">
        <f>47+140+160-1-5-2+160-1+5-3-6-7-1-1-1-40-1-15-3-1-5-1-4+6+258-5-3-1-1-5-1-1-1-5-4</f>
        <v>651</v>
      </c>
      <c r="P31" s="62">
        <f>40-1-2-1+192-1+30+1-1-1-25-5-5-1-2+6+137-3-1-1-6-5</f>
        <v>345</v>
      </c>
      <c r="Q31" s="62">
        <f>25+60+37-1-2-1-2-20-1-3+5+70-2-1-1</f>
        <v>163</v>
      </c>
      <c r="R31" s="62">
        <f>15+30+30-15-2+2-2-2+31-1-2-1</f>
        <v>83</v>
      </c>
      <c r="S31" s="62">
        <f>30-1-1-5+1+20-1-1-1</f>
        <v>41</v>
      </c>
      <c r="T31" s="63">
        <f>31-5-1+1+21-1-1</f>
        <v>45</v>
      </c>
      <c r="U31" s="25">
        <f>SUM(C31:T31)</f>
        <v>3250</v>
      </c>
      <c r="V31" s="57"/>
      <c r="W31" s="26"/>
    </row>
    <row r="32" spans="1:26" ht="38.25" customHeight="1" thickBot="1">
      <c r="B32" s="27"/>
      <c r="D32" s="27"/>
      <c r="E32" s="27"/>
      <c r="I32" s="27"/>
      <c r="J32" s="27"/>
      <c r="M32" s="1" t="s">
        <v>1</v>
      </c>
      <c r="U32" s="28">
        <f>SUM(U7:U31)</f>
        <v>173772</v>
      </c>
      <c r="V32" s="55"/>
      <c r="W32" s="29"/>
    </row>
    <row r="33" spans="1:22" ht="21" thickBot="1">
      <c r="V33" s="55"/>
    </row>
    <row r="34" spans="1:22" ht="36.75" customHeight="1" thickBot="1">
      <c r="C34" s="72" t="s">
        <v>45</v>
      </c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4"/>
      <c r="V34" s="55"/>
    </row>
    <row r="35" spans="1:22" ht="30" customHeight="1" thickBot="1">
      <c r="C35" s="75" t="s">
        <v>3</v>
      </c>
      <c r="D35" s="76"/>
      <c r="E35" s="76"/>
      <c r="F35" s="76"/>
      <c r="G35" s="76"/>
      <c r="H35" s="76"/>
      <c r="I35" s="76"/>
      <c r="J35" s="76"/>
      <c r="K35" s="77"/>
      <c r="L35" s="78" t="s">
        <v>4</v>
      </c>
      <c r="M35" s="79"/>
      <c r="N35" s="79"/>
      <c r="O35" s="79"/>
      <c r="P35" s="79"/>
      <c r="Q35" s="79"/>
      <c r="R35" s="79"/>
      <c r="S35" s="79"/>
      <c r="T35" s="80"/>
      <c r="V35" s="55"/>
    </row>
    <row r="36" spans="1:22" ht="21" thickBot="1">
      <c r="B36" s="5" t="s">
        <v>9</v>
      </c>
      <c r="C36" s="6" t="s">
        <v>10</v>
      </c>
      <c r="D36" s="7" t="s">
        <v>11</v>
      </c>
      <c r="E36" s="7" t="s">
        <v>12</v>
      </c>
      <c r="F36" s="7" t="s">
        <v>13</v>
      </c>
      <c r="G36" s="7" t="s">
        <v>14</v>
      </c>
      <c r="H36" s="7" t="s">
        <v>15</v>
      </c>
      <c r="I36" s="7" t="s">
        <v>16</v>
      </c>
      <c r="J36" s="7" t="s">
        <v>17</v>
      </c>
      <c r="K36" s="30" t="s">
        <v>18</v>
      </c>
      <c r="L36" s="31" t="s">
        <v>10</v>
      </c>
      <c r="M36" s="8" t="s">
        <v>11</v>
      </c>
      <c r="N36" s="8" t="s">
        <v>12</v>
      </c>
      <c r="O36" s="8" t="s">
        <v>13</v>
      </c>
      <c r="P36" s="8" t="s">
        <v>14</v>
      </c>
      <c r="Q36" s="8" t="s">
        <v>15</v>
      </c>
      <c r="R36" s="8" t="s">
        <v>16</v>
      </c>
      <c r="S36" s="8" t="s">
        <v>17</v>
      </c>
      <c r="T36" s="9" t="s">
        <v>18</v>
      </c>
      <c r="V36" s="55"/>
    </row>
    <row r="37" spans="1:22" ht="21" customHeight="1">
      <c r="B37" s="32" t="s">
        <v>19</v>
      </c>
      <c r="C37" s="37">
        <f>29+26+49+39+10-1-1-32-1-1-1-3-1-2-1-1-5-1+1-2-15-1-1-15-1-1-1-1-2-2-1-1-1</f>
        <v>58</v>
      </c>
      <c r="D37" s="39">
        <f>56+50+100+19+60-1-1-1-1-5-3-1-25-1-1-1-2-1-1-2-2-3-1-1-1-5-1-1-1-1-2+5-2-7-10-1+2-20-1-5-1-1-3-1-3-3-1-2-2-5-5-6-1-1-1-14-1-5-1-1-2-1-4-1-1-1-1</f>
        <v>111</v>
      </c>
      <c r="E37" s="37">
        <f>56+90+29+29+70-2-1+90-1-14-3-48-2-1-1-1-1-1-2-1-1-1-2-1-1-2-1-1-2+1-3-1-1-1-3-10-6-2+10-4-1-7-2-2+1+1-1-4-30-5-1-1-2-2-1-1-2-2-1-1-1+1-1-2-2-8-5-3-1-1-1-2-47-1-5-1-1-2-7-1-2-1-10-5-1-2-1-6</f>
        <v>70</v>
      </c>
      <c r="F37" s="37">
        <f>66+80+11+28+90+3+40+11+80-1-1-1-1-14-1-1-1-1-1-1-1-1-1-11-1-1+11-1-10-3-1-8+1-1-1-1-1+1-1-30-1+2-1-2-10-3-2-1-1-2-5-2-2+2-2+2-42-1-1-5-1-3-1-2-2-2</f>
        <v>236</v>
      </c>
      <c r="G37" s="37">
        <f>80+50+39+20+31-2-2-3-1+1-1-2-1-1-1+2-11+1-15-1-1-1-1+1-2-1-1-1-3-1-31-1-1-1-3-1-2-1</f>
        <v>131</v>
      </c>
      <c r="H37" s="37">
        <f>21+48+20+50+27-1-3-3-1-1-2-1-1-1-1-1+1-20-1-1+2-3-3-10-1-1-1-3+1-1-1</f>
        <v>108</v>
      </c>
      <c r="I37" s="37">
        <f>41+18-1+1-10-1-2-1-3-1+2</f>
        <v>43</v>
      </c>
      <c r="J37" s="37">
        <f>26+40-1-6+1-5-1+1</f>
        <v>55</v>
      </c>
      <c r="K37" s="43">
        <f>20+10+8+9-1+1-5+1</f>
        <v>43</v>
      </c>
      <c r="L37" s="49">
        <f>20+70+49+21+80+50-1-1-1-2-5-1+1-25-3-3+3-3-1-3-4-1-1-1-2-1-2</f>
        <v>233</v>
      </c>
      <c r="M37" s="37">
        <f>42+80*3+47+37+60-3-1-1-6-6-3-1-1-10+10-1-3-3-1-1-1-1-1-5-2-1-3-1-1-3-1-1-2-2+1-1-4-1-2-10-2+1-25-35-3-1-7-1-4-1-1-5-1-1-1-3-2-1-1-5-1-1-2-2-1-5-1-1-27-2-1-3-1-13-1-1-1-1-4-1+1-1-1+1-19-1-1-2-2-3-3+2-2-40</f>
        <v>113</v>
      </c>
      <c r="N37" s="37">
        <f>22-1-1+70*12+80+56+10-2-4-20-4-2-9-36-2-1-1-1-1-10+10-1-2-1-1-1+1-2-1-1-1-6-1-1-10-10-1-1-2-2-4-3-10-1-3-5-1-3+10-1-1-2-1-4-1-2-1-4+1-3-6+1-1-4-35-50-3-1-1-1-1-1-1-1-1-1-18-1-20-2-1-2-2-3-1-1-1-5-5-3-1-1+1-2-6-6-4-8-1-2-1-1-5-1-2-58-4-1-1-1-1-1-13-8-1-1-3-2-2-6-1-1-2-3-11-6-3-1-1-1-4-1-1-1-1-1-3-3-5-24-3-3-1+10-16-2-40</f>
        <v>396</v>
      </c>
      <c r="O37" s="14">
        <f>54+70*12+5-1-2-1-1-1-8-1-20-4-6-31+1-2-1-10+10-2-1-1-1-1-2-1-1-1-2-1-2-3-1-8-4-1-3+1+1-1-1-1-4-1-5-10-6-1-1-3-1-1-1-2-1-1+10-10-1-2-5-6-2+1-1-4-8-35-50-1-2-3-1-14-28-1-4-2-10-50-1-10-1-1-8-3-1-1-4-2-2-2-1-1-8-6-2-2-2-5-1-1-1-1-25-6-2-2-5-1-1-1-2-5-2-1-2-5-3-1-4-2-4-1-3-4-4-1-1-1-1-1-1-24-3+5-4-3-40</f>
        <v>289</v>
      </c>
      <c r="P37" s="14">
        <f>9+40+29+60+16+140+68+19+70+1-3-4-4-10-1-1-1+1-2-10+10-1-1-3-2-1-1-1-1-3-1-1-4-1-1-3-2-2-1-2-3-2-2-2-10+2-10-2-2-1-3-2-1+1-2-2-25-30-7-18-3-2-1-2-6-2-2-1-10-1-1+1-4-3-2-1-1-6-1-1-1+1-1-2+1-20-2-3-2-4-1-8-6-3-1-2-1-3-6-1-1-1-2-3-1-3-3+3-4-1-30</f>
        <v>114</v>
      </c>
      <c r="Q37" s="14">
        <f>26+40+120+62-3-1-1-1-3+3-1-1-1-1-1-2-2-2-1-1-1-10+1-1-10-25-4-1-1-1-2-4-6-1-1-5-1-2-8-1-2-2-1-1-1-2-1+1-2-1-3+2-10</f>
        <v>122</v>
      </c>
      <c r="R37" s="14">
        <f>4-1+30+14+50+15-1-1-1-1-1-1-1+1-5-15-1-1-1-1-3-1-3-1+1-1-1-2-2</f>
        <v>69</v>
      </c>
      <c r="S37" s="14">
        <f>27+15+15-1-1-6+1-3-5-1-4-3-4</f>
        <v>30</v>
      </c>
      <c r="T37" s="14">
        <f>1+22+15+11-1+1-5</f>
        <v>44</v>
      </c>
      <c r="U37" s="33">
        <f t="shared" ref="U37:U43" si="3">SUM(C37:T37)</f>
        <v>2265</v>
      </c>
      <c r="V37" s="55"/>
    </row>
    <row r="38" spans="1:22">
      <c r="B38" s="32" t="s">
        <v>20</v>
      </c>
      <c r="C38" s="14">
        <f>51+67-2-32-1+10-2-1-1-1-15-2-3-1-4-2+1</f>
        <v>62</v>
      </c>
      <c r="D38" s="14">
        <f>28+160+19-16-1-15-25-1-1+4-1-2-1+40-49-1-1-1-1-1-1-5-2-1-1+1-1-20-2-1-1-2-10-1-1-5-5-2-2-2-2-5-1-6-5-3-2-1-2-2-15+3-1-2-2</f>
        <v>24</v>
      </c>
      <c r="E38" s="61">
        <f>28-1+80*3+18-21-1-1-50-1-48-1+2+5-1-1-3-6+27-1-21-2-1-1-2-5+6-2-4-4-1-1+1-30-6-5-1-2-4-5-5-4-2-1-8-1-5-1-14-1-1-2-3-1-1-1-1-2-3-1-1-2-1-5-2-5-1-1-1-1-5-2-4-2-3+5-1-1-3+1</f>
        <v>1</v>
      </c>
      <c r="F38" s="14">
        <f>66+160+61-16-15-14-1-3-1-3+26-3-18-1-6-5+2-2-3-1-21-30-8-5-5+5-1-1-10-13-1-2-1-5-1-11-1-3-1-5-2-1-1-4-4-1-1-6-5-16-1-2+5-1-1-10</f>
        <v>52</v>
      </c>
      <c r="G38" s="14">
        <f>10+150+15-10-2-2+10-1-2-1-3-17-15-1-1-6-1-3-6-1-3-3-2-5-1-5-3-1-5-1-1-2-5-1-2-2-3</f>
        <v>68</v>
      </c>
      <c r="H38" s="14">
        <f>15+65-3-1-1-1-20-1-1-1-3-1-2-2-7+2</f>
        <v>38</v>
      </c>
      <c r="I38" s="14">
        <f>33+18+16-2-1+1-10-2-1-2-1+2-1-1</f>
        <v>49</v>
      </c>
      <c r="J38" s="14">
        <f>8+30+15+6-5-1-1-2+1</f>
        <v>51</v>
      </c>
      <c r="K38" s="38">
        <f>1+19+11+16-5-1-1-1</f>
        <v>39</v>
      </c>
      <c r="L38" s="35">
        <f>29+161+75-7-1+17-2-1-2-1-25-2-2+2-1-3-1-1-2-1-1-1</f>
        <v>230</v>
      </c>
      <c r="M38" s="14">
        <f>67+2+160+140+15+30-11-1-15-6+1+3-1-1+37-2-15-1-4-20-3+3-4-1-4-6-8-4-2-10+1-2-1-6-1-6-1-10-35-3-1-16-3-1-1-1-1-60-5-3-1-1-1-5-5-2-10-1-8-5-7-5-2-1-7-5-2-6-2-10-2-1-5-1-1+1-7-1-1-2-1+1-3-2-5+2</f>
        <v>69</v>
      </c>
      <c r="N38" s="14">
        <f>40-3+70*6+80*4+59+49+29-14-20-36-1-7-1-6+52-2-1-6-2-102-2+2-10-1-20-1-1-1-1-1-1-1-10-16-1-8-1-1-7-1-3+6-1-2-4-2-2-1-3-10-1-1-28-12+1-2+1-14-4-1-20-50-2-1-1-2-1-24-1-10-36-5-3-2-10-4-4-4-1-2-1-1-1-1-80-15-1-10-6-4-3-4-8-1-15-1-27-7-2-48-10-5-6-3-2-3-8-2-4-1-20-37-18-1-2-17-1-1-17-1-1-1-1-3-18+4-1-1-1-1+10+1-11</f>
        <v>0</v>
      </c>
      <c r="O38" s="14">
        <f>50+70*10+69+78+60+52-37-1-20-31+1-1-1-8-1-7+37-4-12-6-120-2-2-2+4-1-4-20-5-9-1+8-1-1-30-2-9-10-8-5-1+1-6+7-1-6-2-47-3-1-1-3-5-26-2-1-2-3-3-1-13-4-1-20-50-4-1-3-2-22-5-3-1-28-7-10-7-1-10-2-60-2+1-2-10-21-2-3-9-8-12-34-23-1-36-1-3-5-2-1-3-1-6-8-2-2-1-26-24-1-5-1-2-1-15-1-21-4-1-1-1-15-1-1-1+1-8-1-4-7+52-2-1-1-7-5-1-2-1-9+5-4</f>
        <v>24</v>
      </c>
      <c r="P38" s="14">
        <f>70+70*5+58+24-6-15-10+4+3-2-3-3-3+17-9-60-3+4-1-2-1-1-1-12-2-8-1-5+4-1-2-8-10-24-1-3-15-6-3-10-30-4-6-1-4-5-2-5-1-10-1-3-1-1-1-40-10-10-10-1-1-6-10-12-21-2-1-9-8-6-2-2-6-12-5-4-4-5-1-1-1-6-1-31+3-3</f>
        <v>0</v>
      </c>
      <c r="Q38" s="60">
        <f>13-3+70+24+15+98-8-3-3-1-6-2-30-1-1-1-3+3-1-22-4-4-3-10-1-3-2-1-2-1-5-25-2-8-1-1-1-5-7-1-5-4-5-1-4-4-3-2+1-4-5-1-1-3-10+2-2+3</f>
        <v>3</v>
      </c>
      <c r="R38" s="14">
        <f>7+34+53-1-6-2-24-4-1-1-2-2-1-18-3-15-3-1-1-2-1-1-3-2+34-1-2-2+30-1+1-1-1-2</f>
        <v>55</v>
      </c>
      <c r="S38" s="14">
        <f>11+20+70+19-18-5-1-4</f>
        <v>92</v>
      </c>
      <c r="T38" s="14">
        <f>3+54+51+40-2-5-1-1-1-3-3+1</f>
        <v>133</v>
      </c>
      <c r="U38" s="34">
        <f t="shared" si="3"/>
        <v>990</v>
      </c>
      <c r="V38" s="55"/>
    </row>
    <row r="39" spans="1:22" s="29" customFormat="1">
      <c r="B39" s="54" t="s">
        <v>21</v>
      </c>
      <c r="C39" s="14">
        <f>36+49+24-1-15-8-2-2+1-1</f>
        <v>81</v>
      </c>
      <c r="D39" s="17">
        <f>71+37+37-2-1-9-5-1-20-37-1-1-1-4-3-1+10-1-1-1-3-1+3-1-1-2</f>
        <v>61</v>
      </c>
      <c r="E39" s="17">
        <f>18+75+3+73-1-1-12-6-2-5+1-1-30-1-36-1-6-1+52-3-3-2-8-3-1-1+16-1-3-1+5-1-1-1-2-1-1</f>
        <v>107</v>
      </c>
      <c r="F39" s="14">
        <f>29+45+37-2-1-2-1-12-2-1-1-2-1-1-5-3+1+50-30-32-4+51-1-2-2-3-1+10-6+5-1</f>
        <v>112</v>
      </c>
      <c r="G39" s="17">
        <f>52+40+10-3-9-5-15-26-1-1-1-2-6-1+10-2-1+3-3</f>
        <v>39</v>
      </c>
      <c r="H39" s="14">
        <f>20+20-20-20+52-2-10+2</f>
        <v>42</v>
      </c>
      <c r="I39" s="14">
        <f>51+32+40+20-10-1-2-1+2</f>
        <v>131</v>
      </c>
      <c r="J39" s="17">
        <f>4+14+40-1-5+1</f>
        <v>53</v>
      </c>
      <c r="K39" s="38">
        <f>25+18-5+1</f>
        <v>39</v>
      </c>
      <c r="L39" s="35">
        <f>61+74-1-1-1-25-3-2-1-1+1-1</f>
        <v>100</v>
      </c>
      <c r="M39" s="50">
        <f>6+75+39-8-4-3-1-1-2-1+1-1-1-5+150-2-6-12-35-1-6-1-1-2-1-5-11-1-46-5+10-1-2-1-1-2-1-1-1+1-9-1-4-1+3-7</f>
        <v>91</v>
      </c>
      <c r="N39" s="60">
        <f>54+140-1-4-6-4-2-1-10-1-1-6-1-2-45-4-1-1-6-1-1-1-1+1-30-7-28-1-1-2-1+1-1-1-5-12-7+79-12-14-50-2-1+104-25-1-2-6+148-6-24-2-3-4-2-1-5-27-1-1-30-2-7-1-53-5-1-3-1-2-1-1-15-1-2-8-1-3-5+3-1-1-1</f>
        <v>0</v>
      </c>
      <c r="O39" s="14">
        <f>58+70-10-10-1-8-1-3-7-3-1-1-1-1-2-6-3-7-10-3+1-40-7-4+50-5-15-2-2-1+99-13-12-10-1-1-1-1-6-50-2-27+104-25-5-3+147-1-4-22-6-1-2-2-3-5-15-24-1-1-2-21-5-2-1-2-1-2-1-10-1-2-8-5-4-21-12-5-1-1-1-9-4</f>
        <v>10</v>
      </c>
      <c r="P39" s="45">
        <f>29-8-2-3-1-4-4-2-1-3-1+81-10-30-2-4-12-6-1-1-1-14+20-5+79-3-12-10-2-1-25-1-1+104-2-4-3-2-3-6-3-20-21-26-2-1-2-5-1-1-4-1-1-14-6-15+1-1</f>
        <v>0</v>
      </c>
      <c r="Q39" s="14">
        <f>32+60-6-2-8-2-2-3-1-1-1-2-12-3-3-1-12-1-1-5-1-1+50-25-1-1-1-1-2+52-1-2-1-3-1-8+12-6-1+11-1-1-1-2-4-2-9+2-2-1</f>
        <v>74</v>
      </c>
      <c r="R39" s="14">
        <f>40-2-1-6-15-1-3-1-2-4-4-1+23-4-2-6+2-2</f>
        <v>11</v>
      </c>
      <c r="S39" s="17">
        <f>60+30+6-5-2-3+13-1-1</f>
        <v>97</v>
      </c>
      <c r="T39" s="17">
        <f>28+40-5-1-1+11+1</f>
        <v>73</v>
      </c>
      <c r="U39" s="34">
        <f t="shared" si="3"/>
        <v>1121</v>
      </c>
      <c r="V39" s="57"/>
    </row>
    <row r="40" spans="1:22">
      <c r="B40" s="32" t="s">
        <v>22</v>
      </c>
      <c r="C40" s="17">
        <f>25+14-1-15-2-2-1-2-1+10-2+1</f>
        <v>24</v>
      </c>
      <c r="D40" s="17">
        <f>46-2-1-1-2-1-2-20-1-3-1-4+29+3+4</f>
        <v>44</v>
      </c>
      <c r="E40" s="17">
        <f>40+20+67-2-1-1-3+1-3-30-3-1-1-13-2+5-1+13</f>
        <v>85</v>
      </c>
      <c r="F40" s="17">
        <f>40+78-1-3-1-1-5+1-1-3-30-1-1-3-1-14+10-1-2+1-1+14-1</f>
        <v>74</v>
      </c>
      <c r="G40" s="17">
        <f>60+56-1-1-15-1-2-3-1-6-1-2+3+6</f>
        <v>92</v>
      </c>
      <c r="H40" s="14">
        <f>40+50-20-2</f>
        <v>68</v>
      </c>
      <c r="I40" s="17">
        <f>40+20+3-1-10-2-1</f>
        <v>49</v>
      </c>
      <c r="J40" s="14">
        <f>20+35-5</f>
        <v>50</v>
      </c>
      <c r="K40" s="14">
        <f>30+3-5</f>
        <v>28</v>
      </c>
      <c r="L40" s="23">
        <f>60+20+30+5-1-25-3-1+1</f>
        <v>86</v>
      </c>
      <c r="M40" s="14">
        <f>9+70+21+6-1-1-1-1-12-2-10-35-1-2-3+1-5-5-1-3-1+79+4+5</f>
        <v>111</v>
      </c>
      <c r="N40" s="14">
        <f>48+9+11+40+70+44-1-4-1-1-1-3-1-1-2+1-12-9-1-20-50-3-2-1-1-1-5-15-1-1-1-2-1-4-2+2-1-14-12+149-1-2+5-40+5</f>
        <v>167</v>
      </c>
      <c r="O40" s="14">
        <f>70*3+20+10+22-7-1-1-1-1-2+1-12-10-20-50-1-8-3-1-1-1-1-1-1-10-5-12-2-1-1-1-1-14-6+147-2-1+4-1-40+5</f>
        <v>199</v>
      </c>
      <c r="P40" s="14">
        <f>70+6+4+14-6-3-3-1-12-4-10-30-1-1-1-3-2-1-1-1-1-1-6-6+149-8+1+4</f>
        <v>146</v>
      </c>
      <c r="Q40" s="14">
        <f>60+11-1-2-5-25-3-4-13-1-7+58+2-1+3</f>
        <v>72</v>
      </c>
      <c r="R40" s="14">
        <f>40+14-2-3-15-2-2-1-1+2</f>
        <v>30</v>
      </c>
      <c r="S40" s="14">
        <f>29+8+30+17-5-1-1+2</f>
        <v>79</v>
      </c>
      <c r="T40" s="17">
        <f>30+11+30+21-5+2</f>
        <v>89</v>
      </c>
      <c r="U40" s="33">
        <f t="shared" si="3"/>
        <v>1493</v>
      </c>
      <c r="V40" s="55"/>
    </row>
    <row r="41" spans="1:22">
      <c r="B41" s="32" t="s">
        <v>23</v>
      </c>
      <c r="C41" s="17">
        <f>19+53+29-15-1-2-1-1-3+1</f>
        <v>79</v>
      </c>
      <c r="D41" s="17">
        <f>20+11+50-2-1-1-1-1-20-1-1-1-1-2-5-3+100-1-1-1-16-2-2+3-2</f>
        <v>119</v>
      </c>
      <c r="E41" s="17">
        <f>26+53-3-1-1-1+1-30-2-2+2-2-1-1-2-8-3+100-6-1-1-2-24-1-3+2-1-1</f>
        <v>87</v>
      </c>
      <c r="F41" s="17">
        <f>24-1-2-1+44-3-1-1-1-1-1-1+1-30-2-1-2-2-3+124-6+50-1-17-3+2-1-1+1</f>
        <v>164</v>
      </c>
      <c r="G41" s="14">
        <f>42-1-5-15-1-2-1-1-1-2-1-3+48-1-6-2+1-2</f>
        <v>47</v>
      </c>
      <c r="H41" s="17">
        <f>10+26-5-20-2+50-1+2</f>
        <v>60</v>
      </c>
      <c r="I41" s="17">
        <f>10+31-10-2+1</f>
        <v>30</v>
      </c>
      <c r="J41" s="17">
        <f>30+34+20+4-5-1</f>
        <v>82</v>
      </c>
      <c r="K41" s="16">
        <f>15+11+19-5</f>
        <v>40</v>
      </c>
      <c r="L41" s="23">
        <f>80+20+70+69+40+28-1-25-1-3-5+1</f>
        <v>273</v>
      </c>
      <c r="M41" s="14">
        <f>70+38+61-22-1-1-1-4-10-35-1-1-2-1-5+100-5-10-4-2-1-8-1-2-1-1</f>
        <v>150</v>
      </c>
      <c r="N41" s="17">
        <f>70+70+10+20+6-1-72-2-1-1-5-4-4-1-1+4-1+1-1-8-10-1-20-10-1-2-7-2-1-1-3-1-5-6-4-5+58-5+140-11-20-14-49+50-2-3-3-1-10-1-3-1-1-1-1-5-5</f>
        <v>112</v>
      </c>
      <c r="O41" s="14">
        <f>140+140+39+27+47-1-56-1-4-3-4-2-1-1-1-2-1-1-2-15+1-20-50-1-1-3-1-10-3-5-2-5-21-20-5-12+149-4-1-7-1-8-1-2+1-2</f>
        <v>264</v>
      </c>
      <c r="P41" s="14">
        <f>20-18-2+63-5-2-11-10-10-10-3-1-1-2-2-6+50-4-10-1-1-18+49-4-1-1-1-2-2-1</f>
        <v>53</v>
      </c>
      <c r="Q41" s="14">
        <f>54+22-3-7-4-4-5-5-25-1-3-3-5+48-1-5</f>
        <v>53</v>
      </c>
      <c r="R41" s="14">
        <f>20+26+45+22-6-2-12-3-25-1-2-3-1-2-1</f>
        <v>55</v>
      </c>
      <c r="S41" s="14">
        <f>34+13+28+2-5</f>
        <v>72</v>
      </c>
      <c r="T41" s="17">
        <f>33-5-1-1</f>
        <v>26</v>
      </c>
      <c r="U41" s="33">
        <f t="shared" si="3"/>
        <v>1766</v>
      </c>
      <c r="V41" s="55"/>
    </row>
    <row r="42" spans="1:22">
      <c r="A42" s="1" t="s">
        <v>1</v>
      </c>
      <c r="B42" s="32" t="s">
        <v>24</v>
      </c>
      <c r="C42" s="17">
        <f>51+38+42-1-2-5-15-1-1-1-1-2-2-1-1-2-1-1+1</f>
        <v>95</v>
      </c>
      <c r="D42" s="59">
        <f>69-1-6-5-1-1-3-20-3-1-1-3-3-6-3-2-1-2-1-1-2-2-1</f>
        <v>0</v>
      </c>
      <c r="E42" s="14">
        <f>63+80+10-1-1-1-7-1-5-2-2-2-1-1+1-1-30-1-1-1-1-1-4-3-2-2-2-2-1-3-5-1-1-20-2-16-2-3-1-1-23</f>
        <v>0</v>
      </c>
      <c r="F42" s="14">
        <f>59+160+50-1-1-1-1-5-5-2-1+1-30-2+2-1-4-4-3-2-3-2-1-1-1-2-2-2-1-1-10-15-2-1</f>
        <v>165</v>
      </c>
      <c r="G42" s="17">
        <f>58+80+8-3-1-5-1-1-1-1-15-2-2-1-2-1-2-1-5-1-1-6-1-2-1-1</f>
        <v>89</v>
      </c>
      <c r="H42" s="14">
        <f>13+34-2-1-20-2-1-2-4-1+2</f>
        <v>16</v>
      </c>
      <c r="I42" s="17">
        <f>36+10-1-1-10-2-2-2-1+2</f>
        <v>29</v>
      </c>
      <c r="J42" s="17">
        <f>12+10+19-5-1-1-1-1</f>
        <v>32</v>
      </c>
      <c r="K42" s="16">
        <f>11+14+21-5-1</f>
        <v>40</v>
      </c>
      <c r="L42" s="23">
        <f>25+100+55-1-1-2-1-25-5-5-1+5-3-2-1-1+1</f>
        <v>138</v>
      </c>
      <c r="M42" s="17">
        <f>56+140+30-3-9-1-1-1-6-1-1-2-1-1-2-1-1-1-25-35-1-1-1-1-9-80-1-3-3-5-1-5-2-10-5-6+100-2-17-3-1-2-1</f>
        <v>74</v>
      </c>
      <c r="N42" s="14">
        <f>47-1+70*5+67+20+30-1-2-4-12-1-1-1-1-34-1-2-1-13-1-1-1-2-3-3-5-2-1-1+1+1-35-50-1-1-1-3-1-1-2-1-1-7-80-1-5-22-15-10-5-2-2-1-1-5-5-1-3-2-1-1-1-1-4-20-1-14-5-1-5-12-2-2</f>
        <v>87</v>
      </c>
      <c r="O42" s="17">
        <f>51+70*6-1-2-8-9-1-1-1-13-2-3-1-2-1-4-1-1+1-2-1-3-1-35-50-10-1-4-60-8-17-6-5-5-5-2-1-6-5-1-1-1-1-2-4-1-1-10-20-7-1-7-5-1-1-2-1-2</f>
        <v>125</v>
      </c>
      <c r="P42" s="14">
        <f>35+70*3-3-1-1-1-1-5-1-1-1-2-2-1-1-2-25-30-1-1-1-1-1-2-1-1-20-1-7-3-6-2-2-9-7-5-1-1-2-1-5-1-7-1-5-9-2-1-1-5-3-1-3-1-1</f>
        <v>45</v>
      </c>
      <c r="Q42" s="17">
        <f>31+32+29-1-2-3-1-1-10-25-1-10-1-3-3-1-5-4-9-3-9+1-1</f>
        <v>0</v>
      </c>
      <c r="R42" s="59">
        <f>27-1+12+10-2-2-1-5-15-1-2-3-5-2-3-3-3-1+2-2</f>
        <v>0</v>
      </c>
      <c r="S42" s="17">
        <f>19+10+21-3-5-1-1+30</f>
        <v>70</v>
      </c>
      <c r="T42" s="14">
        <f>20+31+19-5-1</f>
        <v>64</v>
      </c>
      <c r="U42" s="33">
        <f t="shared" si="3"/>
        <v>1069</v>
      </c>
      <c r="V42" s="55"/>
    </row>
    <row r="43" spans="1:22" s="29" customFormat="1" ht="21" thickBot="1">
      <c r="B43" s="54" t="s">
        <v>25</v>
      </c>
      <c r="C43" s="17">
        <f>35-6-1-15-3-1+1</f>
        <v>10</v>
      </c>
      <c r="D43" s="14">
        <f>30-1-29+100-1-20-5-1-5-1-1-1-2+3-2</f>
        <v>64</v>
      </c>
      <c r="E43" s="14">
        <f>57-2-1-1-2-2-43+100-1+1-30-5-1-2-1-1-8-1+1-2-2-5+1-3-1-1-1-1</f>
        <v>43</v>
      </c>
      <c r="F43" s="17">
        <f>45+59+80+70-1-1-2-2-4-13-2+1-1+1-30-1-1-2-5-1-1-1+1-6-1-2</f>
        <v>180</v>
      </c>
      <c r="G43" s="17">
        <f>55+49-1-1-4-11-1+1-2-1-15-1-1-1-3+1-1-1-1+1-1</f>
        <v>61</v>
      </c>
      <c r="H43" s="17">
        <f>58-1-1-20-2-5-1</f>
        <v>28</v>
      </c>
      <c r="I43" s="17">
        <f>17-1-10-2+2</f>
        <v>6</v>
      </c>
      <c r="J43" s="14">
        <f>24-5</f>
        <v>19</v>
      </c>
      <c r="K43" s="38">
        <f>18+18-5</f>
        <v>31</v>
      </c>
      <c r="L43" s="35">
        <f>61+60+1+20-3-1-25-3-5+1</f>
        <v>106</v>
      </c>
      <c r="M43" s="14">
        <f>27+1-2-3-1-4-11+99+49-12-10-35-3-4-3-1-1-1-1-1+3-2</f>
        <v>84</v>
      </c>
      <c r="N43" s="14">
        <f>24-1-4-2-1-10-1-1-4+55-2-12-32+40-45-1+45-3+148-2-6-1+1-2-12-20-50-6-1-3-16-17-1-1-12-1-3-1-4-10-1-3-3-1-1-1-5+1-2-2-2-1-1-3</f>
        <v>0</v>
      </c>
      <c r="O43" s="14">
        <f>9-9+55-6-14-17+40-42-1-1+45+147-4-1-2-12-20-50-1-2-3-20-24-1-1-1-2-6-2-2-5-8-2-2-2-8-2-1-5-6+2-1-3-4-1</f>
        <v>4</v>
      </c>
      <c r="P43" s="14">
        <f>4+9-8-1-4+100-1-9-12-1-2-30-2+98-2-12-10-30-1-4-2-3-1-5-4-1-1-1-1-4-1-4-6+2-2-5-1-1-1-2-8</f>
        <v>30</v>
      </c>
      <c r="Q43" s="17">
        <f>10+60-6-10-3-2-2-3-1-2-5+10+36-5-25+13-1-4-3-2-3-1+2-2-10</f>
        <v>41</v>
      </c>
      <c r="R43" s="17">
        <f>32+50-2-3-2-3-15-1-3-2-1-3-1-1</f>
        <v>45</v>
      </c>
      <c r="S43" s="17">
        <f>7+20+19-5</f>
        <v>41</v>
      </c>
      <c r="T43" s="17">
        <f>23+20+17-5</f>
        <v>55</v>
      </c>
      <c r="U43" s="34">
        <f t="shared" si="3"/>
        <v>848</v>
      </c>
      <c r="V43" s="57"/>
    </row>
    <row r="44" spans="1:22" ht="31" thickBot="1">
      <c r="U44" s="28">
        <f>SUM(U37:U43)</f>
        <v>9552</v>
      </c>
      <c r="V44" s="55"/>
    </row>
    <row r="45" spans="1:22">
      <c r="V45" s="55"/>
    </row>
    <row r="46" spans="1:22" ht="62.25" customHeight="1">
      <c r="C46" s="70" t="s">
        <v>47</v>
      </c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</row>
    <row r="47" spans="1:22" ht="30" customHeight="1" thickBot="1">
      <c r="C47" s="81" t="s">
        <v>48</v>
      </c>
      <c r="D47" s="82"/>
      <c r="E47" s="82"/>
      <c r="F47" s="82"/>
      <c r="G47" s="82"/>
      <c r="H47" s="82"/>
      <c r="I47" s="82"/>
      <c r="J47" s="82"/>
      <c r="K47" s="83"/>
      <c r="L47" s="2"/>
      <c r="U47" s="1"/>
    </row>
    <row r="48" spans="1:22" ht="21" thickBot="1">
      <c r="B48" s="5" t="s">
        <v>9</v>
      </c>
      <c r="C48" s="51" t="s">
        <v>10</v>
      </c>
      <c r="D48" s="51" t="s">
        <v>11</v>
      </c>
      <c r="E48" s="51" t="s">
        <v>12</v>
      </c>
      <c r="F48" s="51" t="s">
        <v>13</v>
      </c>
      <c r="G48" s="51" t="s">
        <v>14</v>
      </c>
      <c r="H48" s="51" t="s">
        <v>15</v>
      </c>
      <c r="I48" s="51" t="s">
        <v>16</v>
      </c>
      <c r="J48" s="51" t="s">
        <v>17</v>
      </c>
      <c r="K48" s="52" t="s">
        <v>18</v>
      </c>
      <c r="L48" s="2"/>
      <c r="U48" s="1"/>
    </row>
    <row r="49" spans="2:24">
      <c r="B49" s="32" t="s">
        <v>19</v>
      </c>
      <c r="C49" s="12">
        <f>25+50-1-8-1-4-5-1-25-5+30-1-1-2-1-1-6-1-1-31-4-6</f>
        <v>0</v>
      </c>
      <c r="D49" s="12">
        <f>91+5-4-1-17-15-1-18-1-15-1-1-1-4-1-1+5-1+102+1-10+100-35-2-1-2-16-1-1-25-2-2-3-1-1-1-2-1+1-2-1-13-1-38-1-1-12-1-3-44</f>
        <v>0</v>
      </c>
      <c r="E49" s="37">
        <f>30+55+3+2-2-1-2-25-30-30+15-15+27+191-15+100+10+1-1-2-50+2-6-4+88-2-1-6-5-40-4-4-3-1-1-13-4-1-1-1-1-1-3-1-72-2-1-2-9-1-156-2-2</f>
        <v>1</v>
      </c>
      <c r="F49" s="37">
        <f>77+20+9+2-1-4-7-25-42-1-1-2-1-1-14-5-1-1+1-1-2+15-15+13+190-20+100-50-6-2+30-1-2-12-3+70-3-23-3-1-3-1-1-13-1-3-46-2-2-1-5-104-3-2-1-1-2-1</f>
        <v>85</v>
      </c>
      <c r="G49" s="12">
        <f>44+5-1-4-2-17-15-8+15-1+5+90-5-1-30-1-4-1-1+100-1-2-3-2-1-13-1-2-1-26-1-2-3-6-43-1-3</f>
        <v>57</v>
      </c>
      <c r="H49" s="11">
        <f>60+8-4-10-25-3+30-1-1-1-2-1-1-11-1-1-1-1-1-11-1</f>
        <v>21</v>
      </c>
      <c r="I49" s="11">
        <f>19+30-3-10-1-2-1-1-10+13-5-1-2-1-1-1-2-1-1-5-1-1</f>
        <v>12</v>
      </c>
      <c r="J49" s="11">
        <f>25+22+9-1-5-1+1-5</f>
        <v>45</v>
      </c>
      <c r="K49" s="11">
        <f>25+24+8-1-5-1+1</f>
        <v>51</v>
      </c>
      <c r="L49" s="33">
        <f t="shared" ref="L49:L54" si="4">SUM(C49:K49)</f>
        <v>272</v>
      </c>
      <c r="U49" s="1"/>
    </row>
    <row r="50" spans="2:24">
      <c r="B50" s="32" t="s">
        <v>20</v>
      </c>
      <c r="C50" s="4">
        <f>62+30+5-1-25-2-10-2</f>
        <v>57</v>
      </c>
      <c r="D50" s="4">
        <f>100+26+45+72-1+1-1-1-35-4-63-8-2-1-5-1</f>
        <v>122</v>
      </c>
      <c r="E50" s="15">
        <f>100+7+90+80+50-1-1-1-1-1-1+1-1+1-1-1-50-1-10-1-85-12-2-1-1-1-2-2+1</f>
        <v>153</v>
      </c>
      <c r="F50" s="4">
        <f>28+100+90+80-1-1-1-1-1-1-50-4-45-8-2-1-1-5-1-2-1-1-1-1-1</f>
        <v>168</v>
      </c>
      <c r="G50" s="4">
        <f>8+40+90+25-1-1-30-1-5-14-10-2-1-1-2</f>
        <v>95</v>
      </c>
      <c r="H50" s="15">
        <f>84+1+40+46-25-2-4-2-1-1-1</f>
        <v>135</v>
      </c>
      <c r="I50" s="15">
        <f>26+21+34-1-15-1-2-2-1</f>
        <v>59</v>
      </c>
      <c r="J50" s="15">
        <f>21+11-1-5-1</f>
        <v>25</v>
      </c>
      <c r="K50" s="15">
        <f>20+41+12-1-5-1-1</f>
        <v>65</v>
      </c>
      <c r="L50" s="33">
        <f t="shared" si="4"/>
        <v>879</v>
      </c>
      <c r="U50" s="1"/>
      <c r="X50" s="1" t="s">
        <v>1</v>
      </c>
    </row>
    <row r="51" spans="2:24">
      <c r="B51" s="32" t="s">
        <v>46</v>
      </c>
      <c r="C51" s="4">
        <f>20+40+37-10-25-5-2+20-20</f>
        <v>55</v>
      </c>
      <c r="D51" s="4">
        <f>79+70+34-2-30-8-1-35-12-25-1-2-1-1-12-1-1+178-180-1-1-5</f>
        <v>42</v>
      </c>
      <c r="E51" s="4">
        <f>50+40+77+92-4-1-1-60-6-1-6+1-1-50-1-14-45-1-2-2-1-2-2-1+207-200-7-1-2</f>
        <v>56</v>
      </c>
      <c r="F51" s="4">
        <f>79+40+65+58-2-1-50-4-1-1-1-1-1-6+1-50-1-9-7-2-2-1-1-2-2-1+89+117-200-1</f>
        <v>102</v>
      </c>
      <c r="G51" s="4">
        <f>80+59+30-1-30-1-1-1-3-1-2-1-3-1+100-100-2-1</f>
        <v>121</v>
      </c>
      <c r="H51" s="4">
        <f>40+37-25-1-2-1-1+20-10</f>
        <v>57</v>
      </c>
      <c r="I51" s="4">
        <f>10+14+21-1-1-15-1-2</f>
        <v>25</v>
      </c>
      <c r="J51" s="4">
        <f>19-1-5-1</f>
        <v>12</v>
      </c>
      <c r="K51" s="15">
        <f>14+6-1-5-1</f>
        <v>13</v>
      </c>
      <c r="L51" s="33">
        <f t="shared" si="4"/>
        <v>483</v>
      </c>
      <c r="U51" s="1"/>
    </row>
    <row r="52" spans="2:24">
      <c r="B52" s="32" t="s">
        <v>23</v>
      </c>
      <c r="C52" s="4">
        <f>50+57-1-1-4-1-25-1-30-2-1-1+25</f>
        <v>65</v>
      </c>
      <c r="D52" s="4">
        <f>98+70+38+35-2-1-1-1-35-1-30-1-1-1-2-1-1-1+15</f>
        <v>177</v>
      </c>
      <c r="E52" s="4">
        <f>79+40+45+100+28-2-1-1-6+1-1-1-50-2-40-1-2-1-1-1-10</f>
        <v>173</v>
      </c>
      <c r="F52" s="14">
        <f>100+49+100+50+10+44-1-1-1-1-1-1+1-250-50-1-1-1-40-5+199-20</f>
        <v>179</v>
      </c>
      <c r="G52" s="4">
        <f>68+59+17-1-30-1-2-1-5-2-1-1-2-1-1+25+1-20</f>
        <v>102</v>
      </c>
      <c r="H52" s="4">
        <f>51-1-3-25-5-2+25-1</f>
        <v>39</v>
      </c>
      <c r="I52" s="4">
        <f>30+30+20+8-1-1-15-1-2-1</f>
        <v>67</v>
      </c>
      <c r="J52" s="4">
        <f>14+19+14-1-5-1-1</f>
        <v>39</v>
      </c>
      <c r="K52" s="4">
        <f>18+20+4-1-1-5-1-1-2</f>
        <v>31</v>
      </c>
      <c r="L52" s="33">
        <f t="shared" si="4"/>
        <v>872</v>
      </c>
      <c r="U52" s="1"/>
    </row>
    <row r="53" spans="2:24">
      <c r="B53" s="32" t="s">
        <v>24</v>
      </c>
      <c r="C53" s="14">
        <f>44-1-3-1+1-25-7-4-4+35+15-20-9-1</f>
        <v>20</v>
      </c>
      <c r="D53" s="14">
        <f>18+23+2-1+1-35-3-5+260-20-1+7-1-9-60-1-2-1</f>
        <v>172</v>
      </c>
      <c r="E53" s="53">
        <f>100+61-6-1-1-1-1+1-1+1-1-50-5-1-32-9-9-25-2-1-1-1-1-1-1-1-1+269-1-91-61-1-1-1</f>
        <v>123</v>
      </c>
      <c r="F53" s="14">
        <f>54+90+18+1+3-1-2-1-1-1+1-2-1-50-1-3-28-6-6-20-2-1-1-1-1-1+253-100</f>
        <v>190</v>
      </c>
      <c r="G53" s="14">
        <f>66+48-1-1+1-30-2-1-4-2+50-41</f>
        <v>83</v>
      </c>
      <c r="H53" s="4">
        <f>19+36-1+1-1-1-25-1-2-1-1-1+47-9</f>
        <v>60</v>
      </c>
      <c r="I53" s="4">
        <f>24+20+11-1+1-15-2-1-1-1</f>
        <v>35</v>
      </c>
      <c r="J53" s="4">
        <f>20+4+24-1+1-5-1-1-1-1</f>
        <v>39</v>
      </c>
      <c r="K53" s="4">
        <f>20+17+14-1+1-5-1-1-1-1-1</f>
        <v>41</v>
      </c>
      <c r="L53" s="33">
        <f t="shared" si="4"/>
        <v>763</v>
      </c>
      <c r="S53" s="29"/>
      <c r="U53" s="1"/>
    </row>
    <row r="54" spans="2:24">
      <c r="B54" s="32" t="s">
        <v>25</v>
      </c>
      <c r="C54" s="4">
        <f>50+31+20+17-1-1-25-1-2-1-1-3</f>
        <v>83</v>
      </c>
      <c r="D54" s="4">
        <f>48+79+58-1-1-1-35-50-1-2-1-5-2</f>
        <v>86</v>
      </c>
      <c r="E54" s="4">
        <f>80*7+46+100+90+36+100-1+1-1-50-1-32-1-1-2-1-1-1-4-9-10</f>
        <v>818</v>
      </c>
      <c r="F54" s="4">
        <f>80*3+90+59+20+84+82+90+40+90-1-1-1-1-1+1-50-9-1-1-2-1-1-20</f>
        <v>706</v>
      </c>
      <c r="G54" s="15">
        <f>80+20+20+61-7-30-3-2-1-1-3-20</f>
        <v>114</v>
      </c>
      <c r="H54" s="14">
        <f>60+77-1-25-2-1-2</f>
        <v>106</v>
      </c>
      <c r="I54" s="15">
        <f>20+33-1-15-2-1-1</f>
        <v>33</v>
      </c>
      <c r="J54" s="15">
        <f>10+22-5-1</f>
        <v>26</v>
      </c>
      <c r="K54" s="4">
        <f>25-1-5-1</f>
        <v>18</v>
      </c>
      <c r="L54" s="36">
        <f t="shared" si="4"/>
        <v>1990</v>
      </c>
      <c r="U54" s="1"/>
    </row>
    <row r="55" spans="2:24" ht="30">
      <c r="L55" s="71">
        <f>SUM(L49:L54)</f>
        <v>5259</v>
      </c>
      <c r="M55" s="71"/>
      <c r="U55" s="1"/>
    </row>
    <row r="59" spans="2:24" ht="14">
      <c r="U59" s="1"/>
    </row>
    <row r="60" spans="2:24" ht="14">
      <c r="U60" s="1"/>
    </row>
    <row r="61" spans="2:24" ht="14">
      <c r="U61" s="1"/>
    </row>
    <row r="62" spans="2:24" ht="14">
      <c r="U62" s="1"/>
    </row>
    <row r="63" spans="2:24" ht="14">
      <c r="U63" s="1"/>
    </row>
    <row r="64" spans="2:24" ht="14">
      <c r="U64" s="1"/>
    </row>
    <row r="65" spans="21:21" ht="14">
      <c r="U65" s="1"/>
    </row>
    <row r="66" spans="21:21" ht="14">
      <c r="U66" s="1"/>
    </row>
    <row r="67" spans="21:21" ht="14">
      <c r="U67" s="1"/>
    </row>
    <row r="68" spans="21:21" ht="14">
      <c r="U68" s="1"/>
    </row>
    <row r="69" spans="21:21" ht="14">
      <c r="U69" s="1"/>
    </row>
    <row r="70" spans="21:21" ht="14">
      <c r="U70" s="1"/>
    </row>
    <row r="71" spans="21:21" ht="48.75" customHeight="1">
      <c r="U71" s="1"/>
    </row>
    <row r="72" spans="21:21" ht="14">
      <c r="U72" s="1"/>
    </row>
    <row r="73" spans="21:21" ht="14">
      <c r="U73" s="1"/>
    </row>
    <row r="74" spans="21:21" ht="14">
      <c r="U74" s="1"/>
    </row>
    <row r="75" spans="21:21" ht="14">
      <c r="U75" s="1"/>
    </row>
    <row r="76" spans="21:21" ht="14">
      <c r="U76" s="1"/>
    </row>
    <row r="77" spans="21:21" ht="14">
      <c r="U77" s="1"/>
    </row>
    <row r="78" spans="21:21" ht="14">
      <c r="U78" s="1"/>
    </row>
    <row r="79" spans="21:21" ht="14">
      <c r="U79" s="1"/>
    </row>
    <row r="80" spans="21:21" ht="14">
      <c r="U80" s="1"/>
    </row>
    <row r="81" spans="21:21" ht="14">
      <c r="U81" s="1"/>
    </row>
    <row r="82" spans="21:21" ht="14">
      <c r="U82" s="1"/>
    </row>
  </sheetData>
  <mergeCells count="11">
    <mergeCell ref="C34:T34"/>
    <mergeCell ref="B1:N2"/>
    <mergeCell ref="O1:T2"/>
    <mergeCell ref="C4:T4"/>
    <mergeCell ref="C5:K5"/>
    <mergeCell ref="L5:T5"/>
    <mergeCell ref="C35:K35"/>
    <mergeCell ref="L35:T35"/>
    <mergeCell ref="C46:T46"/>
    <mergeCell ref="C47:K47"/>
    <mergeCell ref="L55:M55"/>
  </mergeCells>
  <conditionalFormatting sqref="C7">
    <cfRule type="top10" priority="76" rank="10"/>
    <cfRule type="top10" priority="81" rank="10"/>
    <cfRule type="containsText" dxfId="36" priority="84" operator="containsText" text="10">
      <formula>NOT(ISERROR(SEARCH("10",C7)))</formula>
    </cfRule>
  </conditionalFormatting>
  <conditionalFormatting sqref="C8">
    <cfRule type="cellIs" dxfId="35" priority="56" operator="lessThan">
      <formula>11</formula>
    </cfRule>
  </conditionalFormatting>
  <conditionalFormatting sqref="C7:D7">
    <cfRule type="cellIs" dxfId="34" priority="82" operator="lessThan">
      <formula>10</formula>
    </cfRule>
  </conditionalFormatting>
  <conditionalFormatting sqref="C49:K54">
    <cfRule type="cellIs" dxfId="33" priority="2" operator="lessThan">
      <formula>11</formula>
    </cfRule>
  </conditionalFormatting>
  <conditionalFormatting sqref="C7:T31">
    <cfRule type="top10" priority="79" rank="10"/>
  </conditionalFormatting>
  <conditionalFormatting sqref="C9:T31">
    <cfRule type="cellIs" dxfId="32" priority="16" operator="lessThan">
      <formula>11</formula>
    </cfRule>
  </conditionalFormatting>
  <conditionalFormatting sqref="C37:T43">
    <cfRule type="cellIs" dxfId="31" priority="8" operator="lessThan">
      <formula>11</formula>
    </cfRule>
  </conditionalFormatting>
  <conditionalFormatting sqref="D7">
    <cfRule type="cellIs" dxfId="30" priority="74" operator="lessThan">
      <formula>10</formula>
    </cfRule>
    <cfRule type="top10" priority="75" rank="10"/>
    <cfRule type="top10" priority="77" percent="1" rank="10"/>
    <cfRule type="top10" priority="78" rank="10"/>
    <cfRule type="top10" priority="80" rank="10"/>
  </conditionalFormatting>
  <conditionalFormatting sqref="D7:T8">
    <cfRule type="cellIs" dxfId="29" priority="39" operator="lessThan">
      <formula>11</formula>
    </cfRule>
  </conditionalFormatting>
  <conditionalFormatting sqref="T9">
    <cfRule type="cellIs" dxfId="28" priority="1" operator="lessThan">
      <formula>11</formula>
    </cfRule>
  </conditionalFormatting>
  <pageMargins left="0.70866141732283461" right="0.70866141732283461" top="0.74803149606299213" bottom="0.74803149606299213" header="0.31496062992125984" footer="0.31496062992125984"/>
  <pageSetup paperSize="9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B5021-0550-034F-A342-7F5C22680105}">
  <dimension ref="A1:XFC546"/>
  <sheetViews>
    <sheetView workbookViewId="0">
      <selection activeCell="R3" sqref="R3"/>
    </sheetView>
  </sheetViews>
  <sheetFormatPr baseColWidth="10" defaultColWidth="11.5" defaultRowHeight="15"/>
  <cols>
    <col min="1" max="1" width="23.5" customWidth="1"/>
    <col min="2" max="2" width="8.6640625" bestFit="1" customWidth="1"/>
    <col min="3" max="3" width="12" customWidth="1"/>
    <col min="4" max="4" width="13" customWidth="1"/>
    <col min="5" max="5" width="13.33203125" customWidth="1"/>
    <col min="6" max="9" width="8.83203125" customWidth="1"/>
    <col min="10" max="10" width="12.5" customWidth="1"/>
    <col min="11" max="11" width="10.83203125" customWidth="1"/>
    <col min="12" max="12" width="11.6640625" customWidth="1"/>
    <col min="13" max="13" width="10.5" customWidth="1"/>
    <col min="14" max="14" width="9.83203125" customWidth="1"/>
    <col min="15" max="15" width="8.83203125" customWidth="1"/>
    <col min="16" max="16" width="12.83203125" customWidth="1"/>
    <col min="17" max="17" width="8.83203125" customWidth="1"/>
    <col min="18" max="18" width="13.1640625" customWidth="1"/>
    <col min="19" max="19" width="8.83203125" customWidth="1"/>
    <col min="20" max="20" width="20.5" style="193" customWidth="1"/>
    <col min="21" max="21" width="34.6640625" customWidth="1"/>
    <col min="22" max="22" width="11.6640625" bestFit="1" customWidth="1"/>
    <col min="23" max="23" width="29.33203125" customWidth="1"/>
  </cols>
  <sheetData>
    <row r="1" spans="1:21" ht="30" customHeight="1">
      <c r="A1" s="95" t="s">
        <v>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R1" s="96">
        <v>46129</v>
      </c>
      <c r="S1" s="96"/>
      <c r="T1" s="96"/>
    </row>
    <row r="2" spans="1:21" ht="46" customHeight="1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R2" s="96"/>
      <c r="S2" s="96"/>
      <c r="T2" s="96"/>
    </row>
    <row r="5" spans="1:21" s="98" customFormat="1" ht="84.5" customHeight="1">
      <c r="A5" s="97" t="s">
        <v>49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</row>
    <row r="7" spans="1:21" s="98" customFormat="1" ht="25.5" customHeight="1">
      <c r="A7" s="99" t="s">
        <v>50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</row>
    <row r="8" spans="1:21" s="98" customFormat="1" ht="20" customHeight="1">
      <c r="A8" s="100" t="s">
        <v>51</v>
      </c>
      <c r="B8" s="101" t="s">
        <v>3</v>
      </c>
      <c r="C8" s="101"/>
      <c r="D8" s="101"/>
      <c r="E8" s="101"/>
      <c r="F8" s="101"/>
      <c r="G8" s="101"/>
      <c r="H8" s="101"/>
      <c r="I8" s="101"/>
      <c r="J8" s="101"/>
      <c r="K8" s="102"/>
      <c r="L8" s="102"/>
      <c r="M8" s="103" t="s">
        <v>4</v>
      </c>
      <c r="N8" s="103"/>
      <c r="O8" s="103"/>
      <c r="P8" s="103"/>
      <c r="Q8" s="103"/>
      <c r="R8" s="103"/>
      <c r="S8" s="103"/>
      <c r="T8" s="103"/>
    </row>
    <row r="9" spans="1:21" s="98" customFormat="1" ht="20.5" customHeight="1">
      <c r="A9" s="100" t="s">
        <v>52</v>
      </c>
      <c r="B9" s="104" t="s">
        <v>10</v>
      </c>
      <c r="C9" s="104" t="s">
        <v>53</v>
      </c>
      <c r="D9" s="104" t="s">
        <v>54</v>
      </c>
      <c r="E9" s="104" t="s">
        <v>55</v>
      </c>
      <c r="F9" s="104" t="s">
        <v>56</v>
      </c>
      <c r="G9" s="104" t="s">
        <v>15</v>
      </c>
      <c r="H9" s="104" t="s">
        <v>16</v>
      </c>
      <c r="I9" s="104" t="s">
        <v>17</v>
      </c>
      <c r="J9" s="104" t="s">
        <v>18</v>
      </c>
      <c r="K9" s="104" t="s">
        <v>10</v>
      </c>
      <c r="L9" s="104" t="s">
        <v>53</v>
      </c>
      <c r="M9" s="104" t="s">
        <v>54</v>
      </c>
      <c r="N9" s="104" t="s">
        <v>55</v>
      </c>
      <c r="O9" s="104" t="s">
        <v>56</v>
      </c>
      <c r="P9" s="104" t="s">
        <v>15</v>
      </c>
      <c r="Q9" s="104" t="s">
        <v>16</v>
      </c>
      <c r="R9" s="104" t="s">
        <v>17</v>
      </c>
      <c r="S9" s="104" t="s">
        <v>18</v>
      </c>
      <c r="T9" s="105" t="s">
        <v>57</v>
      </c>
    </row>
    <row r="10" spans="1:21" s="98" customFormat="1" ht="20" customHeight="1">
      <c r="A10" s="106" t="s">
        <v>19</v>
      </c>
      <c r="B10" s="107">
        <f>19+40+58-1+3+2-121+18+40+58+1+1-1-1-1-1-1-1-15-1-1-1-1-3-1-1-1-1-2-1-1-2-58-1-1-2-1-2-1-1-1+8</f>
        <v>20</v>
      </c>
      <c r="C10" s="107">
        <f>18+70-1-1+2-1+6+6+2+5+1+1-1-107+25+6+70-5-1+1-1-1-4-1-2-2-1+1-1-3-40-1-1-1-2-1-2-5-1-1-1-1-3-1-1-1-1-1-3-1-3-1-2-1-2-1-1-1+30-1-1-2-2-1-4-6+5-1-1+1-2-1+1-2+50-1-2-1-7-1-3-1-1-1-1-1-1-1</f>
        <v>41</v>
      </c>
      <c r="D10" s="107">
        <f>3-1-1+7-2+1+4-2+1-6+10-14+15-6-1-1-5-2+5+50+45-10-1-1-1-1+30-1-1-5-7-1-1-1-1-2-1+2-1-3-1-8-40-1-1-2-1-2-2-1-1-1-3-1-3+1-3-1-8-3-1-2-1-2-3-2+1-1+39-1-1-1-2-3-1-6-5-2-1-2-1-2-1-10+30-1-1-2+31-1-1-12-1-1-6+20-2+2+1-2-2-1+69-3-2-1-2-1-3-3-1-1-4-1-21-5-3-1-2-1-1-1-2-1-1</f>
        <v>59</v>
      </c>
      <c r="E10" s="107">
        <f>43+60+20+42-1+1-1-1+1+1+3+1-1+5-173+53+60+20+42-1-1-1-3-6+2-1-2-1-2-1-1-3-1-1-1-1-2-1+2-1-4-2-9-40-2-1-1-1-1-1-1-1-7-1-3-1-1-6-1-3-4-1-4-1-1-1-4-1-1-1-3-2-1-2-1-1-5-1-1+3-3-4-1-2-1-3-2-12+60-3-1-3-1-3-1-4+2-1-2+4-1-1-3-1+2+75-1-1-1-2-1-1-2-1-1-1-1-2-1-1-2-1-5-2-1-1-2-4</f>
        <v>83</v>
      </c>
      <c r="F10" s="107">
        <f>23-3+2+2+2-1+1-26+25+2-1-1-1-2-1+1+30-1-1-4+30-1-1-8-1-1-1-2-1+2-2-30-1-1-1-1-1-1-1-1-1-1-1-1-2-2-1-1-1-3-1-1-1+39-1-1-1-2-1-1-1-5-2-1-17+58-1-1-3-1-1-1-8-5-1-1-2-2-1-4-1-1-1-1-4-1-1+30-1</f>
        <v>56</v>
      </c>
      <c r="G10" s="107">
        <f>43+2+1-1-2-1-1-1-1-1+2-10-1-1-1-1-1-1-1-1-1-4-1-1-6-3+3-2+25-2-1-1-1-1-1-2-1-3-1+30</f>
        <v>48</v>
      </c>
      <c r="H10" s="107">
        <f>12+4+1+6-23+17-1-1+2-1-1-3+16-1-1-1-1-1-10-5-3-4-1+15</f>
        <v>15</v>
      </c>
      <c r="I10" s="107">
        <f>12+9+3+1+1+1-26+16+9+1-1-1-1-1-1-2-1+1-1</f>
        <v>19</v>
      </c>
      <c r="J10" s="107">
        <f>21+10+4-35+25+10-1-1-1+8-1-1-1-1-2-1-2-1-1-9-1-1</f>
        <v>18</v>
      </c>
      <c r="K10" s="107">
        <f>55+10+5-2-1-67+56+10-3-1-4-10-1-1-1-1-1-1-1-1-1-1-1-1-2-1-1-6</f>
        <v>26</v>
      </c>
      <c r="L10" s="107">
        <f>15+42-1-2-1+1-4-1+3+6-2-56+13+42-1-3-1-1-7+1+1+2+102-1-3-8-2-1-3-20-1-2-1-3-1+2-2-8-40-1-1-4+1-1-1+1-2-1-8-3-2-2-1-1-1-1-1-4-2+23-2+2-1-2-1-5-2-1-1-10-1-5-9+30-1-1-2-1-3-1-1-2-1+1+90-1-1-1-1-1-1-3-1-1-1-2-1-1-1-3-2-9</f>
        <v>81</v>
      </c>
      <c r="M10" s="107">
        <f>6-4-1-1+8-1-6-1-8-4+60-2-1-1-1-1-2-1-39+230-55-2-9-1-1-1-1-5-1+2-1-3-14-40-1-1-1-1-1-2-2-1-8-2-4-1-21-1-1-1-1-1-2-1-9-2-1-3-2-1-1-5-2-5-2-3-1-3-1-3+98-1-6-1-4+4-1-1-1-2-1-1-5-1-1-2-1-5-1-1-1-2-1-15-4-1-1-1-2-1-2-8-27+40-1-1-3-1-1-4-1-3-1+20-1-1-2-2-5+9-1-4+4+1-1-2-1-2-1-1+1-1-1+176-1-1-5-1-1-1-3-2-3-1-1-1-1-1-1-5-1-1-1-4-2-1-22-1-3-1-1-12-2-2-1-1-2-1-4</f>
        <v>117</v>
      </c>
      <c r="N10" s="107">
        <f>0</f>
        <v>0</v>
      </c>
      <c r="O10" s="107">
        <f>5-2-2-1+5-2-2+50+47-2-2-1-1-1-1-1-1+50-1-15-2-2-1-1-2+8-10-4-1-2-1-1-3-1+2+2-1-3-1-4-40-1-1-5-5-1-7-2+1-1-1-1-3-1-17+5-1-9-2-1-1+1-1+50-3-7-3-5-4-2-1-1-1-10-3-1-1-8+11-3-1-2-1-4+19-2-1-1-12-1+29-25-1+1-1-1-4+1+1-1-1+10-2-1-1-1-1-2-1-1+79-2-2-1</f>
        <v>74</v>
      </c>
      <c r="P10" s="107">
        <f>13-13+4+1-2+1-1-1-1+8-8-1+5+60-5-1-1-2-1+1+1-1-1-1-1-1-1-3-1-2-1-1-7-15-3-2-1-5-1-1-1-3-1-1-1-1+30-1-1-4-1-1+8-10-1-1+2-2-1-17+1+20-1-1-2-1-1-1-1-1-1-1-1-1-1-1-1-5+14-1</f>
        <v>13</v>
      </c>
      <c r="Q10" s="107">
        <f>2+1+20-15-1-1-1+1+30-1-3-1-3-1-1-1-1-1+2-20-1-1-1-2+3-1-2+9-6-3+4-1+1-4+1-1+15</f>
        <v>15</v>
      </c>
      <c r="R10" s="107">
        <f>19+2-1+1-21+18-1-2-1-1-1-1-1-1-1-1-1-2-1-4+1+6-2-1-1-1-1+10</f>
        <v>10</v>
      </c>
      <c r="S10" s="107">
        <f>13+1-1-1-10-1-1+10</f>
        <v>10</v>
      </c>
      <c r="T10" s="108">
        <f>SUM(B10:S10)</f>
        <v>705</v>
      </c>
      <c r="U10" s="109"/>
    </row>
    <row r="11" spans="1:21" s="98" customFormat="1" ht="27" customHeight="1">
      <c r="A11" s="106" t="s">
        <v>58</v>
      </c>
      <c r="B11" s="107">
        <f>30+20+21+1-72+54+20+21-1-2-1-1-2-1-50-1-1-3-1-1-1-5-1-3-1-1-1</f>
        <v>17</v>
      </c>
      <c r="C11" s="107">
        <f>20+32+60+63+17-192+24+32+60+63+17-2-1-1-1-2-1+4-2-1-1-2-1-1-1-1-1-1-1-1-2-1-3-4-14-2-1-3-2-2-4-1-1+1-40-1-3-1-2-1-6+50-1-1-1+1-1-1-6-1-1-16-1-12-1-1-1-1-10-1-4-7-1-1-1-1</f>
        <v>64</v>
      </c>
      <c r="D11" s="107">
        <f>35+60+60+1-156+38+60+60-6-1-26-1-5-1-1-1-1-4-1-1-1-1-1-2-1-2-1-1-1-1-1-6-1-1-1-1-4-1-1-1-1-1-1-4-1-1-26-27-2-6-1-5-3+1-1+40-1-8-1-1+60-1-3-6+1-4-1-2-41-1-18-1-1-1-1-2-7+50-1-3-1</f>
        <v>45</v>
      </c>
      <c r="E11" s="107">
        <f>85+2+36-123+52+50+2+36-31-3-5-1-2-7-1-2-1-1+80-1-5-2-1-3-1-1-1-1-2-5-1-1-1-1-1-1-7-8-15-2-10-1-1-1-1-1-1-2-12-15-5-3+1-1-7-4-5-1-1-1-2-1-4-1-3-3-1+59-1-1-2-1+1-1-10-14-1-22-1-18-1-1-1-1-1-1+50-1-1</f>
        <v>48</v>
      </c>
      <c r="F11" s="107">
        <f>9+1-10+21-15-2-1-1-1-1+40+40-6-4-1-2-5-1-1-1-1-1-1-1-1-3-2-1-5-1-1-5-16-6-1-9-2-2+1-1+4-1-3+59-3-2+1-6-6-1-4-1-1-3-1-1-1-1-1-1-1-1-10-1-1-5-1+20-2-1</f>
        <v>24</v>
      </c>
      <c r="G11" s="107">
        <f>4-4+21-8-3-6-1-1-1+40-3-1-1-1-1-1-1-1-1-2-4-2-1-4-1-1+1-2-1+10-3-4-2-1-3-1-4-1-2-2+20-1-1-1-1</f>
        <v>16</v>
      </c>
      <c r="H11" s="107">
        <f>8-8+15+20-3-1-1-1-1-1-3-1-10-3-2-1-1-1-2+10-1</f>
        <v>12</v>
      </c>
      <c r="I11" s="107">
        <f>21-1-1</f>
        <v>19</v>
      </c>
      <c r="J11" s="107">
        <f>16+15-31+23+15-1-1</f>
        <v>36</v>
      </c>
      <c r="K11" s="107">
        <f>40+30+20+70+13+1-174+42+70+30+20+13-1-5-3-2-1-1-1-100-2-1-1-1-1-1-1-5-1-1</f>
        <v>46</v>
      </c>
      <c r="L11" s="107">
        <f>31+65+65+40+1-202+36+40-6-19-1-1-1-3-1-13+140-1-2-1-3-3-2-2-1-1-1-1-1-20+2-1-1-1-1-2-3-10-1-12-1-1+80-72-1-1-5-1-1-1+100-3-1-3-1+1-2-2-1-8-1-6-1-1-1-1-1-1-3-10-1-2-2-1-1-2-1-1-1</f>
        <v>140</v>
      </c>
      <c r="M11" s="107">
        <f>47+63+32+1+1-144+60+62+32+63+1-3-19-7-1+69+81-1-2-1+50-1-19+1-1-2-4-6-1-1-1-2-1-5-1-1-1-3-8-1-1-1-9-2+1-1-1-1-1-7-11-1-1-35+7+1-1-1-1-8-1-1-3-1-1-4-8-39-1-21-1-1-1-8-13-1+100+165-264-1-2-5-1-1-2-9-1-1-8-1-3+49-12-10-4-1+1-4+1-4-4-1-60-1-1-22-2-1-1-1-1-1-1-1-1-1-1-1-10-10-6-1+99-2-1-1-2-8-1-2-2</f>
        <v>80</v>
      </c>
      <c r="N11" s="107">
        <f>0+60+65+48-4-169+24+65+48-6-5-1-1-1-19-3-1-10-1-1-1+100-27-1+100-4-9-2-2-1-1-2-1-5-2-1-3-1-2-1-1-4-14-1-1-2-14-5-1-2-1-2-6-4-1-1-1-65+14-1-1-1-2-3-1-1-2-12-22-1-3-15-1-1-1-16-6+118+120-238-1+75-75-8-1-1-3-1-1-1-2-1+14-1-6-1-6+150-6-4-6-3-1-3-1+1-1-2-4-4-1-1-44-1-2-1-21-6-1-1-1-2-1-2-1-1-1-1-1-1-3-1-10-2-2-1-1-2-3+96-1-15-1-1-1-1</f>
        <v>76</v>
      </c>
      <c r="O11" s="107">
        <f>1-1+22-13-8+100-7-1-1-1-1-3-3-1-2-1-1-1-1-1-1-1-1-1-2-1-14-1+1-1-1-2-1-1-1-3-21-1-2-11-1-4-2+149-145-3-1-1-1-1+1-1+50-3-2-8-4-2-2+3-1-3-1+1-1-1-2-1-2-1-2-16-2+42-1-2-1-2-1-1</f>
        <v>34</v>
      </c>
      <c r="P11" s="107">
        <f>30+12-1+12-1-2-2-1-1-1-1-1-6-6-2-1-5-1-2-1-1-2-2-2-5+1-1-1-1-1-1-1-2+40-35-5+1-1+50-3-2-2-1-1-2-1-1-2-1-1-10-1-1-2-13-1-1-1-3</f>
        <v>0</v>
      </c>
      <c r="Q11" s="107">
        <f>10+20+5-35+10+20+5-2+22-3-1-1-1-1-1-1-1-1-2-1+2-1-1-1-2-1+20-14-1-1-1-1-2-1-1-2-3-1-1-1-1-1-3-1-1</f>
        <v>20</v>
      </c>
      <c r="R11" s="107">
        <f>0+1-1+20-1-1-1-1-2</f>
        <v>14</v>
      </c>
      <c r="S11" s="107">
        <f>5+10-15+6+10-1-1-1-1-1-1-1-1-2-2-1-3</f>
        <v>0</v>
      </c>
      <c r="T11" s="108">
        <f>SUM(B11:S11)</f>
        <v>691</v>
      </c>
      <c r="U11" s="109"/>
    </row>
    <row r="12" spans="1:21" s="98" customFormat="1" ht="23.25" customHeight="1">
      <c r="A12" s="110" t="s">
        <v>23</v>
      </c>
      <c r="B12" s="107">
        <f>15-1+2-1+4</f>
        <v>19</v>
      </c>
      <c r="C12" s="107">
        <f>17-6-6+6-2-1-2+1+2-7-2+8</f>
        <v>8</v>
      </c>
      <c r="D12" s="107">
        <f>28-7-7-2+1+7-2-5+2-3+1+5-1-4-1-2-1-1+19-2-1-1</f>
        <v>23</v>
      </c>
      <c r="E12" s="107">
        <f>32-6-6-2+6-1-1-6+3-5-1+7+5+5-14-1-1-1-2-2+19-1-1-1</f>
        <v>25</v>
      </c>
      <c r="F12" s="107">
        <f>20-2-2+2-4+6+1-4-1-4-1-1-1-1-2+8-1</f>
        <v>13</v>
      </c>
      <c r="G12" s="107">
        <f>11+1-3-3+3-2+1-1-2-2-2+4</f>
        <v>5</v>
      </c>
      <c r="H12" s="107">
        <f>27-4-4+4+4+10-1-1+4-2-1</f>
        <v>36</v>
      </c>
      <c r="I12" s="107">
        <f>10+1+4</f>
        <v>15</v>
      </c>
      <c r="J12" s="107">
        <f>13+5+4</f>
        <v>22</v>
      </c>
      <c r="K12" s="107">
        <f>10+4+9-9-1-2-1+15</f>
        <v>25</v>
      </c>
      <c r="L12" s="107">
        <f>22-1-10-1-5+2-1-1-5+4-4+8-1-1-4-2+15-2-1</f>
        <v>12</v>
      </c>
      <c r="M12" s="107">
        <f>25-1-1-6-1-6+6-1-10+1-1-3-2+1-1+4-4+4-1-1+1-3+30-1-2-1-18-5-1</f>
        <v>2</v>
      </c>
      <c r="N12" s="107">
        <f>28-1-1-10+1-1+1-1-7+1-1-9+2-5+3+34-1-1-1-5-1-5-2-1-2-1-2-1-1-2-3-1-2+30-4-1-1-15-2</f>
        <v>9</v>
      </c>
      <c r="O12" s="107">
        <f>5-4-1+9+5-1-4+2-1-2-1-2-5+15-1-1-1-1-11</f>
        <v>0</v>
      </c>
      <c r="P12" s="107">
        <f>21-1+1-1-1-6-1-1-1-2+15-1</f>
        <v>22</v>
      </c>
      <c r="Q12" s="107">
        <f>5-1-1-1+1-2+1-1-1+1-1+1-1+5-1</f>
        <v>4</v>
      </c>
      <c r="R12" s="107">
        <f>7+1-1+5</f>
        <v>12</v>
      </c>
      <c r="S12" s="107">
        <f>12+1+5-1-1</f>
        <v>16</v>
      </c>
      <c r="T12" s="108">
        <f>SUM(B12:S12)</f>
        <v>268</v>
      </c>
    </row>
    <row r="13" spans="1:21" ht="21.75" customHeight="1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2"/>
      <c r="Q13" s="112"/>
      <c r="R13" s="112"/>
      <c r="S13" s="112"/>
      <c r="T13" s="113">
        <f>SUM(T10:T12)</f>
        <v>1664</v>
      </c>
    </row>
    <row r="14" spans="1:21">
      <c r="A14" s="114"/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</row>
    <row r="15" spans="1:21"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 t="s">
        <v>59</v>
      </c>
      <c r="S15" s="114"/>
      <c r="T15" s="114"/>
    </row>
    <row r="17" spans="1:21" s="98" customFormat="1" ht="20" customHeight="1">
      <c r="A17" s="116" t="s">
        <v>60</v>
      </c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</row>
    <row r="18" spans="1:21" s="98" customFormat="1" ht="20" customHeight="1">
      <c r="A18" s="100" t="s">
        <v>51</v>
      </c>
      <c r="B18" s="101" t="s">
        <v>3</v>
      </c>
      <c r="C18" s="101"/>
      <c r="D18" s="101"/>
      <c r="E18" s="101"/>
      <c r="F18" s="101"/>
      <c r="G18" s="101"/>
      <c r="H18" s="101"/>
      <c r="I18" s="101"/>
      <c r="J18" s="101"/>
      <c r="K18" s="101" t="s">
        <v>4</v>
      </c>
      <c r="L18" s="101"/>
      <c r="M18" s="101"/>
      <c r="N18" s="101"/>
      <c r="O18" s="101"/>
      <c r="P18" s="101"/>
      <c r="Q18" s="101"/>
      <c r="R18" s="101"/>
      <c r="S18" s="101"/>
      <c r="T18" s="101"/>
    </row>
    <row r="19" spans="1:21" s="98" customFormat="1" ht="20" customHeight="1">
      <c r="A19" s="100" t="s">
        <v>52</v>
      </c>
      <c r="B19" s="104" t="s">
        <v>10</v>
      </c>
      <c r="C19" s="104" t="s">
        <v>53</v>
      </c>
      <c r="D19" s="104" t="s">
        <v>54</v>
      </c>
      <c r="E19" s="104" t="s">
        <v>55</v>
      </c>
      <c r="F19" s="104" t="s">
        <v>56</v>
      </c>
      <c r="G19" s="104" t="s">
        <v>15</v>
      </c>
      <c r="H19" s="104" t="s">
        <v>16</v>
      </c>
      <c r="I19" s="104" t="s">
        <v>17</v>
      </c>
      <c r="J19" s="104" t="s">
        <v>18</v>
      </c>
      <c r="K19" s="104" t="s">
        <v>10</v>
      </c>
      <c r="L19" s="104" t="s">
        <v>11</v>
      </c>
      <c r="M19" s="104" t="s">
        <v>54</v>
      </c>
      <c r="N19" s="104" t="s">
        <v>55</v>
      </c>
      <c r="O19" s="104" t="s">
        <v>56</v>
      </c>
      <c r="P19" s="104" t="s">
        <v>15</v>
      </c>
      <c r="Q19" s="104" t="s">
        <v>16</v>
      </c>
      <c r="R19" s="104" t="s">
        <v>17</v>
      </c>
      <c r="S19" s="104" t="s">
        <v>18</v>
      </c>
      <c r="T19" s="105" t="s">
        <v>57</v>
      </c>
    </row>
    <row r="20" spans="1:21" s="98" customFormat="1" ht="36.75" customHeight="1">
      <c r="A20" s="117" t="s">
        <v>61</v>
      </c>
      <c r="B20" s="107">
        <f>12+15-1+15-1+3+3-1-1-1-1-1-1-2+1-1-1-2-15-3</f>
        <v>17</v>
      </c>
      <c r="C20" s="107">
        <f>55+45+45+12+53+5+36+10-1-7-2-1-1-12-1+10-1-1-1-4-2+1-5+3+2-1-2-2-1-4-1-1-2-1-2-2-1-2-2-4-2-1-1-1-2-2+1+2-1-2-1-3-1+1-5-26-1-1-1-2-4+1+1+26-10-4-7-3</f>
        <v>161</v>
      </c>
      <c r="D20" s="107">
        <f>32+40-1-16-5-1-1-4-2+2-8-1-1-1-1-1-1+1-1-10+4+2-1-1-1-1-1-1-1-1-5-4-3-6+60-2-1-2-1-2-1-2-2-47+20-1-1-1-1-1-2-1-1-1-5+1+1-1-2-1-1-2+129-1-1-1-3-1-1-2-1-1-42-1-2-2-1-9-2-1-1+1-1-1-1+1+42-12-6-7-4-1</f>
        <v>67</v>
      </c>
      <c r="E20" s="98">
        <f>26+35+60+16-10-7-1-1-2-1-1-1-1-2-1-1-7-1+1-1-1-1-1-1-1-1-2-5-3-1-2-2-1-1-1-1-1-6-1-1-1-1-1-3-2-1-1-1+1+1-1-1-1-3+26+20+33+19-1-1-3-1-1-1-23-1-5-2-1+1+2+23-17-3-1-3</f>
        <v>111</v>
      </c>
      <c r="F20" s="107">
        <f>38+10+30-2-2-1+3+1-3-1+30-1-1-1-2-2-1+3-1-1-3-1-1-4-1-1-1-1-3-1+1-1-1+60+30+75+25+55+12+47-2-1-1-1-1-25-1-29-1-1-1+1-4+1+25-1-2-2-1-1-7</f>
        <v>327</v>
      </c>
      <c r="G20" s="107">
        <f>34+43+2+10+5-1-1-1-1-55+1-1+3-1-1-1-1-1-1-1+76-1-1-1-17-1-1+17-1-3</f>
        <v>98</v>
      </c>
      <c r="H20" s="107">
        <f>8+44+10-1-1-2-2-10-1-1-1-1+120-1-4-1-10+4-2-1</f>
        <v>147</v>
      </c>
      <c r="I20" s="118">
        <f>4+1-5-5+5</f>
        <v>0</v>
      </c>
      <c r="J20" s="107">
        <f>4+15-1-1-1-6</f>
        <v>10</v>
      </c>
      <c r="K20" s="107">
        <f>30+30+25-1-7+3-1-2-1-1-1-1-1-5</f>
        <v>67</v>
      </c>
      <c r="L20" s="107">
        <f>40+15+2+18+43+45+45+45+49+40+1+45-7-3-7-1-1-2-4-2-1-5-2-1-3-9-1-2+1-10-9-2-1-1-5-1-5-11-2-30-2-1-1-1-1-3-1+1+10-1-2+60+60+59+34+57+60+60+60-2-1-1-1-1-1-1+1-3-23-1-2-1+1+1+5+23-8-2-1-1-2</f>
        <v>688</v>
      </c>
      <c r="M20" s="107">
        <f>13-1-1-1-2-1-1-1-1-1-1-1-1+1+1+4+1+29-8-10-3-13-2</f>
        <v>0</v>
      </c>
      <c r="N20" s="107">
        <f>59+30+4-2-10-19-21-12-1-1-1-12-4-3-6-1-1+1-2-1-6+60+60+6-1-5-4-2-1-1-33-1-2-67+1-1-1+1+300-2-1-10-30-3-11-2-5-4-1-2-6-1-1-1-4-3-25-8-3-1-2-46-3-1-8-1-1-1-2-1-3-4-1-5-1-1-1-1-3-1-2-3-1+2-2-1-1-1-2-1-2-1-1-1-1-2-1-1-1-1-1+2-1-1-1-6-1-1-1-1-13-1-1-8-1-5-1+2+1-2-1+37-15-5-1-8-5-4-10-5-1-2-1-3</f>
        <v>0</v>
      </c>
      <c r="O20" s="107">
        <f>52+8-17-14-2-1-1-3-4-6-4-1+60+60+25+2-1-33-120+1-1+1+150-6-1-1-4-10+4-20-2-7-4-4-1-2-1-2-1-16-4-3-2-23-6-1-5-1-1-4-1-2-1-1-3-1-1+1-2-1-1-1-1-1-1-1-1-4+2+1-1-2+2+14-1-1-5-1-1-7</f>
        <v>0</v>
      </c>
      <c r="P20" s="107">
        <f>49+19+45-5-2-2-1-1-3-2-1+35-1-1-96-140+107-1+1-1+1+24-2-3-1-16-2+1+1+1-3+50-2-1-2-1-2-2-1-1-1-2-1+1-1-1-1-10-1-12-1-2-3-1+1-1-1-1+3-1-2+1+2-1-1-1+3-1-2+1-1+10-4-4</f>
        <v>2</v>
      </c>
      <c r="Q20" s="107">
        <f>41+36+66+27-2-4-1-1-2-1-1-38-1-1-1-1-20+3-1-4-1-1-1-1-1-6-1-1-1-1-1+1-1-1-1-2-3-1-3-1-1-1-1-1-2-1-1-1-1-1-1-7-1-1-2-2-1-2+1+7-2-1</f>
        <v>43</v>
      </c>
      <c r="R20" s="118">
        <f>11-1-4-1-4-1</f>
        <v>0</v>
      </c>
      <c r="S20" s="118">
        <f>2-1-1</f>
        <v>0</v>
      </c>
      <c r="T20" s="108">
        <f t="shared" ref="T20:T23" si="0">SUM(B20:S20)</f>
        <v>1738</v>
      </c>
    </row>
    <row r="21" spans="1:21" s="98" customFormat="1" ht="39" customHeight="1">
      <c r="A21" s="117" t="s">
        <v>58</v>
      </c>
      <c r="B21" s="107">
        <f>34+5+71+9+15+2-15-3-3-1-1+1-12+1-2-2-2-1-1-1+1-2-1+72-1</f>
        <v>163</v>
      </c>
      <c r="C21" s="107">
        <f>0+10-10-3-1-1-1+42+70-1-8-3-2-13-3-2-20-1-1-40+1-1-3+1-1-8-1+43-3-1-25+3-1-1-1-1-6-5-2+36-1-5+1-1-8-2-1-1-1+28+9-3-1-1-1-1-1-1-4-1-4-26-1-1</f>
        <v>8</v>
      </c>
      <c r="D21" s="107">
        <f>35+80+80+80+16+6-11-8-10-3-19-4-2-1-1+5-8-1-8-3-4-6-3-3-1-1-1-1-30-7-3-1-60+1-1-1+1+1-86-6+2-2-6-2+45+48-2+2-50+3-1-6-8-1-2-10-1-4-16+31-6-2-1+1-6+1-1-14-1+15-1-2-1+16+10+2-4-1-1-1-1-1-1-1-2-1-8-5-4-1-2-1-3-3</f>
        <v>0</v>
      </c>
      <c r="E21" s="107">
        <f>18+61+80+80+80+80+65+20+20-5-4-2-1-19-1-3-1-1-1-5-2-1+1-11-2-2-8-1-4-30-6-1-4-60+1-1-70-4+1-3-1-1-5-26+1-4-1-1+1-4-7-1-1-20-2-1-1-15-3-6-2+1-5+1-12-1-1+12-1-1-1-1+31-2-1-1-6-1-1-1-21-20-4-2-1-1-1</f>
        <v>113</v>
      </c>
      <c r="F21" s="107">
        <f>65+80+30+5+5+12-30-1-3-6-23-4-1-5-1-1-6-5-3-10-1-40+1-35-1+2-1-1-1-2-7+6-1-1-2-5-7-2+28-6-1-3-6+1-4-1+6+4-1-1-2-1-1-4-8</f>
        <v>0</v>
      </c>
      <c r="G21" s="107">
        <f>7+30+80+80+5+2-5-3-4-12-1-1-5-3-10+1-10+1-1-3+4-1-1-2-5-1-1-5+1-15+20-1-20-1-4-19-4-1-5-78-8-1</f>
        <v>0</v>
      </c>
      <c r="H21" s="107">
        <f>16+72+31-1-3-1-2-1-10+1-1+1-1-2-3-3-1-1-4-12+5-1-10-1-3-8-3-6-2-1-2-1-25</f>
        <v>17</v>
      </c>
      <c r="I21" s="107">
        <f>30-1-6+5-1-1-1-2-17</f>
        <v>6</v>
      </c>
      <c r="J21" s="107">
        <f>30+23+5-1-2-4</f>
        <v>51</v>
      </c>
      <c r="K21" s="107">
        <f>18+60+20+29-2-1-1+1-7+1-1-2-1-2-1+1-3-1-3-1-1-1-2-1-23</f>
        <v>76</v>
      </c>
      <c r="L21" s="107">
        <f>48+30+60+60+14+54+39+33-2-1-2-2-2-3-3-1-1-1-7-26-1-3-20-2-2-40+1-3-2-30-2+1-1-3-1-1+3-1-1-1-1-3-1-2-1-1-1-1-1-1-3+19-23-2-1+1-1-6-1-1+5-4-1-1-2-5-1-1-1-1-2-12-1-1-2-17-1-1-1-31-1-1-3-1-1</f>
        <v>59</v>
      </c>
      <c r="M21" s="119">
        <f>1-2+1-3-1+4+30+41+60-25-15+2-1-5-32+2-3+1-1-7-1+1-1-1-1-1-7-4-4-3-1-1-15-1-5-2+12-5+12-1-1+2-19+2-2+10-1-9+4+19-1-6-2-4-1+100-1-2-1-1-64-1-19-1-4-1</f>
        <v>14</v>
      </c>
      <c r="N21" s="119">
        <f>32+12+45+40+2+45-8-5-2-12-10-4-1-10-2-10-5-3-4-4-4-3-2-1-27-46-6-1-6-3-6+9-6-30+36+41-13-3-2-1-3-3-2-60+45+1+1-1-34-1-1+36+45+45+60-28-20-7-1-1-5-1-32+2-1-1-1-1-1-1-1-3-8-2-1-3-1-1-20-1-2-5-3+23+80-10-1-1-1-1+2-90-1+1+1-2+20-1-1-6-3-2-1-1-1-1-1-1-1+3+8-11+100-12-1-1-47-8-2-1-4-23-1</f>
        <v>0</v>
      </c>
      <c r="O21" s="107">
        <f>49+1-1-49+10-5-1-1-3+1-1+100-12-1-12-1-2-2-4-14-52</f>
        <v>0</v>
      </c>
      <c r="P21" s="107">
        <f>13+44+66+56-1-8-1-1-1-1-2-1-3-10-1-1-4+1-3-16-4-1-1-7-5-1-1-1+1-1-4-1-6-1-1-5-3-7-3-1-25-1+1+49+3-1-2-1+9-3-1-1-3-1-1-1-1-1-1-4-1-2-8-1-5+60-4-1-7-2-8-1-1-1-1</f>
        <v>104</v>
      </c>
      <c r="Q21" s="107">
        <f>15+30+4-1-1-1-1-1-1-5-10-1+1+1+1-1-4-1-3-1-1-5-2-1-1-4-1-1-3-1</f>
        <v>0</v>
      </c>
      <c r="R21" s="107">
        <f>13+20-1-1-1-5-1-3-1-1-1-1-10-1-1-2+2-1-2</f>
        <v>2</v>
      </c>
      <c r="S21" s="107">
        <f>23+15+15-1-1-2-1-1-1-2-1</f>
        <v>43</v>
      </c>
      <c r="T21" s="108">
        <f t="shared" si="0"/>
        <v>656</v>
      </c>
    </row>
    <row r="22" spans="1:21" s="98" customFormat="1" ht="42.75" customHeight="1">
      <c r="A22" s="117" t="s">
        <v>46</v>
      </c>
      <c r="B22" s="107">
        <f>0+1-1</f>
        <v>0</v>
      </c>
      <c r="C22" s="107">
        <f>26+20-2+1-1-3-1-12-1-1-4-4-1</f>
        <v>17</v>
      </c>
      <c r="D22" s="107">
        <f>24+19+50-9-1-1+1-1-3-1-1-1-27-1-1-1</f>
        <v>46</v>
      </c>
      <c r="E22" s="107">
        <f>60+20+10-1+1-1-6-1+1-1-1-3-34-2</f>
        <v>42</v>
      </c>
      <c r="F22" s="107">
        <f>14-1-2+1-1-2-9</f>
        <v>0</v>
      </c>
      <c r="G22" s="107">
        <f>15-1-2+1-1-1-9-1</f>
        <v>1</v>
      </c>
      <c r="H22" s="107">
        <f>10-3+1-1-7</f>
        <v>0</v>
      </c>
      <c r="I22" s="107">
        <f>8-2-1-5</f>
        <v>0</v>
      </c>
      <c r="J22" s="107">
        <f>19-1-1-16</f>
        <v>1</v>
      </c>
      <c r="K22" s="107">
        <f>14+1-1-14</f>
        <v>0</v>
      </c>
      <c r="L22" s="107">
        <f>26+52+1-1-2-3-1-1-3-1-2-49-2-1</f>
        <v>13</v>
      </c>
      <c r="M22" s="107">
        <f>51+19+60-55-2+1-1-1-1-1-1-4-1-1-50-2-1-1-1-1-1-1-2</f>
        <v>3</v>
      </c>
      <c r="N22" s="107">
        <f>20+60+3-36-1-1-5-1-1+1-1-4-1-1-1-4-4-1-1-15-6</f>
        <v>0</v>
      </c>
      <c r="O22" s="107">
        <f>33+5+23-10-1-1-2+1-1-1-1-1-1-4-1-12-1-1-1-23</f>
        <v>0</v>
      </c>
      <c r="P22" s="118">
        <f>4-3+1-1-1+1-1</f>
        <v>0</v>
      </c>
      <c r="Q22" s="107">
        <f>6+43-1-3+1-1-1-2-1-5</f>
        <v>36</v>
      </c>
      <c r="R22" s="107">
        <f>5-1-1-2</f>
        <v>1</v>
      </c>
      <c r="S22" s="107">
        <f>7-1-1-1-4</f>
        <v>0</v>
      </c>
      <c r="T22" s="108">
        <f t="shared" si="0"/>
        <v>160</v>
      </c>
    </row>
    <row r="23" spans="1:21" s="98" customFormat="1" ht="39" customHeight="1">
      <c r="A23" s="117" t="s">
        <v>62</v>
      </c>
      <c r="B23" s="107">
        <f>8</f>
        <v>8</v>
      </c>
      <c r="C23" s="107">
        <f>8-1</f>
        <v>7</v>
      </c>
      <c r="D23" s="107">
        <f>0</f>
        <v>0</v>
      </c>
      <c r="E23" s="107">
        <f>1</f>
        <v>1</v>
      </c>
      <c r="F23" s="107">
        <f>0</f>
        <v>0</v>
      </c>
      <c r="G23" s="107">
        <f>0</f>
        <v>0</v>
      </c>
      <c r="H23" s="107">
        <f>4</f>
        <v>4</v>
      </c>
      <c r="I23" s="107">
        <f>3</f>
        <v>3</v>
      </c>
      <c r="J23" s="107">
        <f>4</f>
        <v>4</v>
      </c>
      <c r="K23" s="107">
        <f>4-1</f>
        <v>3</v>
      </c>
      <c r="L23" s="107">
        <f>0</f>
        <v>0</v>
      </c>
      <c r="M23" s="107">
        <v>0</v>
      </c>
      <c r="N23" s="107">
        <v>0</v>
      </c>
      <c r="O23" s="107">
        <v>0</v>
      </c>
      <c r="P23" s="107">
        <v>0</v>
      </c>
      <c r="Q23" s="107">
        <v>0</v>
      </c>
      <c r="R23" s="107">
        <f>5</f>
        <v>5</v>
      </c>
      <c r="S23" s="107">
        <f>1</f>
        <v>1</v>
      </c>
      <c r="T23" s="108">
        <f t="shared" si="0"/>
        <v>36</v>
      </c>
    </row>
    <row r="24" spans="1:21" s="98" customFormat="1" ht="36.75" customHeight="1">
      <c r="A24" s="117" t="s">
        <v>23</v>
      </c>
      <c r="B24" s="107">
        <f>20-1-2</f>
        <v>17</v>
      </c>
      <c r="C24" s="107">
        <f>11-1+1-5-2-1-1-1</f>
        <v>1</v>
      </c>
      <c r="D24" s="107">
        <f>27+15-2-1-2+1-1-5-2-13-1-1-1-2-1</f>
        <v>11</v>
      </c>
      <c r="E24" s="107">
        <f>7-7+1-1</f>
        <v>0</v>
      </c>
      <c r="F24" s="107">
        <f>13-1-1+1+1-6-2-2-2-1</f>
        <v>0</v>
      </c>
      <c r="G24" s="107">
        <f>10-1-3-2-1-2-1</f>
        <v>0</v>
      </c>
      <c r="H24" s="107">
        <f>13-3+3-2-1-4</f>
        <v>6</v>
      </c>
      <c r="I24" s="107">
        <f>2-1</f>
        <v>1</v>
      </c>
      <c r="J24" s="107">
        <f>7-1-2-2</f>
        <v>2</v>
      </c>
      <c r="K24" s="107">
        <f>27-2</f>
        <v>25</v>
      </c>
      <c r="L24" s="107">
        <f>30+45-2-20-10-1+1-5-5-1-1-1-1-1-1-2</f>
        <v>25</v>
      </c>
      <c r="M24" s="107">
        <f>21+69-1-10-20-10-2-2+1-1-1-5-1-1-3-1-1-2-1-1-2-1-4-1-1-2-17+45-3-17</f>
        <v>25</v>
      </c>
      <c r="N24" s="107">
        <f>10+60+60+45-10-3-10-20-10-1-1-1-1-1+1-5-1-3-5-1-2-15-2-45-18</f>
        <v>21</v>
      </c>
      <c r="O24" s="107">
        <f>46-1-1-6-1-2-5-2-1-1-2-3-2-6-1-2-2-8</f>
        <v>0</v>
      </c>
      <c r="P24" s="107">
        <f>20-1-1-1+1-2-1-2-1-2-1-8</f>
        <v>1</v>
      </c>
      <c r="Q24" s="107">
        <f>18-2-6-3-2-1</f>
        <v>4</v>
      </c>
      <c r="R24" s="107">
        <f>4-1-2</f>
        <v>1</v>
      </c>
      <c r="S24" s="107">
        <f>11-1-1</f>
        <v>9</v>
      </c>
      <c r="T24" s="108">
        <f>SUM(B24:S24)</f>
        <v>149</v>
      </c>
    </row>
    <row r="25" spans="1:21" s="98" customFormat="1" ht="32.25" customHeight="1">
      <c r="A25" s="117" t="s">
        <v>63</v>
      </c>
      <c r="B25" s="107">
        <f>11-1-1</f>
        <v>9</v>
      </c>
      <c r="C25" s="107">
        <f>27-1+1-4-1-1-1-1-14</f>
        <v>5</v>
      </c>
      <c r="D25" s="107">
        <f>18-1-1-3-1+1-1-8-3-1</f>
        <v>0</v>
      </c>
      <c r="E25" s="107">
        <f>20-3-3-3-1-1+2-1-1-7-1-1</f>
        <v>0</v>
      </c>
      <c r="F25" s="107">
        <f>11+1-1-4-1-1</f>
        <v>5</v>
      </c>
      <c r="G25" s="107">
        <f>0</f>
        <v>0</v>
      </c>
      <c r="H25" s="107">
        <f>0</f>
        <v>0</v>
      </c>
      <c r="I25" s="107">
        <f>5+1</f>
        <v>6</v>
      </c>
      <c r="J25" s="107">
        <f>11</f>
        <v>11</v>
      </c>
      <c r="K25" s="107">
        <f>18+12-16</f>
        <v>14</v>
      </c>
      <c r="L25" s="107">
        <f>23+51+18-3-1-1-1+1-3-1-1-1-1-1-1-1-14</f>
        <v>63</v>
      </c>
      <c r="M25" s="107">
        <f>24+60+30-1-2-2+1-55-2-2-1+2-1-11-2-7-2-1-2-1-17</f>
        <v>8</v>
      </c>
      <c r="N25" s="107">
        <f>19+80+10-1-1-6-5-70+1-2-2+1-1-20-1-2+2-1-1</f>
        <v>0</v>
      </c>
      <c r="O25" s="107">
        <f>24+32-2-1-15-2-1-11-2-2-1-1-17</f>
        <v>1</v>
      </c>
      <c r="P25" s="107">
        <f>29+2-3-1-1-2-2-1-1-1-5-2</f>
        <v>12</v>
      </c>
      <c r="Q25" s="107">
        <f>12-1</f>
        <v>11</v>
      </c>
      <c r="R25" s="107">
        <f>8+9-1</f>
        <v>16</v>
      </c>
      <c r="S25" s="107">
        <f>15+9-1</f>
        <v>23</v>
      </c>
      <c r="T25" s="108">
        <f>SUM(B25:S25)</f>
        <v>184</v>
      </c>
    </row>
    <row r="26" spans="1:21" s="123" customFormat="1" ht="45" customHeight="1">
      <c r="A26" s="100" t="s">
        <v>28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f>3</f>
        <v>3</v>
      </c>
      <c r="P26" s="120">
        <v>0</v>
      </c>
      <c r="Q26" s="120">
        <f>2</f>
        <v>2</v>
      </c>
      <c r="R26" s="120">
        <v>0</v>
      </c>
      <c r="S26" s="120">
        <v>0</v>
      </c>
      <c r="T26" s="121">
        <f>SUM(B26:S26)</f>
        <v>5</v>
      </c>
      <c r="U26" s="122" t="s">
        <v>64</v>
      </c>
    </row>
    <row r="27" spans="1:21" s="98" customFormat="1" ht="30" customHeight="1">
      <c r="A27" s="124"/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6">
        <f>SUM(T20:T26)</f>
        <v>2928</v>
      </c>
    </row>
    <row r="31" spans="1:21" s="98" customFormat="1" ht="20" customHeight="1">
      <c r="A31" s="127" t="s">
        <v>65</v>
      </c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</row>
    <row r="32" spans="1:21" s="98" customFormat="1" ht="20" customHeight="1">
      <c r="A32" s="128"/>
      <c r="B32" s="101" t="s">
        <v>3</v>
      </c>
      <c r="C32" s="101"/>
      <c r="D32" s="101"/>
      <c r="E32" s="101"/>
      <c r="F32" s="101"/>
      <c r="G32" s="101"/>
      <c r="H32" s="101"/>
      <c r="I32" s="101"/>
      <c r="J32" s="101"/>
      <c r="K32" s="101" t="s">
        <v>4</v>
      </c>
      <c r="L32" s="101"/>
      <c r="M32" s="101"/>
      <c r="N32" s="101"/>
      <c r="O32" s="101"/>
      <c r="P32" s="101"/>
      <c r="Q32" s="101"/>
      <c r="R32" s="101"/>
      <c r="S32" s="101"/>
      <c r="T32" s="129"/>
    </row>
    <row r="33" spans="1:16383" s="98" customFormat="1" ht="20" customHeight="1">
      <c r="A33" s="100"/>
      <c r="B33" s="104" t="s">
        <v>10</v>
      </c>
      <c r="C33" s="104" t="s">
        <v>53</v>
      </c>
      <c r="D33" s="104" t="s">
        <v>54</v>
      </c>
      <c r="E33" s="104" t="s">
        <v>55</v>
      </c>
      <c r="F33" s="104" t="s">
        <v>56</v>
      </c>
      <c r="G33" s="104" t="s">
        <v>15</v>
      </c>
      <c r="H33" s="104" t="s">
        <v>16</v>
      </c>
      <c r="I33" s="104" t="s">
        <v>17</v>
      </c>
      <c r="J33" s="104" t="s">
        <v>18</v>
      </c>
      <c r="K33" s="104" t="s">
        <v>10</v>
      </c>
      <c r="L33" s="104" t="s">
        <v>53</v>
      </c>
      <c r="M33" s="104" t="s">
        <v>54</v>
      </c>
      <c r="N33" s="104" t="s">
        <v>55</v>
      </c>
      <c r="O33" s="104" t="s">
        <v>56</v>
      </c>
      <c r="P33" s="104" t="s">
        <v>15</v>
      </c>
      <c r="Q33" s="104" t="s">
        <v>16</v>
      </c>
      <c r="R33" s="104" t="s">
        <v>17</v>
      </c>
      <c r="S33" s="104" t="s">
        <v>18</v>
      </c>
      <c r="T33" s="105" t="s">
        <v>57</v>
      </c>
    </row>
    <row r="34" spans="1:16383" s="98" customFormat="1" ht="20" customHeight="1">
      <c r="A34" s="117" t="s">
        <v>61</v>
      </c>
      <c r="B34" s="107">
        <f>45+44-1+1-2+1-1-1-1-1</f>
        <v>84</v>
      </c>
      <c r="C34" s="107">
        <f>17+50+45+30+30+20+37+50+50-5-1-6-1-1-4+1-3-2+1-1-2-4-5-1-1-1-1-5-1-1-6-11</f>
        <v>268</v>
      </c>
      <c r="D34" s="107">
        <f>47+50+45+25+45+44+56+14+20+31+40+45+45+49+14+24-4-2-6-2-1-4-2-1+1-1-5-19+1-5-1-1-4-1-3-1-1-1-1-5-1-1-2-1-1-1-1-1-1-21-2-1</f>
        <v>491</v>
      </c>
      <c r="E34" s="107">
        <f>30+40+45+45+45+45+45+45+50+50+23+50-9-6-1-1-1-4+1-1-1-5-7+1-2-2-3-1-1-1-1-2-8-1-1-1-1-1-14-2-8</f>
        <v>429</v>
      </c>
      <c r="F34" s="107">
        <f>52+30+40+40+40+49+50+48-2-2-4-1-2+1-1-5-3+1-1-3-1-1-4-1-1-2-1</f>
        <v>316</v>
      </c>
      <c r="G34" s="107">
        <f>36+14+40+20+24+1-2+1-2-1-1-2</f>
        <v>128</v>
      </c>
      <c r="H34" s="107">
        <f>6+10-1+1-1-1-1</f>
        <v>13</v>
      </c>
      <c r="I34" s="107">
        <f>17-1</f>
        <v>16</v>
      </c>
      <c r="J34" s="107">
        <f>21</f>
        <v>21</v>
      </c>
      <c r="K34" s="107">
        <f>35+10+1+1-3-1-1-42</f>
        <v>0</v>
      </c>
      <c r="L34" s="107">
        <f>1+34+60+60+60+25+45+50+31-2-1-2-2-1+1-1-8+1-2-1-1-2-1-3-1-1-1-4-3-135-28-1-1-1-1-7-1-31</f>
        <v>125</v>
      </c>
      <c r="M34" s="107">
        <f>26+40+43+50+45+45+20+2+40+40+45+45+45+40+40+50+50+45+45+31+15+25-6-1-1-1-3-1-10-2-1-1-9+3-1-1-9-3-1+1-1-16-31-1+1-10+34-8-1-1-2-4-9-10-6-1-1-3-1-2-1-4-2-2-2-1-3-3-1-1-1-1-1-1-133-1-6-17-3-91-10-1-1-1</f>
        <v>419</v>
      </c>
      <c r="N34" s="107">
        <f>10+40+15+25+50+50+45+45+39+32+60+60+60-5-4-8-4-1-1-1-1-2-7+1-2-6-7-1-1+1-1-1-25-26+1-10-10-1-1-2-2-1-9-30-6-1-1-2-1-1-2-6-1-1-1-6-1-2-1-3-93-2-2-1-2-9-1-1-1-68-10</f>
        <v>138</v>
      </c>
      <c r="O34" s="130">
        <f>31+50+31+45+30+4+45+45+25-6-6-1-3-2-1-2+1-1-1-25-4+1-3-5-2-3-1-2-20-1-1-1-5-2-1-1-1-1-1-1-26-1-1-1-1-1-16-10</f>
        <v>147</v>
      </c>
      <c r="P34" s="107">
        <f>29+50+35+40+2+4+30-2-1-1+1-1-6-6+1-1-1-5-5-1-1-1-1-3-1-4-1-1-7-1-1-3</f>
        <v>137</v>
      </c>
      <c r="Q34" s="107">
        <f>15+9+19+8-1-1-1-1+1-1-5-2-1-2-1</f>
        <v>36</v>
      </c>
      <c r="R34" s="107">
        <f>17-1-1-1-1-1-1</f>
        <v>11</v>
      </c>
      <c r="S34" s="107">
        <f>18-1</f>
        <v>17</v>
      </c>
      <c r="T34" s="131">
        <f>SUM(B34:S34)</f>
        <v>2796</v>
      </c>
    </row>
    <row r="35" spans="1:16383" s="98" customFormat="1" ht="20" customHeight="1">
      <c r="A35" s="117" t="s">
        <v>20</v>
      </c>
      <c r="B35" s="107">
        <f>0+40+16-1-1-4-1+1-2+1+2-1-2-1-4-1-1-1-1</f>
        <v>39</v>
      </c>
      <c r="C35" s="107">
        <f>9+10+50+2+39+45+18+25+19+35-1-2-3+1-11-2-2-1-5+5-2-9-1+1-1+2-1-1-12-1-2-1-5-3-17-2-2-33-3-1-5-7-5-1-4-1-4-3</f>
        <v>107</v>
      </c>
      <c r="D35" s="107">
        <f>4+45+15+31+39+50+26+23+35+50-1-1-1-4-8-11-2-1-4-13+13-19-18-1+1-1+19-3-1-1-6-1-6-3-1-65-11-1-1-5-2-1-1-18-5-1-2-1-1-1-1-1-1-1-1+1-21-2</f>
        <v>101</v>
      </c>
      <c r="E35" s="107">
        <f>33+3+45+45+27+3+25+50+9-1-1-2-7-1-1-1-13-2-4-1-12+12-7-19-2+1+7-1-1-1-2-2-7-2-1-43-2-9-4-1-17-5-1-1-1-27-1</f>
        <v>57</v>
      </c>
      <c r="F35" s="107">
        <f>10+60+51+45+11+30+40+15+1+9-1-4-1-7-1-1-1-1+1-3-11-2+1+3-2-2-1-1-5-1-1-8-2-1-4-25-1-1</f>
        <v>189</v>
      </c>
      <c r="G35" s="107">
        <f>24+39+27+14+4-1-1-2-2-1+1-20-1-4-1-5-1</f>
        <v>70</v>
      </c>
      <c r="H35" s="107">
        <f>44+11-8+1-3-2</f>
        <v>43</v>
      </c>
      <c r="I35" s="107">
        <f>17+15-1</f>
        <v>31</v>
      </c>
      <c r="J35" s="107">
        <f>16+15-1</f>
        <v>30</v>
      </c>
      <c r="K35" s="107">
        <f>29+45+20+59-1+1-1-1+1-2-1-1-1-3-1-1-4-1</f>
        <v>137</v>
      </c>
      <c r="L35" s="107">
        <f>49+45+45+45+60+20+13+53-21-1-2-1-9-5-8-4-4+4-1-1-3+2-5-1-1-6-3-3-1-2-5-2-1-53-1-1-4-10-3-1-1-7-1</f>
        <v>164</v>
      </c>
      <c r="M35" s="107">
        <f>2+17+45+45+45+45+36+15+50+44+45+22+41+20+50+49-21-1-2-10-15-1-1-2-3-14-1-9-2-7-3+1-1-8-1-1+8-1-31-16-1+1-20+31-3-12-8-2-8-3-10-1-4-3-1-1-1-76-1-1-2-1-4-1-1-3-1-16-20-1-2-1-1-1-1-1-1-1-1-1-4-1-1-1-1-1-1-1-14-1-1</f>
        <v>217</v>
      </c>
      <c r="N35" s="107">
        <f>11+47+45+45+45+45+11+19+36+50+50+13+60+45-21-1-1-1-7-2-4-11-1-11-3-20-1-1-1-7-6-1-1-5-11-1+11+1-26-19-3+2-20+26-2-1-3-3-7-1-2-3-20-2-3-52-5-1-1-6-2-1-4-2-2-25-30-2-1-2-6-1-3-1-1-1-2-1-10-4-1-1</f>
        <v>161</v>
      </c>
      <c r="O35" s="130">
        <f>34+45+45+40+43+27+44+45+35+45-1-1-1-10-1-11-4-2-7-3-4-3-1+3-4-37+1-5+4-3-3-1-1-2-5-1-1-20-10-2-3-1-5-1-1-3-1-1-6-9-15-1-1-1-1-1-1-2-1-1-1-1-1-13-2-3</f>
        <v>190</v>
      </c>
      <c r="P35" s="107">
        <f>10+22+39+29+45+45-1-1-8-2-2-2-2-2-1-1+2-6-14+1-2+6-2-2-1-2+1-3-1-1-1-2-2-1-1-10-1-1-1-4</f>
        <v>120</v>
      </c>
      <c r="Q35" s="107">
        <f>16+15+15+43+13-4-1+1-1-2-11-1+1-3-3-1-5-1-1-1-1-1-3</f>
        <v>64</v>
      </c>
      <c r="R35" s="107">
        <f>21+20+10-1-1</f>
        <v>49</v>
      </c>
      <c r="S35" s="107">
        <f>17+20-1-1-1</f>
        <v>34</v>
      </c>
      <c r="T35" s="131">
        <f>SUM(B35:S35)</f>
        <v>1803</v>
      </c>
    </row>
    <row r="36" spans="1:16383" ht="31">
      <c r="T36" s="132">
        <f>SUM(T34:T35)</f>
        <v>4599</v>
      </c>
    </row>
    <row r="40" spans="1:16383" s="98" customFormat="1" ht="20" customHeight="1">
      <c r="A40" s="127" t="s">
        <v>66</v>
      </c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</row>
    <row r="41" spans="1:16383" s="98" customFormat="1" ht="20" customHeight="1">
      <c r="A41" s="100" t="s">
        <v>51</v>
      </c>
      <c r="B41" s="101" t="s">
        <v>3</v>
      </c>
      <c r="C41" s="101"/>
      <c r="D41" s="101"/>
      <c r="E41" s="101"/>
      <c r="F41" s="101"/>
      <c r="G41" s="101"/>
      <c r="H41" s="101"/>
      <c r="I41" s="101"/>
      <c r="J41" s="101"/>
      <c r="K41" s="102"/>
      <c r="L41" s="102"/>
      <c r="M41" s="103" t="s">
        <v>4</v>
      </c>
      <c r="N41" s="103"/>
      <c r="O41" s="103"/>
      <c r="P41" s="103"/>
      <c r="Q41" s="103"/>
      <c r="R41" s="103"/>
      <c r="S41" s="103"/>
      <c r="T41" s="103"/>
    </row>
    <row r="42" spans="1:16383" s="98" customFormat="1" ht="20" customHeight="1">
      <c r="A42" s="100" t="s">
        <v>52</v>
      </c>
      <c r="B42" s="102" t="s">
        <v>10</v>
      </c>
      <c r="C42" s="102" t="s">
        <v>53</v>
      </c>
      <c r="D42" s="102" t="s">
        <v>54</v>
      </c>
      <c r="E42" s="102" t="s">
        <v>55</v>
      </c>
      <c r="F42" s="102" t="s">
        <v>56</v>
      </c>
      <c r="G42" s="102" t="s">
        <v>15</v>
      </c>
      <c r="H42" s="102" t="s">
        <v>16</v>
      </c>
      <c r="I42" s="102" t="s">
        <v>17</v>
      </c>
      <c r="J42" s="102" t="s">
        <v>18</v>
      </c>
      <c r="K42" s="102" t="s">
        <v>10</v>
      </c>
      <c r="L42" s="102" t="s">
        <v>53</v>
      </c>
      <c r="M42" s="102" t="s">
        <v>54</v>
      </c>
      <c r="N42" s="102" t="s">
        <v>55</v>
      </c>
      <c r="O42" s="102" t="s">
        <v>56</v>
      </c>
      <c r="P42" s="102" t="s">
        <v>15</v>
      </c>
      <c r="Q42" s="102" t="s">
        <v>16</v>
      </c>
      <c r="R42" s="102" t="s">
        <v>17</v>
      </c>
      <c r="S42" s="102" t="s">
        <v>18</v>
      </c>
      <c r="T42" s="105" t="s">
        <v>57</v>
      </c>
    </row>
    <row r="43" spans="1:16383" s="98" customFormat="1" ht="20" customHeight="1">
      <c r="A43" s="117" t="s">
        <v>61</v>
      </c>
      <c r="B43" s="107">
        <f>31+211-1-1-1+1-1-2-1-1-2-1</f>
        <v>232</v>
      </c>
      <c r="C43" s="130">
        <f>29+640-4-1-2-8-4-1-3-1-1-1-1-6-1-1-7-1-1-4-1-1-3-1-1-1-50-4-1-20-3-1-1-2-1</f>
        <v>530</v>
      </c>
      <c r="D43" s="130">
        <f>40+585-4-1-11-10-5-4-1-3-7-1-1-1-1-1-1+1-13-3-2-3-5-5-3-1-1-3-1-1-1-1-4-5-2-10-1-3-1-2-1+7-1-3-3</f>
        <v>502</v>
      </c>
      <c r="E43" s="130">
        <f>47+666-1-9-5-1-1-1-2-4-4-1-1-1-1-2-1+1-9-2-1-1-6-6-4-1-1-1-1-5-1-4-3-1-5+45+15-1-1-1-3</f>
        <v>681</v>
      </c>
      <c r="F43" s="130">
        <f>7+209-2-3-6-1-2-4-2-2-1-1-2-1-8-4-1-1-1-1+40+30+45+45-1-1</f>
        <v>331</v>
      </c>
      <c r="G43" s="130">
        <f>17+122-2-1-1-5-1+40-1</f>
        <v>168</v>
      </c>
      <c r="H43" s="130">
        <f>24+78-1-1-5+45-2</f>
        <v>138</v>
      </c>
      <c r="I43" s="130">
        <f>23-1</f>
        <v>22</v>
      </c>
      <c r="J43" s="130">
        <f>29</f>
        <v>29</v>
      </c>
      <c r="K43" s="130">
        <f>31+15+20+24+49+25-1-1-1+1-1-1</f>
        <v>160</v>
      </c>
      <c r="L43" s="130">
        <f>35+26+63+60+60+22+20+45+35+35-1-2-1-2-6-5-1-2-1-1-1+2-4-1-60-1-3+1-5-3-3-1-1-1-6-2-2-12+45+30+45+45+43+45+27+50</f>
        <v>606</v>
      </c>
      <c r="M43" s="130">
        <f>36+45+45+45+45+45+60+60+45+45+45+50+28+32+45+45+45+60+45+34-2-20-1-2-7+2-1-2-5-15-5-1-16-1-7-4-1-1+1-11-3-2-30-3-3-9-6-4-1-7-1-1-2-2-6-1-1-5-5-10-5-1-13-1-31+45+45+45+45+45+40+45+40+45+45+45+45+50+45-16-1-1-1</f>
        <v>1254</v>
      </c>
      <c r="N43" s="130">
        <f>66+46+50+50+26+50+45+49+50+35+45+45+45+22+45+50-16-6-2-2+2-1-1-3-3-8-6-1-1-11-2-8-1-5-2-1+1-1-4-1-1-5-1-1-1-4-1-1-29-12-4-15-1-1-1-5-2-3-2-1-1-1-1-1-3-3-1-1-1-1-4-7-10-3-5-1-1-12-1-24+45+45+45+45+45+45+45+45+45+50+45+50+45+45+45+45-1+1-1-1-5-3-1-1-1</f>
        <v>1180</v>
      </c>
      <c r="O43" s="130">
        <f>27+9+15+45+45+45+33+12+17+3+45-1-9-1-1-1+1-2-3-4-2-3-1-2-1+1-1-1-1-7-30-1-1+1-1-16-9-5-1-2-1-1-3-1-2-4-2-5-1-5-2-2-5-10+45+53+45+45+45+45+45+45-1-1-2-1-1-2</f>
        <v>508</v>
      </c>
      <c r="P43" s="130">
        <f>18+47+60+5+15+60+18+44+41+1-1-1-1-1-2-1-3-2-2-2-3-1-9-3-1-1-2+1-1-3-3+45+19</f>
        <v>331</v>
      </c>
      <c r="Q43" s="130">
        <f>31+40+45+50-5+1-1-6-6-1-1-3-1</f>
        <v>143</v>
      </c>
      <c r="R43" s="130">
        <f>22+10+15-1-1-3</f>
        <v>42</v>
      </c>
      <c r="S43" s="130">
        <f>27</f>
        <v>27</v>
      </c>
      <c r="T43" s="131">
        <f>SUM(B43:S43)</f>
        <v>6884</v>
      </c>
    </row>
    <row r="44" spans="1:16383" s="98" customFormat="1" ht="20" customHeight="1">
      <c r="A44" s="117" t="s">
        <v>58</v>
      </c>
      <c r="B44" s="107">
        <f>1-1+45-1-2+1-2-1-1-1-4+2-1-2-4-1-1</f>
        <v>27</v>
      </c>
      <c r="C44" s="107">
        <f>0+3+86-3-2-3-1-1-10+86-1-2-2-1-5-9+2-1-4-1-2-1-5-2-1-1-1-1-1-2-2-11+1-1-1-1-1-1-2-3-2-4-1-1+1-1-1-1-1-1</f>
        <v>80</v>
      </c>
      <c r="D44" s="107">
        <f>36-3-1-9+60+1-4-1-6-1-24-1-1-1-8-5+1-1-2-1-1-1-1-1-2-3-8-3-5-4+4-2-2</f>
        <v>0</v>
      </c>
      <c r="E44" s="107">
        <f>60-1-4+60-3-1-3-3-1-1-30-4-1-1-3-11+1+2-1-1-4-1-7-1-4-1-2-2-32</f>
        <v>0</v>
      </c>
      <c r="F44" s="107">
        <f>6-1-4+60-1-1-1-9-1-1-2+1-1-1-2-1-1-2-1-1-1-6-8-2-1-2-1-3-2-8-1-1</f>
        <v>0</v>
      </c>
      <c r="G44" s="107">
        <f>22+29-1-1-1-1-1+1-1-1-1-2-1-2-2-8</f>
        <v>29</v>
      </c>
      <c r="H44" s="107">
        <f>36-1-3-2+1-1-3-1-4</f>
        <v>22</v>
      </c>
      <c r="I44" s="107">
        <f>4+10-1-1-1</f>
        <v>11</v>
      </c>
      <c r="J44" s="107">
        <f>5+10-1-1-1</f>
        <v>12</v>
      </c>
      <c r="K44" s="107">
        <f>11-1-1+1-1-1-3-1</f>
        <v>4</v>
      </c>
      <c r="L44" s="107">
        <f>40-3+128-1-1-5-1-1-1-6-3+1-2-2-1-10-2-2-1-1-1-2-3-2-4-1-1-1-1-4-5-27+1-1-1</f>
        <v>73</v>
      </c>
      <c r="M44" s="107">
        <f>21-9+230+210-3-2-11-12-4-1-1-1-12-1+2-1-2-5-2-1-1-5-1-1-1-24-3-1-4-5-1-15-1-5-4-1-1-1-7-1-5-19-1-1-6-2-3-2-1-1-1-2+45+50+45-10-7-48-1-1-1</f>
        <v>340</v>
      </c>
      <c r="N44" s="107">
        <f>15-1-1-1+45-1-5-19-2-1-1-13-2-1-1-1-1-12+3-1+1+2-2-3+3+45+52-1-1-10-6-15-3-3-1-1-12-3-6-1-4-4-2-1-1-8-11+45-26-7-5-10+1-1</f>
        <v>0</v>
      </c>
      <c r="O44" s="107">
        <f>16-1+70-3-6-1-2-9-2+1-1+45+45-1-1-5-4-1-1-1-2-3-1-1-1-2-1-5-7-5-16-4+4-1-3-1-1-6-1+45-6-3-16-2</f>
        <v>99</v>
      </c>
      <c r="P44" s="107">
        <f>0+39-2-1-1-1+2-1-9-2-1-1-1-2-3-6-3+3-1-1-3-5</f>
        <v>0</v>
      </c>
      <c r="Q44" s="107">
        <f>13+15-1-1+1+2-9-1-5-1</f>
        <v>13</v>
      </c>
      <c r="R44" s="107">
        <f>2+5-1+1-1-2-1</f>
        <v>3</v>
      </c>
      <c r="S44" s="107">
        <f>7+5-1-1-1-1-1-3</f>
        <v>4</v>
      </c>
      <c r="T44" s="131">
        <f>SUM(B44:S44)</f>
        <v>717</v>
      </c>
    </row>
    <row r="45" spans="1:16383" s="98" customFormat="1" ht="26.25" customHeight="1">
      <c r="A45" s="133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5">
        <f>SUM(T43:T44)</f>
        <v>7601</v>
      </c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  <c r="JF45" s="137"/>
      <c r="JG45" s="137"/>
      <c r="JH45" s="137"/>
      <c r="JI45" s="137"/>
      <c r="JJ45" s="137"/>
      <c r="JK45" s="137"/>
      <c r="JL45" s="137"/>
      <c r="JM45" s="137"/>
      <c r="JN45" s="137"/>
      <c r="JO45" s="137"/>
      <c r="JP45" s="137"/>
      <c r="JQ45" s="137"/>
      <c r="JR45" s="137"/>
      <c r="JS45" s="137"/>
      <c r="JT45" s="137"/>
      <c r="JU45" s="137"/>
      <c r="JV45" s="137"/>
      <c r="JW45" s="137"/>
      <c r="JX45" s="137"/>
      <c r="JY45" s="137"/>
      <c r="JZ45" s="137"/>
      <c r="KA45" s="137"/>
      <c r="KB45" s="137"/>
      <c r="KC45" s="137"/>
      <c r="KD45" s="137"/>
      <c r="KE45" s="137"/>
      <c r="KF45" s="137"/>
      <c r="KG45" s="137"/>
      <c r="KH45" s="137"/>
      <c r="KI45" s="137"/>
      <c r="KJ45" s="137"/>
      <c r="KK45" s="137"/>
      <c r="KL45" s="137"/>
      <c r="KM45" s="137"/>
      <c r="KN45" s="137"/>
      <c r="KO45" s="137"/>
      <c r="KP45" s="137"/>
      <c r="KQ45" s="137"/>
      <c r="KR45" s="137"/>
      <c r="KS45" s="137"/>
      <c r="KT45" s="137"/>
      <c r="KU45" s="137"/>
      <c r="KV45" s="137"/>
      <c r="KW45" s="137"/>
      <c r="KX45" s="137"/>
      <c r="KY45" s="137"/>
      <c r="KZ45" s="137"/>
      <c r="LA45" s="137"/>
      <c r="LB45" s="137"/>
      <c r="LC45" s="137"/>
      <c r="LD45" s="137"/>
      <c r="LE45" s="137"/>
      <c r="LF45" s="137"/>
      <c r="LG45" s="137"/>
      <c r="LH45" s="137"/>
      <c r="LI45" s="137"/>
      <c r="LJ45" s="137"/>
      <c r="LK45" s="137"/>
      <c r="LL45" s="137"/>
      <c r="LM45" s="137"/>
      <c r="LN45" s="137"/>
      <c r="LO45" s="137"/>
      <c r="LP45" s="137"/>
      <c r="LQ45" s="137"/>
      <c r="LR45" s="137"/>
      <c r="LS45" s="137"/>
      <c r="LT45" s="137"/>
      <c r="LU45" s="137"/>
      <c r="LV45" s="137"/>
      <c r="LW45" s="137"/>
      <c r="LX45" s="137"/>
      <c r="LY45" s="137"/>
      <c r="LZ45" s="137"/>
      <c r="MA45" s="137"/>
      <c r="MB45" s="137"/>
      <c r="MC45" s="137"/>
      <c r="MD45" s="137"/>
      <c r="ME45" s="137"/>
      <c r="MF45" s="137"/>
      <c r="MG45" s="137"/>
      <c r="MH45" s="137"/>
      <c r="MI45" s="137"/>
      <c r="MJ45" s="137"/>
      <c r="MK45" s="137"/>
      <c r="ML45" s="137"/>
      <c r="MM45" s="137"/>
      <c r="MN45" s="137"/>
      <c r="MO45" s="137"/>
      <c r="MP45" s="137"/>
      <c r="MQ45" s="137"/>
      <c r="MR45" s="137"/>
      <c r="MS45" s="137"/>
      <c r="MT45" s="137"/>
      <c r="MU45" s="137"/>
      <c r="MV45" s="137"/>
      <c r="MW45" s="137"/>
      <c r="MX45" s="137"/>
      <c r="MY45" s="137"/>
      <c r="MZ45" s="137"/>
      <c r="NA45" s="137"/>
      <c r="NB45" s="137"/>
      <c r="NC45" s="137"/>
      <c r="ND45" s="137"/>
      <c r="NE45" s="137"/>
      <c r="NF45" s="137"/>
      <c r="NG45" s="137"/>
      <c r="NH45" s="137"/>
      <c r="NI45" s="137"/>
      <c r="NJ45" s="137"/>
      <c r="NK45" s="137"/>
      <c r="NL45" s="137"/>
      <c r="NM45" s="137"/>
      <c r="NN45" s="137"/>
      <c r="NO45" s="137"/>
      <c r="NP45" s="137"/>
      <c r="NQ45" s="137"/>
      <c r="NR45" s="137"/>
      <c r="NS45" s="137"/>
      <c r="NT45" s="137"/>
      <c r="NU45" s="137"/>
      <c r="NV45" s="137"/>
      <c r="NW45" s="137"/>
      <c r="NX45" s="137"/>
      <c r="NY45" s="137"/>
      <c r="NZ45" s="137"/>
      <c r="OA45" s="137"/>
      <c r="OB45" s="137"/>
      <c r="OC45" s="137"/>
      <c r="OD45" s="137"/>
      <c r="OE45" s="137"/>
      <c r="OF45" s="137"/>
      <c r="OG45" s="137"/>
      <c r="OH45" s="137"/>
      <c r="OI45" s="137"/>
      <c r="OJ45" s="137"/>
      <c r="OK45" s="137"/>
      <c r="OL45" s="137"/>
      <c r="OM45" s="137"/>
      <c r="ON45" s="137"/>
      <c r="OO45" s="137"/>
      <c r="OP45" s="137"/>
      <c r="OQ45" s="137"/>
      <c r="OR45" s="137"/>
      <c r="OS45" s="137"/>
      <c r="OT45" s="137"/>
      <c r="OU45" s="137"/>
      <c r="OV45" s="137"/>
      <c r="OW45" s="137"/>
      <c r="OX45" s="137"/>
      <c r="OY45" s="137"/>
      <c r="OZ45" s="137"/>
      <c r="PA45" s="137"/>
      <c r="PB45" s="137"/>
      <c r="PC45" s="137"/>
      <c r="PD45" s="137"/>
      <c r="PE45" s="137"/>
      <c r="PF45" s="137"/>
      <c r="PG45" s="137"/>
      <c r="PH45" s="137"/>
      <c r="PI45" s="137"/>
      <c r="PJ45" s="137"/>
      <c r="PK45" s="137"/>
      <c r="PL45" s="137"/>
      <c r="PM45" s="137"/>
      <c r="PN45" s="137"/>
      <c r="PO45" s="137"/>
      <c r="PP45" s="137"/>
      <c r="PQ45" s="137"/>
      <c r="PR45" s="137"/>
      <c r="PS45" s="137"/>
      <c r="PT45" s="137"/>
      <c r="PU45" s="137"/>
      <c r="PV45" s="137"/>
      <c r="PW45" s="137"/>
      <c r="PX45" s="137"/>
      <c r="PY45" s="137"/>
      <c r="PZ45" s="137"/>
      <c r="QA45" s="137"/>
      <c r="QB45" s="137"/>
      <c r="QC45" s="137"/>
      <c r="QD45" s="137"/>
      <c r="QE45" s="137"/>
      <c r="QF45" s="137"/>
      <c r="QG45" s="137"/>
      <c r="QH45" s="137"/>
      <c r="QI45" s="137"/>
      <c r="QJ45" s="137"/>
      <c r="QK45" s="137"/>
      <c r="QL45" s="137"/>
      <c r="QM45" s="137"/>
      <c r="QN45" s="137"/>
      <c r="QO45" s="137"/>
      <c r="QP45" s="137"/>
      <c r="QQ45" s="137"/>
      <c r="QR45" s="137"/>
      <c r="QS45" s="137"/>
      <c r="QT45" s="137"/>
      <c r="QU45" s="137"/>
      <c r="QV45" s="137"/>
      <c r="QW45" s="137"/>
      <c r="QX45" s="137"/>
      <c r="QY45" s="137"/>
      <c r="QZ45" s="137"/>
      <c r="RA45" s="137"/>
      <c r="RB45" s="137"/>
      <c r="RC45" s="137"/>
      <c r="RD45" s="137"/>
      <c r="RE45" s="137"/>
      <c r="RF45" s="137"/>
      <c r="RG45" s="137"/>
      <c r="RH45" s="137"/>
      <c r="RI45" s="137"/>
      <c r="RJ45" s="137"/>
      <c r="RK45" s="137"/>
      <c r="RL45" s="137"/>
      <c r="RM45" s="137"/>
      <c r="RN45" s="137"/>
      <c r="RO45" s="137"/>
      <c r="RP45" s="137"/>
      <c r="RQ45" s="137"/>
      <c r="RR45" s="137"/>
      <c r="RS45" s="137"/>
      <c r="RT45" s="137"/>
      <c r="RU45" s="137"/>
      <c r="RV45" s="137"/>
      <c r="RW45" s="137"/>
      <c r="RX45" s="137"/>
      <c r="RY45" s="137"/>
      <c r="RZ45" s="137"/>
      <c r="SA45" s="137"/>
      <c r="SB45" s="137"/>
      <c r="SC45" s="137"/>
      <c r="SD45" s="137"/>
      <c r="SE45" s="137"/>
      <c r="SF45" s="137"/>
      <c r="SG45" s="137"/>
      <c r="SH45" s="137"/>
      <c r="SI45" s="137"/>
      <c r="SJ45" s="137"/>
      <c r="SK45" s="137"/>
      <c r="SL45" s="137"/>
      <c r="SM45" s="137"/>
      <c r="SN45" s="137"/>
      <c r="SO45" s="137"/>
      <c r="SP45" s="137"/>
      <c r="SQ45" s="137"/>
      <c r="SR45" s="137"/>
      <c r="SS45" s="137"/>
      <c r="ST45" s="137"/>
      <c r="SU45" s="137"/>
      <c r="SV45" s="137"/>
      <c r="SW45" s="137"/>
      <c r="SX45" s="137"/>
      <c r="SY45" s="137"/>
      <c r="SZ45" s="137"/>
      <c r="TA45" s="137"/>
      <c r="TB45" s="137"/>
      <c r="TC45" s="137"/>
      <c r="TD45" s="137"/>
      <c r="TE45" s="137"/>
      <c r="TF45" s="137"/>
      <c r="TG45" s="137"/>
      <c r="TH45" s="137"/>
      <c r="TI45" s="137"/>
      <c r="TJ45" s="137"/>
      <c r="TK45" s="137"/>
      <c r="TL45" s="137"/>
      <c r="TM45" s="137"/>
      <c r="TN45" s="137"/>
      <c r="TO45" s="137"/>
      <c r="TP45" s="137"/>
      <c r="TQ45" s="137"/>
      <c r="TR45" s="137"/>
      <c r="TS45" s="137"/>
      <c r="TT45" s="137"/>
      <c r="TU45" s="137"/>
      <c r="TV45" s="137"/>
      <c r="TW45" s="137"/>
      <c r="TX45" s="137"/>
      <c r="TY45" s="137"/>
      <c r="TZ45" s="137"/>
      <c r="UA45" s="137"/>
      <c r="UB45" s="137"/>
      <c r="UC45" s="137"/>
      <c r="UD45" s="137"/>
      <c r="UE45" s="137"/>
      <c r="UF45" s="137"/>
      <c r="UG45" s="137"/>
      <c r="UH45" s="137"/>
      <c r="UI45" s="137"/>
      <c r="UJ45" s="137"/>
      <c r="UK45" s="137"/>
      <c r="UL45" s="137"/>
      <c r="UM45" s="137"/>
      <c r="UN45" s="137"/>
      <c r="UO45" s="137"/>
      <c r="UP45" s="137"/>
      <c r="UQ45" s="137"/>
      <c r="UR45" s="137"/>
      <c r="US45" s="137"/>
      <c r="UT45" s="137"/>
      <c r="UU45" s="137"/>
      <c r="UV45" s="137"/>
      <c r="UW45" s="137"/>
      <c r="UX45" s="137"/>
      <c r="UY45" s="137"/>
      <c r="UZ45" s="137"/>
      <c r="VA45" s="137"/>
      <c r="VB45" s="137"/>
      <c r="VC45" s="137"/>
      <c r="VD45" s="137"/>
      <c r="VE45" s="137"/>
      <c r="VF45" s="137"/>
      <c r="VG45" s="137"/>
      <c r="VH45" s="137"/>
      <c r="VI45" s="137"/>
      <c r="VJ45" s="137"/>
      <c r="VK45" s="137"/>
      <c r="VL45" s="137"/>
      <c r="VM45" s="137"/>
      <c r="VN45" s="137"/>
      <c r="VO45" s="137"/>
      <c r="VP45" s="137"/>
      <c r="VQ45" s="137"/>
      <c r="VR45" s="137"/>
      <c r="VS45" s="137"/>
      <c r="VT45" s="137"/>
      <c r="VU45" s="137"/>
      <c r="VV45" s="137"/>
      <c r="VW45" s="137"/>
      <c r="VX45" s="137"/>
      <c r="VY45" s="137"/>
      <c r="VZ45" s="137"/>
      <c r="WA45" s="137"/>
      <c r="WB45" s="137"/>
      <c r="WC45" s="137"/>
      <c r="WD45" s="137"/>
      <c r="WE45" s="137"/>
      <c r="WF45" s="137"/>
      <c r="WG45" s="137"/>
      <c r="WH45" s="137"/>
      <c r="WI45" s="137"/>
      <c r="WJ45" s="137"/>
      <c r="WK45" s="137"/>
      <c r="WL45" s="137"/>
      <c r="WM45" s="137"/>
      <c r="WN45" s="137"/>
      <c r="WO45" s="137"/>
      <c r="WP45" s="137"/>
      <c r="WQ45" s="137"/>
      <c r="WR45" s="137"/>
      <c r="WS45" s="137"/>
      <c r="WT45" s="137"/>
      <c r="WU45" s="137"/>
      <c r="WV45" s="137"/>
      <c r="WW45" s="137"/>
      <c r="WX45" s="137"/>
      <c r="WY45" s="137"/>
      <c r="WZ45" s="137"/>
      <c r="XA45" s="137"/>
      <c r="XB45" s="137"/>
      <c r="XC45" s="137"/>
      <c r="XD45" s="137"/>
      <c r="XE45" s="137"/>
      <c r="XF45" s="137"/>
      <c r="XG45" s="137"/>
      <c r="XH45" s="137"/>
      <c r="XI45" s="137"/>
      <c r="XJ45" s="137"/>
      <c r="XK45" s="137"/>
      <c r="XL45" s="137"/>
      <c r="XM45" s="137"/>
      <c r="XN45" s="137"/>
      <c r="XO45" s="137"/>
      <c r="XP45" s="137"/>
      <c r="XQ45" s="137"/>
      <c r="XR45" s="137"/>
      <c r="XS45" s="137"/>
      <c r="XT45" s="137"/>
      <c r="XU45" s="137"/>
      <c r="XV45" s="137"/>
      <c r="XW45" s="137"/>
      <c r="XX45" s="137"/>
      <c r="XY45" s="137"/>
      <c r="XZ45" s="137"/>
      <c r="YA45" s="137"/>
      <c r="YB45" s="137"/>
      <c r="YC45" s="137"/>
      <c r="YD45" s="137"/>
      <c r="YE45" s="137"/>
      <c r="YF45" s="137"/>
      <c r="YG45" s="137"/>
      <c r="YH45" s="137"/>
      <c r="YI45" s="137"/>
      <c r="YJ45" s="137"/>
      <c r="YK45" s="137"/>
      <c r="YL45" s="137"/>
      <c r="YM45" s="137"/>
      <c r="YN45" s="137"/>
      <c r="YO45" s="137"/>
      <c r="YP45" s="137"/>
      <c r="YQ45" s="137"/>
      <c r="YR45" s="137"/>
      <c r="YS45" s="137"/>
      <c r="YT45" s="137"/>
      <c r="YU45" s="137"/>
      <c r="YV45" s="137"/>
      <c r="YW45" s="137"/>
      <c r="YX45" s="137"/>
      <c r="YY45" s="137"/>
      <c r="YZ45" s="137"/>
      <c r="ZA45" s="137"/>
      <c r="ZB45" s="137"/>
      <c r="ZC45" s="137"/>
      <c r="ZD45" s="137"/>
      <c r="ZE45" s="137"/>
      <c r="ZF45" s="137"/>
      <c r="ZG45" s="137"/>
      <c r="ZH45" s="137"/>
      <c r="ZI45" s="137"/>
      <c r="ZJ45" s="137"/>
      <c r="ZK45" s="137"/>
      <c r="ZL45" s="137"/>
      <c r="ZM45" s="137"/>
      <c r="ZN45" s="137"/>
      <c r="ZO45" s="137"/>
      <c r="ZP45" s="137"/>
      <c r="ZQ45" s="137"/>
      <c r="ZR45" s="137"/>
      <c r="ZS45" s="137"/>
      <c r="ZT45" s="137"/>
      <c r="ZU45" s="137"/>
      <c r="ZV45" s="137"/>
      <c r="ZW45" s="137"/>
      <c r="ZX45" s="137"/>
      <c r="ZY45" s="137"/>
      <c r="ZZ45" s="137"/>
      <c r="AAA45" s="137"/>
      <c r="AAB45" s="137"/>
      <c r="AAC45" s="137"/>
      <c r="AAD45" s="137"/>
      <c r="AAE45" s="137"/>
      <c r="AAF45" s="137"/>
      <c r="AAG45" s="137"/>
      <c r="AAH45" s="137"/>
      <c r="AAI45" s="137"/>
      <c r="AAJ45" s="137"/>
      <c r="AAK45" s="137"/>
      <c r="AAL45" s="137"/>
      <c r="AAM45" s="137"/>
      <c r="AAN45" s="137"/>
      <c r="AAO45" s="137"/>
      <c r="AAP45" s="137"/>
      <c r="AAQ45" s="137"/>
      <c r="AAR45" s="137"/>
      <c r="AAS45" s="137"/>
      <c r="AAT45" s="137"/>
      <c r="AAU45" s="137"/>
      <c r="AAV45" s="137"/>
      <c r="AAW45" s="137"/>
      <c r="AAX45" s="137"/>
      <c r="AAY45" s="137"/>
      <c r="AAZ45" s="137"/>
      <c r="ABA45" s="137"/>
      <c r="ABB45" s="137"/>
      <c r="ABC45" s="137"/>
      <c r="ABD45" s="137"/>
      <c r="ABE45" s="137"/>
      <c r="ABF45" s="137"/>
      <c r="ABG45" s="137"/>
      <c r="ABH45" s="137"/>
      <c r="ABI45" s="137"/>
      <c r="ABJ45" s="137"/>
      <c r="ABK45" s="137"/>
      <c r="ABL45" s="137"/>
      <c r="ABM45" s="137"/>
      <c r="ABN45" s="137"/>
      <c r="ABO45" s="137"/>
      <c r="ABP45" s="137"/>
      <c r="ABQ45" s="137"/>
      <c r="ABR45" s="137"/>
      <c r="ABS45" s="137"/>
      <c r="ABT45" s="137"/>
      <c r="ABU45" s="137"/>
      <c r="ABV45" s="137"/>
      <c r="ABW45" s="137"/>
      <c r="ABX45" s="137"/>
      <c r="ABY45" s="137"/>
      <c r="ABZ45" s="137"/>
      <c r="ACA45" s="137"/>
      <c r="ACB45" s="137"/>
      <c r="ACC45" s="137"/>
      <c r="ACD45" s="137"/>
      <c r="ACE45" s="137"/>
      <c r="ACF45" s="137"/>
      <c r="ACG45" s="137"/>
      <c r="ACH45" s="137"/>
      <c r="ACI45" s="137"/>
      <c r="ACJ45" s="137"/>
      <c r="ACK45" s="137"/>
      <c r="ACL45" s="137"/>
      <c r="ACM45" s="137"/>
      <c r="ACN45" s="137"/>
      <c r="ACO45" s="137"/>
      <c r="ACP45" s="137"/>
      <c r="ACQ45" s="137"/>
      <c r="ACR45" s="137"/>
      <c r="ACS45" s="137"/>
      <c r="ACT45" s="137"/>
      <c r="ACU45" s="137"/>
      <c r="ACV45" s="137"/>
      <c r="ACW45" s="137"/>
      <c r="ACX45" s="137"/>
      <c r="ACY45" s="137"/>
      <c r="ACZ45" s="137"/>
      <c r="ADA45" s="137"/>
      <c r="ADB45" s="137"/>
      <c r="ADC45" s="137"/>
      <c r="ADD45" s="137"/>
      <c r="ADE45" s="137"/>
      <c r="ADF45" s="137"/>
      <c r="ADG45" s="137"/>
      <c r="ADH45" s="137"/>
      <c r="ADI45" s="137"/>
      <c r="ADJ45" s="137"/>
      <c r="ADK45" s="137"/>
      <c r="ADL45" s="137"/>
      <c r="ADM45" s="137"/>
      <c r="ADN45" s="137"/>
      <c r="ADO45" s="137"/>
      <c r="ADP45" s="137"/>
      <c r="ADQ45" s="137"/>
      <c r="ADR45" s="137"/>
      <c r="ADS45" s="137"/>
      <c r="ADT45" s="137"/>
      <c r="ADU45" s="137"/>
      <c r="ADV45" s="137"/>
      <c r="ADW45" s="137"/>
      <c r="ADX45" s="137"/>
      <c r="ADY45" s="137"/>
      <c r="ADZ45" s="137"/>
      <c r="AEA45" s="137"/>
      <c r="AEB45" s="137"/>
      <c r="AEC45" s="137"/>
      <c r="AED45" s="137"/>
      <c r="AEE45" s="137"/>
      <c r="AEF45" s="137"/>
      <c r="AEG45" s="137"/>
      <c r="AEH45" s="137"/>
      <c r="AEI45" s="137"/>
      <c r="AEJ45" s="137"/>
      <c r="AEK45" s="137"/>
      <c r="AEL45" s="137"/>
      <c r="AEM45" s="137"/>
      <c r="AEN45" s="137"/>
      <c r="AEO45" s="137"/>
      <c r="AEP45" s="137"/>
      <c r="AEQ45" s="137"/>
      <c r="AER45" s="137"/>
      <c r="AES45" s="137"/>
      <c r="AET45" s="137"/>
      <c r="AEU45" s="137"/>
      <c r="AEV45" s="137"/>
      <c r="AEW45" s="137"/>
      <c r="AEX45" s="137"/>
      <c r="AEY45" s="137"/>
      <c r="AEZ45" s="137"/>
      <c r="AFA45" s="137"/>
      <c r="AFB45" s="137"/>
      <c r="AFC45" s="137"/>
      <c r="AFD45" s="137"/>
      <c r="AFE45" s="137"/>
      <c r="AFF45" s="137"/>
      <c r="AFG45" s="137"/>
      <c r="AFH45" s="137"/>
      <c r="AFI45" s="137"/>
      <c r="AFJ45" s="137"/>
      <c r="AFK45" s="137"/>
      <c r="AFL45" s="137"/>
      <c r="AFM45" s="137"/>
      <c r="AFN45" s="137"/>
      <c r="AFO45" s="137"/>
      <c r="AFP45" s="137"/>
      <c r="AFQ45" s="137"/>
      <c r="AFR45" s="137"/>
      <c r="AFS45" s="137"/>
      <c r="AFT45" s="137"/>
      <c r="AFU45" s="137"/>
      <c r="AFV45" s="137"/>
      <c r="AFW45" s="137"/>
      <c r="AFX45" s="137"/>
      <c r="AFY45" s="137"/>
      <c r="AFZ45" s="137"/>
      <c r="AGA45" s="137"/>
      <c r="AGB45" s="137"/>
      <c r="AGC45" s="137"/>
      <c r="AGD45" s="137"/>
      <c r="AGE45" s="137"/>
      <c r="AGF45" s="137"/>
      <c r="AGG45" s="137"/>
      <c r="AGH45" s="137"/>
      <c r="AGI45" s="137"/>
      <c r="AGJ45" s="137"/>
      <c r="AGK45" s="137"/>
      <c r="AGL45" s="137"/>
      <c r="AGM45" s="137"/>
      <c r="AGN45" s="137"/>
      <c r="AGO45" s="137"/>
      <c r="AGP45" s="137"/>
      <c r="AGQ45" s="137"/>
      <c r="AGR45" s="137"/>
      <c r="AGS45" s="137"/>
      <c r="AGT45" s="137"/>
      <c r="AGU45" s="137"/>
      <c r="AGV45" s="137"/>
      <c r="AGW45" s="137"/>
      <c r="AGX45" s="137"/>
      <c r="AGY45" s="137"/>
      <c r="AGZ45" s="137"/>
      <c r="AHA45" s="137"/>
      <c r="AHB45" s="137"/>
      <c r="AHC45" s="137"/>
      <c r="AHD45" s="137"/>
      <c r="AHE45" s="137"/>
      <c r="AHF45" s="137"/>
      <c r="AHG45" s="137"/>
      <c r="AHH45" s="137"/>
      <c r="AHI45" s="137"/>
      <c r="AHJ45" s="137"/>
      <c r="AHK45" s="137"/>
      <c r="AHL45" s="137"/>
      <c r="AHM45" s="137"/>
      <c r="AHN45" s="137"/>
      <c r="AHO45" s="137"/>
      <c r="AHP45" s="137"/>
      <c r="AHQ45" s="137"/>
      <c r="AHR45" s="137"/>
      <c r="AHS45" s="137"/>
      <c r="AHT45" s="137"/>
      <c r="AHU45" s="137"/>
      <c r="AHV45" s="137"/>
      <c r="AHW45" s="137"/>
      <c r="AHX45" s="137"/>
      <c r="AHY45" s="137"/>
      <c r="AHZ45" s="137"/>
      <c r="AIA45" s="137"/>
      <c r="AIB45" s="137"/>
      <c r="AIC45" s="137"/>
      <c r="AID45" s="137"/>
      <c r="AIE45" s="137"/>
      <c r="AIF45" s="137"/>
      <c r="AIG45" s="137"/>
      <c r="AIH45" s="137"/>
      <c r="AII45" s="137"/>
      <c r="AIJ45" s="137"/>
      <c r="AIK45" s="137"/>
      <c r="AIL45" s="137"/>
      <c r="AIM45" s="137"/>
      <c r="AIN45" s="137"/>
      <c r="AIO45" s="137"/>
      <c r="AIP45" s="137"/>
      <c r="AIQ45" s="137"/>
      <c r="AIR45" s="137"/>
      <c r="AIS45" s="137"/>
      <c r="AIT45" s="137"/>
      <c r="AIU45" s="137"/>
      <c r="AIV45" s="137"/>
      <c r="AIW45" s="137"/>
      <c r="AIX45" s="137"/>
      <c r="AIY45" s="137"/>
      <c r="AIZ45" s="137"/>
      <c r="AJA45" s="137"/>
      <c r="AJB45" s="137"/>
      <c r="AJC45" s="137"/>
      <c r="AJD45" s="137"/>
      <c r="AJE45" s="137"/>
      <c r="AJF45" s="137"/>
      <c r="AJG45" s="137"/>
      <c r="AJH45" s="137"/>
      <c r="AJI45" s="137"/>
      <c r="AJJ45" s="137"/>
      <c r="AJK45" s="137"/>
      <c r="AJL45" s="137"/>
      <c r="AJM45" s="137"/>
      <c r="AJN45" s="137"/>
      <c r="AJO45" s="137"/>
      <c r="AJP45" s="137"/>
      <c r="AJQ45" s="137"/>
      <c r="AJR45" s="137"/>
      <c r="AJS45" s="137"/>
      <c r="AJT45" s="137"/>
      <c r="AJU45" s="137"/>
      <c r="AJV45" s="137"/>
      <c r="AJW45" s="137"/>
      <c r="AJX45" s="137"/>
      <c r="AJY45" s="137"/>
      <c r="AJZ45" s="137"/>
      <c r="AKA45" s="137"/>
      <c r="AKB45" s="137"/>
      <c r="AKC45" s="137"/>
      <c r="AKD45" s="137"/>
      <c r="AKE45" s="137"/>
      <c r="AKF45" s="137"/>
      <c r="AKG45" s="137"/>
      <c r="AKH45" s="137"/>
      <c r="AKI45" s="137"/>
      <c r="AKJ45" s="137"/>
      <c r="AKK45" s="137"/>
      <c r="AKL45" s="137"/>
      <c r="AKM45" s="137"/>
      <c r="AKN45" s="137"/>
      <c r="AKO45" s="137"/>
      <c r="AKP45" s="137"/>
      <c r="AKQ45" s="137"/>
      <c r="AKR45" s="137"/>
      <c r="AKS45" s="137"/>
      <c r="AKT45" s="137"/>
      <c r="AKU45" s="137"/>
      <c r="AKV45" s="137"/>
      <c r="AKW45" s="137"/>
      <c r="AKX45" s="137"/>
      <c r="AKY45" s="137"/>
      <c r="AKZ45" s="137"/>
      <c r="ALA45" s="137"/>
      <c r="ALB45" s="137"/>
      <c r="ALC45" s="137"/>
      <c r="ALD45" s="137"/>
      <c r="ALE45" s="137"/>
      <c r="ALF45" s="137"/>
      <c r="ALG45" s="137"/>
      <c r="ALH45" s="137"/>
      <c r="ALI45" s="137"/>
      <c r="ALJ45" s="137"/>
      <c r="ALK45" s="137"/>
      <c r="ALL45" s="137"/>
      <c r="ALM45" s="137"/>
      <c r="ALN45" s="137"/>
      <c r="ALO45" s="137"/>
      <c r="ALP45" s="137"/>
      <c r="ALQ45" s="137"/>
      <c r="ALR45" s="137"/>
      <c r="ALS45" s="137"/>
      <c r="ALT45" s="137"/>
      <c r="ALU45" s="137"/>
      <c r="ALV45" s="137"/>
      <c r="ALW45" s="137"/>
      <c r="ALX45" s="137"/>
      <c r="ALY45" s="137"/>
      <c r="ALZ45" s="137"/>
      <c r="AMA45" s="137"/>
      <c r="AMB45" s="137"/>
      <c r="AMC45" s="137"/>
      <c r="AMD45" s="137"/>
      <c r="AME45" s="137"/>
      <c r="AMF45" s="137"/>
      <c r="AMG45" s="137"/>
      <c r="AMH45" s="137"/>
      <c r="AMI45" s="137"/>
      <c r="AMJ45" s="137"/>
      <c r="AMK45" s="137"/>
      <c r="AML45" s="137"/>
      <c r="AMM45" s="137"/>
      <c r="AMN45" s="137"/>
      <c r="AMO45" s="137"/>
      <c r="AMP45" s="137"/>
      <c r="AMQ45" s="137"/>
      <c r="AMR45" s="137"/>
      <c r="AMS45" s="137"/>
      <c r="AMT45" s="137"/>
      <c r="AMU45" s="137"/>
      <c r="AMV45" s="137"/>
      <c r="AMW45" s="137"/>
      <c r="AMX45" s="137"/>
      <c r="AMY45" s="137"/>
      <c r="AMZ45" s="137"/>
      <c r="ANA45" s="137"/>
      <c r="ANB45" s="137"/>
      <c r="ANC45" s="137"/>
      <c r="AND45" s="137"/>
      <c r="ANE45" s="137"/>
      <c r="ANF45" s="137"/>
      <c r="ANG45" s="137"/>
      <c r="ANH45" s="137"/>
      <c r="ANI45" s="137"/>
      <c r="ANJ45" s="137"/>
      <c r="ANK45" s="137"/>
      <c r="ANL45" s="137"/>
      <c r="ANM45" s="137"/>
      <c r="ANN45" s="137"/>
      <c r="ANO45" s="137"/>
      <c r="ANP45" s="137"/>
      <c r="ANQ45" s="137"/>
      <c r="ANR45" s="137"/>
      <c r="ANS45" s="137"/>
      <c r="ANT45" s="137"/>
      <c r="ANU45" s="137"/>
      <c r="ANV45" s="137"/>
      <c r="ANW45" s="137"/>
      <c r="ANX45" s="137"/>
      <c r="ANY45" s="137"/>
      <c r="ANZ45" s="137"/>
      <c r="AOA45" s="137"/>
      <c r="AOB45" s="137"/>
      <c r="AOC45" s="137"/>
      <c r="AOD45" s="137"/>
      <c r="AOE45" s="137"/>
      <c r="AOF45" s="137"/>
      <c r="AOG45" s="137"/>
      <c r="AOH45" s="137"/>
      <c r="AOI45" s="137"/>
      <c r="AOJ45" s="137"/>
      <c r="AOK45" s="137"/>
      <c r="AOL45" s="137"/>
      <c r="AOM45" s="137"/>
      <c r="AON45" s="137"/>
      <c r="AOO45" s="137"/>
      <c r="AOP45" s="137"/>
      <c r="AOQ45" s="137"/>
      <c r="AOR45" s="137"/>
      <c r="AOS45" s="137"/>
      <c r="AOT45" s="137"/>
      <c r="AOU45" s="137"/>
      <c r="AOV45" s="137"/>
      <c r="AOW45" s="137"/>
      <c r="AOX45" s="137"/>
      <c r="AOY45" s="137"/>
      <c r="AOZ45" s="137"/>
      <c r="APA45" s="137"/>
      <c r="APB45" s="137"/>
      <c r="APC45" s="137"/>
      <c r="APD45" s="137"/>
      <c r="APE45" s="137"/>
      <c r="APF45" s="137"/>
      <c r="APG45" s="137"/>
      <c r="APH45" s="137"/>
      <c r="API45" s="137"/>
      <c r="APJ45" s="137"/>
      <c r="APK45" s="137"/>
      <c r="APL45" s="137"/>
      <c r="APM45" s="137"/>
      <c r="APN45" s="137"/>
      <c r="APO45" s="137"/>
      <c r="APP45" s="137"/>
      <c r="APQ45" s="137"/>
      <c r="APR45" s="137"/>
      <c r="APS45" s="137"/>
      <c r="APT45" s="137"/>
      <c r="APU45" s="137"/>
      <c r="APV45" s="137"/>
      <c r="APW45" s="137"/>
      <c r="APX45" s="137"/>
      <c r="APY45" s="137"/>
      <c r="APZ45" s="137"/>
      <c r="AQA45" s="137"/>
      <c r="AQB45" s="137"/>
      <c r="AQC45" s="137"/>
      <c r="AQD45" s="137"/>
      <c r="AQE45" s="137"/>
      <c r="AQF45" s="137"/>
      <c r="AQG45" s="137"/>
      <c r="AQH45" s="137"/>
      <c r="AQI45" s="137"/>
      <c r="AQJ45" s="137"/>
      <c r="AQK45" s="137"/>
      <c r="AQL45" s="137"/>
      <c r="AQM45" s="137"/>
      <c r="AQN45" s="137"/>
      <c r="AQO45" s="137"/>
      <c r="AQP45" s="137"/>
      <c r="AQQ45" s="137"/>
      <c r="AQR45" s="137"/>
      <c r="AQS45" s="137"/>
      <c r="AQT45" s="137"/>
      <c r="AQU45" s="137"/>
      <c r="AQV45" s="137"/>
      <c r="AQW45" s="137"/>
      <c r="AQX45" s="137"/>
      <c r="AQY45" s="137"/>
      <c r="AQZ45" s="137"/>
      <c r="ARA45" s="137"/>
      <c r="ARB45" s="137"/>
      <c r="ARC45" s="137"/>
      <c r="ARD45" s="137"/>
      <c r="ARE45" s="137"/>
      <c r="ARF45" s="137"/>
      <c r="ARG45" s="137"/>
      <c r="ARH45" s="137"/>
      <c r="ARI45" s="137"/>
      <c r="ARJ45" s="137"/>
      <c r="ARK45" s="137"/>
      <c r="ARL45" s="137"/>
      <c r="ARM45" s="137"/>
      <c r="ARN45" s="137"/>
      <c r="ARO45" s="137"/>
      <c r="ARP45" s="137"/>
      <c r="ARQ45" s="137"/>
      <c r="ARR45" s="137"/>
      <c r="ARS45" s="137"/>
      <c r="ART45" s="137"/>
      <c r="ARU45" s="137"/>
      <c r="ARV45" s="137"/>
      <c r="ARW45" s="137"/>
      <c r="ARX45" s="137"/>
      <c r="ARY45" s="137"/>
      <c r="ARZ45" s="137"/>
      <c r="ASA45" s="137"/>
      <c r="ASB45" s="137"/>
      <c r="ASC45" s="137"/>
      <c r="ASD45" s="137"/>
      <c r="ASE45" s="137"/>
      <c r="ASF45" s="137"/>
      <c r="ASG45" s="137"/>
      <c r="ASH45" s="137"/>
      <c r="ASI45" s="137"/>
      <c r="ASJ45" s="137"/>
      <c r="ASK45" s="137"/>
      <c r="ASL45" s="137"/>
      <c r="ASM45" s="137"/>
      <c r="ASN45" s="137"/>
      <c r="ASO45" s="137"/>
      <c r="ASP45" s="137"/>
      <c r="ASQ45" s="137"/>
      <c r="ASR45" s="137"/>
      <c r="ASS45" s="137"/>
      <c r="AST45" s="137"/>
      <c r="ASU45" s="137"/>
      <c r="ASV45" s="137"/>
      <c r="ASW45" s="137"/>
      <c r="ASX45" s="137"/>
      <c r="ASY45" s="137"/>
      <c r="ASZ45" s="137"/>
      <c r="ATA45" s="137"/>
      <c r="ATB45" s="137"/>
      <c r="ATC45" s="137"/>
      <c r="ATD45" s="137"/>
      <c r="ATE45" s="137"/>
      <c r="ATF45" s="137"/>
      <c r="ATG45" s="137"/>
      <c r="ATH45" s="137"/>
      <c r="ATI45" s="137"/>
      <c r="ATJ45" s="137"/>
      <c r="ATK45" s="137"/>
      <c r="ATL45" s="137"/>
      <c r="ATM45" s="137"/>
      <c r="ATN45" s="137"/>
      <c r="ATO45" s="137"/>
      <c r="ATP45" s="137"/>
      <c r="ATQ45" s="137"/>
      <c r="ATR45" s="137"/>
      <c r="ATS45" s="137"/>
      <c r="ATT45" s="137"/>
      <c r="ATU45" s="137"/>
      <c r="ATV45" s="137"/>
      <c r="ATW45" s="137"/>
      <c r="ATX45" s="137"/>
      <c r="ATY45" s="137"/>
      <c r="ATZ45" s="137"/>
      <c r="AUA45" s="137"/>
      <c r="AUB45" s="137"/>
      <c r="AUC45" s="137"/>
      <c r="AUD45" s="137"/>
      <c r="AUE45" s="137"/>
      <c r="AUF45" s="137"/>
      <c r="AUG45" s="137"/>
      <c r="AUH45" s="137"/>
      <c r="AUI45" s="137"/>
      <c r="AUJ45" s="137"/>
      <c r="AUK45" s="137"/>
      <c r="AUL45" s="137"/>
      <c r="AUM45" s="137"/>
      <c r="AUN45" s="137"/>
      <c r="AUO45" s="137"/>
      <c r="AUP45" s="137"/>
      <c r="AUQ45" s="137"/>
      <c r="AUR45" s="137"/>
      <c r="AUS45" s="137"/>
      <c r="AUT45" s="137"/>
      <c r="AUU45" s="137"/>
      <c r="AUV45" s="137"/>
      <c r="AUW45" s="137"/>
      <c r="AUX45" s="137"/>
      <c r="AUY45" s="137"/>
      <c r="AUZ45" s="137"/>
      <c r="AVA45" s="137"/>
      <c r="AVB45" s="137"/>
      <c r="AVC45" s="137"/>
      <c r="AVD45" s="137"/>
      <c r="AVE45" s="137"/>
      <c r="AVF45" s="137"/>
      <c r="AVG45" s="137"/>
      <c r="AVH45" s="137"/>
      <c r="AVI45" s="137"/>
      <c r="AVJ45" s="137"/>
      <c r="AVK45" s="137"/>
      <c r="AVL45" s="137"/>
      <c r="AVM45" s="137"/>
      <c r="AVN45" s="137"/>
      <c r="AVO45" s="137"/>
      <c r="AVP45" s="137"/>
      <c r="AVQ45" s="137"/>
      <c r="AVR45" s="137"/>
      <c r="AVS45" s="137"/>
      <c r="AVT45" s="137"/>
      <c r="AVU45" s="137"/>
      <c r="AVV45" s="137"/>
      <c r="AVW45" s="137"/>
      <c r="AVX45" s="137"/>
      <c r="AVY45" s="137"/>
      <c r="AVZ45" s="137"/>
      <c r="AWA45" s="137"/>
      <c r="AWB45" s="137"/>
      <c r="AWC45" s="137"/>
      <c r="AWD45" s="137"/>
      <c r="AWE45" s="137"/>
      <c r="AWF45" s="137"/>
      <c r="AWG45" s="137"/>
      <c r="AWH45" s="137"/>
      <c r="AWI45" s="137"/>
      <c r="AWJ45" s="137"/>
      <c r="AWK45" s="137"/>
      <c r="AWL45" s="137"/>
      <c r="AWM45" s="137"/>
      <c r="AWN45" s="137"/>
      <c r="AWO45" s="137"/>
      <c r="AWP45" s="137"/>
      <c r="AWQ45" s="137"/>
      <c r="AWR45" s="137"/>
      <c r="AWS45" s="137"/>
      <c r="AWT45" s="137"/>
      <c r="AWU45" s="137"/>
      <c r="AWV45" s="137"/>
      <c r="AWW45" s="137"/>
      <c r="AWX45" s="137"/>
      <c r="AWY45" s="137"/>
      <c r="AWZ45" s="137"/>
      <c r="AXA45" s="137"/>
      <c r="AXB45" s="137"/>
      <c r="AXC45" s="137"/>
      <c r="AXD45" s="137"/>
      <c r="AXE45" s="137"/>
      <c r="AXF45" s="137"/>
      <c r="AXG45" s="137"/>
      <c r="AXH45" s="137"/>
      <c r="AXI45" s="137"/>
      <c r="AXJ45" s="137"/>
      <c r="AXK45" s="137"/>
      <c r="AXL45" s="137"/>
      <c r="AXM45" s="137"/>
      <c r="AXN45" s="137"/>
      <c r="AXO45" s="137"/>
      <c r="AXP45" s="137"/>
      <c r="AXQ45" s="137"/>
      <c r="AXR45" s="137"/>
      <c r="AXS45" s="137"/>
      <c r="AXT45" s="137"/>
      <c r="AXU45" s="137"/>
      <c r="AXV45" s="137"/>
      <c r="AXW45" s="137"/>
      <c r="AXX45" s="137"/>
      <c r="AXY45" s="137"/>
      <c r="AXZ45" s="137"/>
      <c r="AYA45" s="137"/>
      <c r="AYB45" s="137"/>
      <c r="AYC45" s="137"/>
      <c r="AYD45" s="137"/>
      <c r="AYE45" s="137"/>
      <c r="AYF45" s="137"/>
      <c r="AYG45" s="137"/>
      <c r="AYH45" s="137"/>
      <c r="AYI45" s="137"/>
      <c r="AYJ45" s="137"/>
      <c r="AYK45" s="137"/>
      <c r="AYL45" s="137"/>
      <c r="AYM45" s="137"/>
      <c r="AYN45" s="137"/>
      <c r="AYO45" s="137"/>
      <c r="AYP45" s="137"/>
      <c r="AYQ45" s="137"/>
      <c r="AYR45" s="137"/>
      <c r="AYS45" s="137"/>
      <c r="AYT45" s="137"/>
      <c r="AYU45" s="137"/>
      <c r="AYV45" s="137"/>
      <c r="AYW45" s="137"/>
      <c r="AYX45" s="137"/>
      <c r="AYY45" s="137"/>
      <c r="AYZ45" s="137"/>
      <c r="AZA45" s="137"/>
      <c r="AZB45" s="137"/>
      <c r="AZC45" s="137"/>
      <c r="AZD45" s="137"/>
      <c r="AZE45" s="137"/>
      <c r="AZF45" s="137"/>
      <c r="AZG45" s="137"/>
      <c r="AZH45" s="137"/>
      <c r="AZI45" s="137"/>
      <c r="AZJ45" s="137"/>
      <c r="AZK45" s="137"/>
      <c r="AZL45" s="137"/>
      <c r="AZM45" s="137"/>
      <c r="AZN45" s="137"/>
      <c r="AZO45" s="137"/>
      <c r="AZP45" s="137"/>
      <c r="AZQ45" s="137"/>
      <c r="AZR45" s="137"/>
      <c r="AZS45" s="137"/>
      <c r="AZT45" s="137"/>
      <c r="AZU45" s="137"/>
      <c r="AZV45" s="137"/>
      <c r="AZW45" s="137"/>
      <c r="AZX45" s="137"/>
      <c r="AZY45" s="137"/>
      <c r="AZZ45" s="137"/>
      <c r="BAA45" s="137"/>
      <c r="BAB45" s="137"/>
      <c r="BAC45" s="137"/>
      <c r="BAD45" s="137"/>
      <c r="BAE45" s="137"/>
      <c r="BAF45" s="137"/>
      <c r="BAG45" s="137"/>
      <c r="BAH45" s="137"/>
      <c r="BAI45" s="137"/>
      <c r="BAJ45" s="137"/>
      <c r="BAK45" s="137"/>
      <c r="BAL45" s="137"/>
      <c r="BAM45" s="137"/>
      <c r="BAN45" s="137"/>
      <c r="BAO45" s="137"/>
      <c r="BAP45" s="137"/>
      <c r="BAQ45" s="137"/>
      <c r="BAR45" s="137"/>
      <c r="BAS45" s="137"/>
      <c r="BAT45" s="137"/>
      <c r="BAU45" s="137"/>
      <c r="BAV45" s="137"/>
      <c r="BAW45" s="137"/>
      <c r="BAX45" s="137"/>
      <c r="BAY45" s="137"/>
      <c r="BAZ45" s="137"/>
      <c r="BBA45" s="137"/>
      <c r="BBB45" s="137"/>
      <c r="BBC45" s="137"/>
      <c r="BBD45" s="137"/>
      <c r="BBE45" s="137"/>
      <c r="BBF45" s="137"/>
      <c r="BBG45" s="137"/>
      <c r="BBH45" s="137"/>
      <c r="BBI45" s="137"/>
      <c r="BBJ45" s="137"/>
      <c r="BBK45" s="137"/>
      <c r="BBL45" s="137"/>
      <c r="BBM45" s="137"/>
      <c r="BBN45" s="137"/>
      <c r="BBO45" s="137"/>
      <c r="BBP45" s="137"/>
      <c r="BBQ45" s="137"/>
      <c r="BBR45" s="137"/>
      <c r="BBS45" s="137"/>
      <c r="BBT45" s="137"/>
      <c r="BBU45" s="137"/>
      <c r="BBV45" s="137"/>
      <c r="BBW45" s="137"/>
      <c r="BBX45" s="137"/>
      <c r="BBY45" s="137"/>
      <c r="BBZ45" s="137"/>
      <c r="BCA45" s="137"/>
      <c r="BCB45" s="137"/>
      <c r="BCC45" s="137"/>
      <c r="BCD45" s="137"/>
      <c r="BCE45" s="137"/>
      <c r="BCF45" s="137"/>
      <c r="BCG45" s="137"/>
      <c r="BCH45" s="137"/>
      <c r="BCI45" s="137"/>
      <c r="BCJ45" s="137"/>
      <c r="BCK45" s="137"/>
      <c r="BCL45" s="137"/>
      <c r="BCM45" s="137"/>
      <c r="BCN45" s="137"/>
      <c r="BCO45" s="137"/>
      <c r="BCP45" s="137"/>
      <c r="BCQ45" s="137"/>
      <c r="BCR45" s="137"/>
      <c r="BCS45" s="137"/>
      <c r="BCT45" s="137"/>
      <c r="BCU45" s="137"/>
      <c r="BCV45" s="137"/>
      <c r="BCW45" s="137"/>
      <c r="BCX45" s="137"/>
      <c r="BCY45" s="137"/>
      <c r="BCZ45" s="137"/>
      <c r="BDA45" s="137"/>
      <c r="BDB45" s="137"/>
      <c r="BDC45" s="137"/>
      <c r="BDD45" s="137"/>
      <c r="BDE45" s="137"/>
      <c r="BDF45" s="137"/>
      <c r="BDG45" s="137"/>
      <c r="BDH45" s="137"/>
      <c r="BDI45" s="137"/>
      <c r="BDJ45" s="137"/>
      <c r="BDK45" s="137"/>
      <c r="BDL45" s="137"/>
      <c r="BDM45" s="137"/>
      <c r="BDN45" s="137"/>
      <c r="BDO45" s="137"/>
      <c r="BDP45" s="137"/>
      <c r="BDQ45" s="137"/>
      <c r="BDR45" s="137"/>
      <c r="BDS45" s="137"/>
      <c r="BDT45" s="137"/>
      <c r="BDU45" s="137"/>
      <c r="BDV45" s="137"/>
      <c r="BDW45" s="137"/>
      <c r="BDX45" s="137"/>
      <c r="BDY45" s="137"/>
      <c r="BDZ45" s="137"/>
      <c r="BEA45" s="137"/>
      <c r="BEB45" s="137"/>
      <c r="BEC45" s="137"/>
      <c r="BED45" s="137"/>
      <c r="BEE45" s="137"/>
      <c r="BEF45" s="137"/>
      <c r="BEG45" s="137"/>
      <c r="BEH45" s="137"/>
      <c r="BEI45" s="137"/>
      <c r="BEJ45" s="137"/>
      <c r="BEK45" s="137"/>
      <c r="BEL45" s="137"/>
      <c r="BEM45" s="137"/>
      <c r="BEN45" s="137"/>
      <c r="BEO45" s="137"/>
      <c r="BEP45" s="137"/>
      <c r="BEQ45" s="137"/>
      <c r="BER45" s="137"/>
      <c r="BES45" s="137"/>
      <c r="BET45" s="137"/>
      <c r="BEU45" s="137"/>
      <c r="BEV45" s="137"/>
      <c r="BEW45" s="137"/>
      <c r="BEX45" s="137"/>
      <c r="BEY45" s="137"/>
      <c r="BEZ45" s="137"/>
      <c r="BFA45" s="137"/>
      <c r="BFB45" s="137"/>
      <c r="BFC45" s="137"/>
      <c r="BFD45" s="137"/>
      <c r="BFE45" s="137"/>
      <c r="BFF45" s="137"/>
      <c r="BFG45" s="137"/>
      <c r="BFH45" s="137"/>
      <c r="BFI45" s="137"/>
      <c r="BFJ45" s="137"/>
      <c r="BFK45" s="137"/>
      <c r="BFL45" s="137"/>
      <c r="BFM45" s="137"/>
      <c r="BFN45" s="137"/>
      <c r="BFO45" s="137"/>
      <c r="BFP45" s="137"/>
      <c r="BFQ45" s="137"/>
      <c r="BFR45" s="137"/>
      <c r="BFS45" s="137"/>
      <c r="BFT45" s="137"/>
      <c r="BFU45" s="137"/>
      <c r="BFV45" s="137"/>
      <c r="BFW45" s="137"/>
      <c r="BFX45" s="137"/>
      <c r="BFY45" s="137"/>
      <c r="BFZ45" s="137"/>
      <c r="BGA45" s="137"/>
      <c r="BGB45" s="137"/>
      <c r="BGC45" s="137"/>
      <c r="BGD45" s="137"/>
      <c r="BGE45" s="137"/>
      <c r="BGF45" s="137"/>
      <c r="BGG45" s="137"/>
      <c r="BGH45" s="137"/>
      <c r="BGI45" s="137"/>
      <c r="BGJ45" s="137"/>
      <c r="BGK45" s="137"/>
      <c r="BGL45" s="137"/>
      <c r="BGM45" s="137"/>
      <c r="BGN45" s="137"/>
      <c r="BGO45" s="137"/>
      <c r="BGP45" s="137"/>
      <c r="BGQ45" s="137"/>
      <c r="BGR45" s="137"/>
      <c r="BGS45" s="137"/>
      <c r="BGT45" s="137"/>
      <c r="BGU45" s="137"/>
      <c r="BGV45" s="137"/>
      <c r="BGW45" s="137"/>
      <c r="BGX45" s="137"/>
      <c r="BGY45" s="137"/>
      <c r="BGZ45" s="137"/>
      <c r="BHA45" s="137"/>
      <c r="BHB45" s="137"/>
      <c r="BHC45" s="137"/>
      <c r="BHD45" s="137"/>
      <c r="BHE45" s="137"/>
      <c r="BHF45" s="137"/>
      <c r="BHG45" s="137"/>
      <c r="BHH45" s="137"/>
      <c r="BHI45" s="137"/>
      <c r="BHJ45" s="137"/>
      <c r="BHK45" s="137"/>
      <c r="BHL45" s="137"/>
      <c r="BHM45" s="137"/>
      <c r="BHN45" s="137"/>
      <c r="BHO45" s="137"/>
      <c r="BHP45" s="137"/>
      <c r="BHQ45" s="137"/>
      <c r="BHR45" s="137"/>
      <c r="BHS45" s="137"/>
      <c r="BHT45" s="137"/>
      <c r="BHU45" s="137"/>
      <c r="BHV45" s="137"/>
      <c r="BHW45" s="137"/>
      <c r="BHX45" s="137"/>
      <c r="BHY45" s="137"/>
      <c r="BHZ45" s="137"/>
      <c r="BIA45" s="137"/>
      <c r="BIB45" s="137"/>
      <c r="BIC45" s="137"/>
      <c r="BID45" s="137"/>
      <c r="BIE45" s="137"/>
      <c r="BIF45" s="137"/>
      <c r="BIG45" s="137"/>
      <c r="BIH45" s="137"/>
      <c r="BII45" s="137"/>
      <c r="BIJ45" s="137"/>
      <c r="BIK45" s="137"/>
      <c r="BIL45" s="137"/>
      <c r="BIM45" s="137"/>
      <c r="BIN45" s="137"/>
      <c r="BIO45" s="137"/>
      <c r="BIP45" s="137"/>
      <c r="BIQ45" s="137"/>
      <c r="BIR45" s="137"/>
      <c r="BIS45" s="137"/>
      <c r="BIT45" s="137"/>
      <c r="BIU45" s="137"/>
      <c r="BIV45" s="137"/>
      <c r="BIW45" s="137"/>
      <c r="BIX45" s="137"/>
      <c r="BIY45" s="137"/>
      <c r="BIZ45" s="137"/>
      <c r="BJA45" s="137"/>
      <c r="BJB45" s="137"/>
      <c r="BJC45" s="137"/>
      <c r="BJD45" s="137"/>
      <c r="BJE45" s="137"/>
      <c r="BJF45" s="137"/>
      <c r="BJG45" s="137"/>
      <c r="BJH45" s="137"/>
      <c r="BJI45" s="137"/>
      <c r="BJJ45" s="137"/>
      <c r="BJK45" s="137"/>
      <c r="BJL45" s="137"/>
      <c r="BJM45" s="137"/>
      <c r="BJN45" s="137"/>
      <c r="BJO45" s="137"/>
      <c r="BJP45" s="137"/>
      <c r="BJQ45" s="137"/>
      <c r="BJR45" s="137"/>
      <c r="BJS45" s="137"/>
      <c r="BJT45" s="137"/>
      <c r="BJU45" s="137"/>
      <c r="BJV45" s="137"/>
      <c r="BJW45" s="137"/>
      <c r="BJX45" s="137"/>
      <c r="BJY45" s="137"/>
      <c r="BJZ45" s="137"/>
      <c r="BKA45" s="137"/>
      <c r="BKB45" s="137"/>
      <c r="BKC45" s="137"/>
      <c r="BKD45" s="137"/>
      <c r="BKE45" s="137"/>
      <c r="BKF45" s="137"/>
      <c r="BKG45" s="137"/>
      <c r="BKH45" s="137"/>
      <c r="BKI45" s="137"/>
      <c r="BKJ45" s="137"/>
      <c r="BKK45" s="137"/>
      <c r="BKL45" s="137"/>
      <c r="BKM45" s="137"/>
      <c r="BKN45" s="137"/>
      <c r="BKO45" s="137"/>
      <c r="BKP45" s="137"/>
      <c r="BKQ45" s="137"/>
      <c r="BKR45" s="137"/>
      <c r="BKS45" s="137"/>
      <c r="BKT45" s="137"/>
      <c r="BKU45" s="137"/>
      <c r="BKV45" s="137"/>
      <c r="BKW45" s="137"/>
      <c r="BKX45" s="137"/>
      <c r="BKY45" s="137"/>
      <c r="BKZ45" s="137"/>
      <c r="BLA45" s="137"/>
      <c r="BLB45" s="137"/>
      <c r="BLC45" s="137"/>
      <c r="BLD45" s="137"/>
      <c r="BLE45" s="137"/>
      <c r="BLF45" s="137"/>
      <c r="BLG45" s="137"/>
      <c r="BLH45" s="137"/>
      <c r="BLI45" s="137"/>
      <c r="BLJ45" s="137"/>
      <c r="BLK45" s="137"/>
      <c r="BLL45" s="137"/>
      <c r="BLM45" s="137"/>
      <c r="BLN45" s="137"/>
      <c r="BLO45" s="137"/>
      <c r="BLP45" s="137"/>
      <c r="BLQ45" s="137"/>
      <c r="BLR45" s="137"/>
      <c r="BLS45" s="137"/>
      <c r="BLT45" s="137"/>
      <c r="BLU45" s="137"/>
      <c r="BLV45" s="137"/>
      <c r="BLW45" s="137"/>
      <c r="BLX45" s="137"/>
      <c r="BLY45" s="137"/>
      <c r="BLZ45" s="137"/>
      <c r="BMA45" s="137"/>
      <c r="BMB45" s="137"/>
      <c r="BMC45" s="137"/>
      <c r="BMD45" s="137"/>
      <c r="BME45" s="137"/>
      <c r="BMF45" s="137"/>
      <c r="BMG45" s="137"/>
      <c r="BMH45" s="137"/>
      <c r="BMI45" s="137"/>
      <c r="BMJ45" s="137"/>
      <c r="BMK45" s="137"/>
      <c r="BML45" s="137"/>
      <c r="BMM45" s="137"/>
      <c r="BMN45" s="137"/>
      <c r="BMO45" s="137"/>
      <c r="BMP45" s="137"/>
      <c r="BMQ45" s="137"/>
      <c r="BMR45" s="137"/>
      <c r="BMS45" s="137"/>
      <c r="BMT45" s="137"/>
      <c r="BMU45" s="137"/>
      <c r="BMV45" s="137"/>
      <c r="BMW45" s="137"/>
      <c r="BMX45" s="137"/>
      <c r="BMY45" s="137"/>
      <c r="BMZ45" s="137"/>
      <c r="BNA45" s="137"/>
      <c r="BNB45" s="137"/>
      <c r="BNC45" s="137"/>
      <c r="BND45" s="137"/>
      <c r="BNE45" s="137"/>
      <c r="BNF45" s="137"/>
      <c r="BNG45" s="137"/>
      <c r="BNH45" s="137"/>
      <c r="BNI45" s="137"/>
      <c r="BNJ45" s="137"/>
      <c r="BNK45" s="137"/>
      <c r="BNL45" s="137"/>
      <c r="BNM45" s="137"/>
      <c r="BNN45" s="137"/>
      <c r="BNO45" s="137"/>
      <c r="BNP45" s="137"/>
      <c r="BNQ45" s="137"/>
      <c r="BNR45" s="137"/>
      <c r="BNS45" s="137"/>
      <c r="BNT45" s="137"/>
      <c r="BNU45" s="137"/>
      <c r="BNV45" s="137"/>
      <c r="BNW45" s="137"/>
      <c r="BNX45" s="137"/>
      <c r="BNY45" s="137"/>
      <c r="BNZ45" s="137"/>
      <c r="BOA45" s="137"/>
      <c r="BOB45" s="137"/>
      <c r="BOC45" s="137"/>
      <c r="BOD45" s="137"/>
      <c r="BOE45" s="137"/>
      <c r="BOF45" s="137"/>
      <c r="BOG45" s="137"/>
      <c r="BOH45" s="137"/>
      <c r="BOI45" s="137"/>
      <c r="BOJ45" s="137"/>
      <c r="BOK45" s="137"/>
      <c r="BOL45" s="137"/>
      <c r="BOM45" s="137"/>
      <c r="BON45" s="137"/>
      <c r="BOO45" s="137"/>
      <c r="BOP45" s="137"/>
      <c r="BOQ45" s="137"/>
      <c r="BOR45" s="137"/>
      <c r="BOS45" s="137"/>
      <c r="BOT45" s="137"/>
      <c r="BOU45" s="137"/>
      <c r="BOV45" s="137"/>
      <c r="BOW45" s="137"/>
      <c r="BOX45" s="137"/>
      <c r="BOY45" s="137"/>
      <c r="BOZ45" s="137"/>
      <c r="BPA45" s="137"/>
      <c r="BPB45" s="137"/>
      <c r="BPC45" s="137"/>
      <c r="BPD45" s="137"/>
      <c r="BPE45" s="137"/>
      <c r="BPF45" s="137"/>
      <c r="BPG45" s="137"/>
      <c r="BPH45" s="137"/>
      <c r="BPI45" s="137"/>
      <c r="BPJ45" s="137"/>
      <c r="BPK45" s="137"/>
      <c r="BPL45" s="137"/>
      <c r="BPM45" s="137"/>
      <c r="BPN45" s="137"/>
      <c r="BPO45" s="137"/>
      <c r="BPP45" s="137"/>
      <c r="BPQ45" s="137"/>
      <c r="BPR45" s="137"/>
      <c r="BPS45" s="137"/>
      <c r="BPT45" s="137"/>
      <c r="BPU45" s="137"/>
      <c r="BPV45" s="137"/>
      <c r="BPW45" s="137"/>
      <c r="BPX45" s="137"/>
      <c r="BPY45" s="137"/>
      <c r="BPZ45" s="137"/>
      <c r="BQA45" s="137"/>
      <c r="BQB45" s="137"/>
      <c r="BQC45" s="137"/>
      <c r="BQD45" s="137"/>
      <c r="BQE45" s="137"/>
      <c r="BQF45" s="137"/>
      <c r="BQG45" s="137"/>
      <c r="BQH45" s="137"/>
      <c r="BQI45" s="137"/>
      <c r="BQJ45" s="137"/>
      <c r="BQK45" s="137"/>
      <c r="BQL45" s="137"/>
      <c r="BQM45" s="137"/>
      <c r="BQN45" s="137"/>
      <c r="BQO45" s="137"/>
      <c r="BQP45" s="137"/>
      <c r="BQQ45" s="137"/>
      <c r="BQR45" s="137"/>
      <c r="BQS45" s="137"/>
      <c r="BQT45" s="137"/>
      <c r="BQU45" s="137"/>
      <c r="BQV45" s="137"/>
      <c r="BQW45" s="137"/>
      <c r="BQX45" s="137"/>
      <c r="BQY45" s="137"/>
      <c r="BQZ45" s="137"/>
      <c r="BRA45" s="137"/>
      <c r="BRB45" s="137"/>
      <c r="BRC45" s="137"/>
      <c r="BRD45" s="137"/>
      <c r="BRE45" s="137"/>
      <c r="BRF45" s="137"/>
      <c r="BRG45" s="137"/>
      <c r="BRH45" s="137"/>
      <c r="BRI45" s="137"/>
      <c r="BRJ45" s="137"/>
      <c r="BRK45" s="137"/>
      <c r="BRL45" s="137"/>
      <c r="BRM45" s="137"/>
      <c r="BRN45" s="137"/>
      <c r="BRO45" s="137"/>
      <c r="BRP45" s="137"/>
      <c r="BRQ45" s="137"/>
      <c r="BRR45" s="137"/>
      <c r="BRS45" s="137"/>
      <c r="BRT45" s="137"/>
      <c r="BRU45" s="137"/>
      <c r="BRV45" s="137"/>
      <c r="BRW45" s="137"/>
      <c r="BRX45" s="137"/>
      <c r="BRY45" s="137"/>
      <c r="BRZ45" s="137"/>
      <c r="BSA45" s="137"/>
      <c r="BSB45" s="137"/>
      <c r="BSC45" s="137"/>
      <c r="BSD45" s="137"/>
      <c r="BSE45" s="137"/>
      <c r="BSF45" s="137"/>
      <c r="BSG45" s="137"/>
      <c r="BSH45" s="137"/>
      <c r="BSI45" s="137"/>
      <c r="BSJ45" s="137"/>
      <c r="BSK45" s="137"/>
      <c r="BSL45" s="137"/>
      <c r="BSM45" s="137"/>
      <c r="BSN45" s="137"/>
      <c r="BSO45" s="137"/>
      <c r="BSP45" s="137"/>
      <c r="BSQ45" s="137"/>
      <c r="BSR45" s="137"/>
      <c r="BSS45" s="137"/>
      <c r="BST45" s="137"/>
      <c r="BSU45" s="137"/>
      <c r="BSV45" s="137"/>
      <c r="BSW45" s="137"/>
      <c r="BSX45" s="137"/>
      <c r="BSY45" s="137"/>
      <c r="BSZ45" s="137"/>
      <c r="BTA45" s="137"/>
      <c r="BTB45" s="137"/>
      <c r="BTC45" s="137"/>
      <c r="BTD45" s="137"/>
      <c r="BTE45" s="137"/>
      <c r="BTF45" s="137"/>
      <c r="BTG45" s="137"/>
      <c r="BTH45" s="137"/>
      <c r="BTI45" s="137"/>
      <c r="BTJ45" s="137"/>
      <c r="BTK45" s="137"/>
      <c r="BTL45" s="137"/>
      <c r="BTM45" s="137"/>
      <c r="BTN45" s="137"/>
      <c r="BTO45" s="137"/>
      <c r="BTP45" s="137"/>
      <c r="BTQ45" s="137"/>
      <c r="BTR45" s="137"/>
      <c r="BTS45" s="137"/>
      <c r="BTT45" s="137"/>
      <c r="BTU45" s="137"/>
      <c r="BTV45" s="137"/>
      <c r="BTW45" s="137"/>
      <c r="BTX45" s="137"/>
      <c r="BTY45" s="137"/>
      <c r="BTZ45" s="137"/>
      <c r="BUA45" s="137"/>
      <c r="BUB45" s="137"/>
      <c r="BUC45" s="137"/>
      <c r="BUD45" s="137"/>
      <c r="BUE45" s="137"/>
      <c r="BUF45" s="137"/>
      <c r="BUG45" s="137"/>
      <c r="BUH45" s="137"/>
      <c r="BUI45" s="137"/>
      <c r="BUJ45" s="137"/>
      <c r="BUK45" s="137"/>
      <c r="BUL45" s="137"/>
      <c r="BUM45" s="137"/>
      <c r="BUN45" s="137"/>
      <c r="BUO45" s="137"/>
      <c r="BUP45" s="137"/>
      <c r="BUQ45" s="137"/>
      <c r="BUR45" s="137"/>
      <c r="BUS45" s="137"/>
      <c r="BUT45" s="137"/>
      <c r="BUU45" s="137"/>
      <c r="BUV45" s="137"/>
      <c r="BUW45" s="137"/>
      <c r="BUX45" s="137"/>
      <c r="BUY45" s="137"/>
      <c r="BUZ45" s="137"/>
      <c r="BVA45" s="137"/>
      <c r="BVB45" s="137"/>
      <c r="BVC45" s="137"/>
      <c r="BVD45" s="137"/>
      <c r="BVE45" s="137"/>
      <c r="BVF45" s="137"/>
      <c r="BVG45" s="137"/>
      <c r="BVH45" s="137"/>
      <c r="BVI45" s="137"/>
      <c r="BVJ45" s="137"/>
      <c r="BVK45" s="137"/>
      <c r="BVL45" s="137"/>
      <c r="BVM45" s="137"/>
      <c r="BVN45" s="137"/>
      <c r="BVO45" s="137"/>
      <c r="BVP45" s="137"/>
      <c r="BVQ45" s="137"/>
      <c r="BVR45" s="137"/>
      <c r="BVS45" s="137"/>
      <c r="BVT45" s="137"/>
      <c r="BVU45" s="137"/>
      <c r="BVV45" s="137"/>
      <c r="BVW45" s="137"/>
      <c r="BVX45" s="137"/>
      <c r="BVY45" s="137"/>
      <c r="BVZ45" s="137"/>
      <c r="BWA45" s="137"/>
      <c r="BWB45" s="137"/>
      <c r="BWC45" s="137"/>
      <c r="BWD45" s="137"/>
      <c r="BWE45" s="137"/>
      <c r="BWF45" s="137"/>
      <c r="BWG45" s="137"/>
      <c r="BWH45" s="137"/>
      <c r="BWI45" s="137"/>
      <c r="BWJ45" s="137"/>
      <c r="BWK45" s="137"/>
      <c r="BWL45" s="137"/>
      <c r="BWM45" s="137"/>
      <c r="BWN45" s="137"/>
      <c r="BWO45" s="137"/>
      <c r="BWP45" s="137"/>
      <c r="BWQ45" s="137"/>
      <c r="BWR45" s="137"/>
      <c r="BWS45" s="137"/>
      <c r="BWT45" s="137"/>
      <c r="BWU45" s="137"/>
      <c r="BWV45" s="137"/>
      <c r="BWW45" s="137"/>
      <c r="BWX45" s="137"/>
      <c r="BWY45" s="137"/>
      <c r="BWZ45" s="137"/>
      <c r="BXA45" s="137"/>
      <c r="BXB45" s="137"/>
      <c r="BXC45" s="137"/>
      <c r="BXD45" s="137"/>
      <c r="BXE45" s="137"/>
      <c r="BXF45" s="137"/>
      <c r="BXG45" s="137"/>
      <c r="BXH45" s="137"/>
      <c r="BXI45" s="137"/>
      <c r="BXJ45" s="137"/>
      <c r="BXK45" s="137"/>
      <c r="BXL45" s="137"/>
      <c r="BXM45" s="137"/>
      <c r="BXN45" s="137"/>
      <c r="BXO45" s="137"/>
      <c r="BXP45" s="137"/>
      <c r="BXQ45" s="137"/>
      <c r="BXR45" s="137"/>
      <c r="BXS45" s="137"/>
      <c r="BXT45" s="137"/>
      <c r="BXU45" s="137"/>
      <c r="BXV45" s="137"/>
      <c r="BXW45" s="137"/>
      <c r="BXX45" s="137"/>
      <c r="BXY45" s="137"/>
      <c r="BXZ45" s="137"/>
      <c r="BYA45" s="137"/>
      <c r="BYB45" s="137"/>
      <c r="BYC45" s="137"/>
      <c r="BYD45" s="137"/>
      <c r="BYE45" s="137"/>
      <c r="BYF45" s="137"/>
      <c r="BYG45" s="137"/>
      <c r="BYH45" s="137"/>
      <c r="BYI45" s="137"/>
      <c r="BYJ45" s="137"/>
      <c r="BYK45" s="137"/>
      <c r="BYL45" s="137"/>
      <c r="BYM45" s="137"/>
      <c r="BYN45" s="137"/>
      <c r="BYO45" s="137"/>
      <c r="BYP45" s="137"/>
      <c r="BYQ45" s="137"/>
      <c r="BYR45" s="137"/>
      <c r="BYS45" s="137"/>
      <c r="BYT45" s="137"/>
      <c r="BYU45" s="137"/>
      <c r="BYV45" s="137"/>
      <c r="BYW45" s="137"/>
      <c r="BYX45" s="137"/>
      <c r="BYY45" s="137"/>
      <c r="BYZ45" s="137"/>
      <c r="BZA45" s="137"/>
      <c r="BZB45" s="137"/>
      <c r="BZC45" s="137"/>
      <c r="BZD45" s="137"/>
      <c r="BZE45" s="137"/>
      <c r="BZF45" s="137"/>
      <c r="BZG45" s="137"/>
      <c r="BZH45" s="137"/>
      <c r="BZI45" s="137"/>
      <c r="BZJ45" s="137"/>
      <c r="BZK45" s="137"/>
      <c r="BZL45" s="137"/>
      <c r="BZM45" s="137"/>
      <c r="BZN45" s="137"/>
      <c r="BZO45" s="137"/>
      <c r="BZP45" s="137"/>
      <c r="BZQ45" s="137"/>
      <c r="BZR45" s="137"/>
      <c r="BZS45" s="137"/>
      <c r="BZT45" s="137"/>
      <c r="BZU45" s="137"/>
      <c r="BZV45" s="137"/>
      <c r="BZW45" s="137"/>
      <c r="BZX45" s="137"/>
      <c r="BZY45" s="137"/>
      <c r="BZZ45" s="137"/>
      <c r="CAA45" s="137"/>
      <c r="CAB45" s="137"/>
      <c r="CAC45" s="137"/>
      <c r="CAD45" s="137"/>
      <c r="CAE45" s="137"/>
      <c r="CAF45" s="137"/>
      <c r="CAG45" s="137"/>
      <c r="CAH45" s="137"/>
      <c r="CAI45" s="137"/>
      <c r="CAJ45" s="137"/>
      <c r="CAK45" s="137"/>
      <c r="CAL45" s="137"/>
      <c r="CAM45" s="137"/>
      <c r="CAN45" s="137"/>
      <c r="CAO45" s="137"/>
      <c r="CAP45" s="137"/>
      <c r="CAQ45" s="137"/>
      <c r="CAR45" s="137"/>
      <c r="CAS45" s="137"/>
      <c r="CAT45" s="137"/>
      <c r="CAU45" s="137"/>
      <c r="CAV45" s="137"/>
      <c r="CAW45" s="137"/>
      <c r="CAX45" s="137"/>
      <c r="CAY45" s="137"/>
      <c r="CAZ45" s="137"/>
      <c r="CBA45" s="137"/>
      <c r="CBB45" s="137"/>
      <c r="CBC45" s="137"/>
      <c r="CBD45" s="137"/>
      <c r="CBE45" s="137"/>
      <c r="CBF45" s="137"/>
      <c r="CBG45" s="137"/>
      <c r="CBH45" s="137"/>
      <c r="CBI45" s="137"/>
      <c r="CBJ45" s="137"/>
      <c r="CBK45" s="137"/>
      <c r="CBL45" s="137"/>
      <c r="CBM45" s="137"/>
      <c r="CBN45" s="137"/>
      <c r="CBO45" s="137"/>
      <c r="CBP45" s="137"/>
      <c r="CBQ45" s="137"/>
      <c r="CBR45" s="137"/>
      <c r="CBS45" s="137"/>
      <c r="CBT45" s="137"/>
      <c r="CBU45" s="137"/>
      <c r="CBV45" s="137"/>
      <c r="CBW45" s="137"/>
      <c r="CBX45" s="137"/>
      <c r="CBY45" s="137"/>
      <c r="CBZ45" s="137"/>
      <c r="CCA45" s="137"/>
      <c r="CCB45" s="137"/>
      <c r="CCC45" s="137"/>
      <c r="CCD45" s="137"/>
      <c r="CCE45" s="137"/>
      <c r="CCF45" s="137"/>
      <c r="CCG45" s="137"/>
      <c r="CCH45" s="137"/>
      <c r="CCI45" s="137"/>
      <c r="CCJ45" s="137"/>
      <c r="CCK45" s="137"/>
      <c r="CCL45" s="137"/>
      <c r="CCM45" s="137"/>
      <c r="CCN45" s="137"/>
      <c r="CCO45" s="137"/>
      <c r="CCP45" s="137"/>
      <c r="CCQ45" s="137"/>
      <c r="CCR45" s="137"/>
      <c r="CCS45" s="137"/>
      <c r="CCT45" s="137"/>
      <c r="CCU45" s="137"/>
      <c r="CCV45" s="137"/>
      <c r="CCW45" s="137"/>
      <c r="CCX45" s="137"/>
      <c r="CCY45" s="137"/>
      <c r="CCZ45" s="137"/>
      <c r="CDA45" s="137"/>
      <c r="CDB45" s="137"/>
      <c r="CDC45" s="137"/>
      <c r="CDD45" s="137"/>
      <c r="CDE45" s="137"/>
      <c r="CDF45" s="137"/>
      <c r="CDG45" s="137"/>
      <c r="CDH45" s="137"/>
      <c r="CDI45" s="137"/>
      <c r="CDJ45" s="137"/>
      <c r="CDK45" s="137"/>
      <c r="CDL45" s="137"/>
      <c r="CDM45" s="137"/>
      <c r="CDN45" s="137"/>
      <c r="CDO45" s="137"/>
      <c r="CDP45" s="137"/>
      <c r="CDQ45" s="137"/>
      <c r="CDR45" s="137"/>
      <c r="CDS45" s="137"/>
      <c r="CDT45" s="137"/>
      <c r="CDU45" s="137"/>
      <c r="CDV45" s="137"/>
      <c r="CDW45" s="137"/>
      <c r="CDX45" s="137"/>
      <c r="CDY45" s="137"/>
      <c r="CDZ45" s="137"/>
      <c r="CEA45" s="137"/>
      <c r="CEB45" s="137"/>
      <c r="CEC45" s="137"/>
      <c r="CED45" s="137"/>
      <c r="CEE45" s="137"/>
      <c r="CEF45" s="137"/>
      <c r="CEG45" s="137"/>
      <c r="CEH45" s="137"/>
      <c r="CEI45" s="137"/>
      <c r="CEJ45" s="137"/>
      <c r="CEK45" s="137"/>
      <c r="CEL45" s="137"/>
      <c r="CEM45" s="137"/>
      <c r="CEN45" s="137"/>
      <c r="CEO45" s="137"/>
      <c r="CEP45" s="137"/>
      <c r="CEQ45" s="137"/>
      <c r="CER45" s="137"/>
      <c r="CES45" s="137"/>
      <c r="CET45" s="137"/>
      <c r="CEU45" s="137"/>
      <c r="CEV45" s="137"/>
      <c r="CEW45" s="137"/>
      <c r="CEX45" s="137"/>
      <c r="CEY45" s="137"/>
      <c r="CEZ45" s="137"/>
      <c r="CFA45" s="137"/>
      <c r="CFB45" s="137"/>
      <c r="CFC45" s="137"/>
      <c r="CFD45" s="137"/>
      <c r="CFE45" s="137"/>
      <c r="CFF45" s="137"/>
      <c r="CFG45" s="137"/>
      <c r="CFH45" s="137"/>
      <c r="CFI45" s="137"/>
      <c r="CFJ45" s="137"/>
      <c r="CFK45" s="137"/>
      <c r="CFL45" s="137"/>
      <c r="CFM45" s="137"/>
      <c r="CFN45" s="137"/>
      <c r="CFO45" s="137"/>
      <c r="CFP45" s="137"/>
      <c r="CFQ45" s="137"/>
      <c r="CFR45" s="137"/>
      <c r="CFS45" s="137"/>
      <c r="CFT45" s="137"/>
      <c r="CFU45" s="137"/>
      <c r="CFV45" s="137"/>
      <c r="CFW45" s="137"/>
      <c r="CFX45" s="137"/>
      <c r="CFY45" s="137"/>
      <c r="CFZ45" s="137"/>
      <c r="CGA45" s="137"/>
      <c r="CGB45" s="137"/>
      <c r="CGC45" s="137"/>
      <c r="CGD45" s="137"/>
      <c r="CGE45" s="137"/>
      <c r="CGF45" s="137"/>
      <c r="CGG45" s="137"/>
      <c r="CGH45" s="137"/>
      <c r="CGI45" s="137"/>
      <c r="CGJ45" s="137"/>
      <c r="CGK45" s="137"/>
      <c r="CGL45" s="137"/>
      <c r="CGM45" s="137"/>
      <c r="CGN45" s="137"/>
      <c r="CGO45" s="137"/>
      <c r="CGP45" s="137"/>
      <c r="CGQ45" s="137"/>
      <c r="CGR45" s="137"/>
      <c r="CGS45" s="137"/>
      <c r="CGT45" s="137"/>
      <c r="CGU45" s="137"/>
      <c r="CGV45" s="137"/>
      <c r="CGW45" s="137"/>
      <c r="CGX45" s="137"/>
      <c r="CGY45" s="137"/>
      <c r="CGZ45" s="137"/>
      <c r="CHA45" s="137"/>
      <c r="CHB45" s="137"/>
      <c r="CHC45" s="137"/>
      <c r="CHD45" s="137"/>
      <c r="CHE45" s="137"/>
      <c r="CHF45" s="137"/>
      <c r="CHG45" s="137"/>
      <c r="CHH45" s="137"/>
      <c r="CHI45" s="137"/>
      <c r="CHJ45" s="137"/>
      <c r="CHK45" s="137"/>
      <c r="CHL45" s="137"/>
      <c r="CHM45" s="137"/>
      <c r="CHN45" s="137"/>
      <c r="CHO45" s="137"/>
      <c r="CHP45" s="137"/>
      <c r="CHQ45" s="137"/>
      <c r="CHR45" s="137"/>
      <c r="CHS45" s="137"/>
      <c r="CHT45" s="137"/>
      <c r="CHU45" s="137"/>
      <c r="CHV45" s="137"/>
      <c r="CHW45" s="137"/>
      <c r="CHX45" s="137"/>
      <c r="CHY45" s="137"/>
      <c r="CHZ45" s="137"/>
      <c r="CIA45" s="137"/>
      <c r="CIB45" s="137"/>
      <c r="CIC45" s="137"/>
      <c r="CID45" s="137"/>
      <c r="CIE45" s="137"/>
      <c r="CIF45" s="137"/>
      <c r="CIG45" s="137"/>
      <c r="CIH45" s="137"/>
      <c r="CII45" s="137"/>
      <c r="CIJ45" s="137"/>
      <c r="CIK45" s="137"/>
      <c r="CIL45" s="137"/>
      <c r="CIM45" s="137"/>
      <c r="CIN45" s="137"/>
      <c r="CIO45" s="137"/>
      <c r="CIP45" s="137"/>
      <c r="CIQ45" s="137"/>
      <c r="CIR45" s="137"/>
      <c r="CIS45" s="137"/>
      <c r="CIT45" s="137"/>
      <c r="CIU45" s="137"/>
      <c r="CIV45" s="137"/>
      <c r="CIW45" s="137"/>
      <c r="CIX45" s="137"/>
      <c r="CIY45" s="137"/>
      <c r="CIZ45" s="137"/>
      <c r="CJA45" s="137"/>
      <c r="CJB45" s="137"/>
      <c r="CJC45" s="137"/>
      <c r="CJD45" s="137"/>
      <c r="CJE45" s="137"/>
      <c r="CJF45" s="137"/>
      <c r="CJG45" s="137"/>
      <c r="CJH45" s="137"/>
      <c r="CJI45" s="137"/>
      <c r="CJJ45" s="137"/>
      <c r="CJK45" s="137"/>
      <c r="CJL45" s="137"/>
      <c r="CJM45" s="137"/>
      <c r="CJN45" s="137"/>
      <c r="CJO45" s="137"/>
      <c r="CJP45" s="137"/>
      <c r="CJQ45" s="137"/>
      <c r="CJR45" s="137"/>
      <c r="CJS45" s="137"/>
      <c r="CJT45" s="137"/>
      <c r="CJU45" s="137"/>
      <c r="CJV45" s="137"/>
      <c r="CJW45" s="137"/>
      <c r="CJX45" s="137"/>
      <c r="CJY45" s="137"/>
      <c r="CJZ45" s="137"/>
      <c r="CKA45" s="137"/>
      <c r="CKB45" s="137"/>
      <c r="CKC45" s="137"/>
      <c r="CKD45" s="137"/>
      <c r="CKE45" s="137"/>
      <c r="CKF45" s="137"/>
      <c r="CKG45" s="137"/>
      <c r="CKH45" s="137"/>
      <c r="CKI45" s="137"/>
      <c r="CKJ45" s="137"/>
      <c r="CKK45" s="137"/>
      <c r="CKL45" s="137"/>
      <c r="CKM45" s="137"/>
      <c r="CKN45" s="137"/>
      <c r="CKO45" s="137"/>
      <c r="CKP45" s="137"/>
      <c r="CKQ45" s="137"/>
      <c r="CKR45" s="137"/>
      <c r="CKS45" s="137"/>
      <c r="CKT45" s="137"/>
      <c r="CKU45" s="137"/>
      <c r="CKV45" s="137"/>
      <c r="CKW45" s="137"/>
      <c r="CKX45" s="137"/>
      <c r="CKY45" s="137"/>
      <c r="CKZ45" s="137"/>
      <c r="CLA45" s="137"/>
      <c r="CLB45" s="137"/>
      <c r="CLC45" s="137"/>
      <c r="CLD45" s="137"/>
      <c r="CLE45" s="137"/>
      <c r="CLF45" s="137"/>
      <c r="CLG45" s="137"/>
      <c r="CLH45" s="137"/>
      <c r="CLI45" s="137"/>
      <c r="CLJ45" s="137"/>
      <c r="CLK45" s="137"/>
      <c r="CLL45" s="137"/>
      <c r="CLM45" s="137"/>
      <c r="CLN45" s="137"/>
      <c r="CLO45" s="137"/>
      <c r="CLP45" s="137"/>
      <c r="CLQ45" s="137"/>
      <c r="CLR45" s="137"/>
      <c r="CLS45" s="137"/>
      <c r="CLT45" s="137"/>
      <c r="CLU45" s="137"/>
      <c r="CLV45" s="137"/>
      <c r="CLW45" s="137"/>
      <c r="CLX45" s="137"/>
      <c r="CLY45" s="137"/>
      <c r="CLZ45" s="137"/>
      <c r="CMA45" s="137"/>
      <c r="CMB45" s="137"/>
      <c r="CMC45" s="137"/>
      <c r="CMD45" s="137"/>
      <c r="CME45" s="137"/>
      <c r="CMF45" s="137"/>
      <c r="CMG45" s="137"/>
      <c r="CMH45" s="137"/>
      <c r="CMI45" s="137"/>
      <c r="CMJ45" s="137"/>
      <c r="CMK45" s="137"/>
      <c r="CML45" s="137"/>
      <c r="CMM45" s="137"/>
      <c r="CMN45" s="137"/>
      <c r="CMO45" s="137"/>
      <c r="CMP45" s="137"/>
      <c r="CMQ45" s="137"/>
      <c r="CMR45" s="137"/>
      <c r="CMS45" s="137"/>
      <c r="CMT45" s="137"/>
      <c r="CMU45" s="137"/>
      <c r="CMV45" s="137"/>
      <c r="CMW45" s="137"/>
      <c r="CMX45" s="137"/>
      <c r="CMY45" s="137"/>
      <c r="CMZ45" s="137"/>
      <c r="CNA45" s="137"/>
      <c r="CNB45" s="137"/>
      <c r="CNC45" s="137"/>
      <c r="CND45" s="137"/>
      <c r="CNE45" s="137"/>
      <c r="CNF45" s="137"/>
      <c r="CNG45" s="137"/>
      <c r="CNH45" s="137"/>
      <c r="CNI45" s="137"/>
      <c r="CNJ45" s="137"/>
      <c r="CNK45" s="137"/>
      <c r="CNL45" s="137"/>
      <c r="CNM45" s="137"/>
      <c r="CNN45" s="137"/>
      <c r="CNO45" s="137"/>
      <c r="CNP45" s="137"/>
      <c r="CNQ45" s="137"/>
      <c r="CNR45" s="137"/>
      <c r="CNS45" s="137"/>
      <c r="CNT45" s="137"/>
      <c r="CNU45" s="137"/>
      <c r="CNV45" s="137"/>
      <c r="CNW45" s="137"/>
      <c r="CNX45" s="137"/>
      <c r="CNY45" s="137"/>
      <c r="CNZ45" s="137"/>
      <c r="COA45" s="137"/>
      <c r="COB45" s="137"/>
      <c r="COC45" s="137"/>
      <c r="COD45" s="137"/>
      <c r="COE45" s="137"/>
      <c r="COF45" s="137"/>
      <c r="COG45" s="137"/>
      <c r="COH45" s="137"/>
      <c r="COI45" s="137"/>
      <c r="COJ45" s="137"/>
      <c r="COK45" s="137"/>
      <c r="COL45" s="137"/>
      <c r="COM45" s="137"/>
      <c r="CON45" s="137"/>
      <c r="COO45" s="137"/>
      <c r="COP45" s="137"/>
      <c r="COQ45" s="137"/>
      <c r="COR45" s="137"/>
      <c r="COS45" s="137"/>
      <c r="COT45" s="137"/>
      <c r="COU45" s="137"/>
      <c r="COV45" s="137"/>
      <c r="COW45" s="137"/>
      <c r="COX45" s="137"/>
      <c r="COY45" s="137"/>
      <c r="COZ45" s="137"/>
      <c r="CPA45" s="137"/>
      <c r="CPB45" s="137"/>
      <c r="CPC45" s="137"/>
      <c r="CPD45" s="137"/>
      <c r="CPE45" s="137"/>
      <c r="CPF45" s="137"/>
      <c r="CPG45" s="137"/>
      <c r="CPH45" s="137"/>
      <c r="CPI45" s="137"/>
      <c r="CPJ45" s="137"/>
      <c r="CPK45" s="137"/>
      <c r="CPL45" s="137"/>
      <c r="CPM45" s="137"/>
      <c r="CPN45" s="137"/>
      <c r="CPO45" s="137"/>
      <c r="CPP45" s="137"/>
      <c r="CPQ45" s="137"/>
      <c r="CPR45" s="137"/>
      <c r="CPS45" s="137"/>
      <c r="CPT45" s="137"/>
      <c r="CPU45" s="137"/>
      <c r="CPV45" s="137"/>
      <c r="CPW45" s="137"/>
      <c r="CPX45" s="137"/>
      <c r="CPY45" s="137"/>
      <c r="CPZ45" s="137"/>
      <c r="CQA45" s="137"/>
      <c r="CQB45" s="137"/>
      <c r="CQC45" s="137"/>
      <c r="CQD45" s="137"/>
      <c r="CQE45" s="137"/>
      <c r="CQF45" s="137"/>
      <c r="CQG45" s="137"/>
      <c r="CQH45" s="137"/>
      <c r="CQI45" s="137"/>
      <c r="CQJ45" s="137"/>
      <c r="CQK45" s="137"/>
      <c r="CQL45" s="137"/>
      <c r="CQM45" s="137"/>
      <c r="CQN45" s="137"/>
      <c r="CQO45" s="137"/>
      <c r="CQP45" s="137"/>
      <c r="CQQ45" s="137"/>
      <c r="CQR45" s="137"/>
      <c r="CQS45" s="137"/>
      <c r="CQT45" s="137"/>
      <c r="CQU45" s="137"/>
      <c r="CQV45" s="137"/>
      <c r="CQW45" s="137"/>
      <c r="CQX45" s="137"/>
      <c r="CQY45" s="137"/>
      <c r="CQZ45" s="137"/>
      <c r="CRA45" s="137"/>
      <c r="CRB45" s="137"/>
      <c r="CRC45" s="137"/>
      <c r="CRD45" s="137"/>
      <c r="CRE45" s="137"/>
      <c r="CRF45" s="137"/>
      <c r="CRG45" s="137"/>
      <c r="CRH45" s="137"/>
      <c r="CRI45" s="137"/>
      <c r="CRJ45" s="137"/>
      <c r="CRK45" s="137"/>
      <c r="CRL45" s="137"/>
      <c r="CRM45" s="137"/>
      <c r="CRN45" s="137"/>
      <c r="CRO45" s="137"/>
      <c r="CRP45" s="137"/>
      <c r="CRQ45" s="137"/>
      <c r="CRR45" s="137"/>
      <c r="CRS45" s="137"/>
      <c r="CRT45" s="137"/>
      <c r="CRU45" s="137"/>
      <c r="CRV45" s="137"/>
      <c r="CRW45" s="137"/>
      <c r="CRX45" s="137"/>
      <c r="CRY45" s="137"/>
      <c r="CRZ45" s="137"/>
      <c r="CSA45" s="137"/>
      <c r="CSB45" s="137"/>
      <c r="CSC45" s="137"/>
      <c r="CSD45" s="137"/>
      <c r="CSE45" s="137"/>
      <c r="CSF45" s="137"/>
      <c r="CSG45" s="137"/>
      <c r="CSH45" s="137"/>
      <c r="CSI45" s="137"/>
      <c r="CSJ45" s="137"/>
      <c r="CSK45" s="137"/>
      <c r="CSL45" s="137"/>
      <c r="CSM45" s="137"/>
      <c r="CSN45" s="137"/>
      <c r="CSO45" s="137"/>
      <c r="CSP45" s="137"/>
      <c r="CSQ45" s="137"/>
      <c r="CSR45" s="137"/>
      <c r="CSS45" s="137"/>
      <c r="CST45" s="137"/>
      <c r="CSU45" s="137"/>
      <c r="CSV45" s="137"/>
      <c r="CSW45" s="137"/>
      <c r="CSX45" s="137"/>
      <c r="CSY45" s="137"/>
      <c r="CSZ45" s="137"/>
      <c r="CTA45" s="137"/>
      <c r="CTB45" s="137"/>
      <c r="CTC45" s="137"/>
      <c r="CTD45" s="137"/>
      <c r="CTE45" s="137"/>
      <c r="CTF45" s="137"/>
      <c r="CTG45" s="137"/>
      <c r="CTH45" s="137"/>
      <c r="CTI45" s="137"/>
      <c r="CTJ45" s="137"/>
      <c r="CTK45" s="137"/>
      <c r="CTL45" s="137"/>
      <c r="CTM45" s="137"/>
      <c r="CTN45" s="137"/>
      <c r="CTO45" s="137"/>
      <c r="CTP45" s="137"/>
      <c r="CTQ45" s="137"/>
      <c r="CTR45" s="137"/>
      <c r="CTS45" s="137"/>
      <c r="CTT45" s="137"/>
      <c r="CTU45" s="137"/>
      <c r="CTV45" s="137"/>
      <c r="CTW45" s="137"/>
      <c r="CTX45" s="137"/>
      <c r="CTY45" s="137"/>
      <c r="CTZ45" s="137"/>
      <c r="CUA45" s="137"/>
      <c r="CUB45" s="137"/>
      <c r="CUC45" s="137"/>
      <c r="CUD45" s="137"/>
      <c r="CUE45" s="137"/>
      <c r="CUF45" s="137"/>
      <c r="CUG45" s="137"/>
      <c r="CUH45" s="137"/>
      <c r="CUI45" s="137"/>
      <c r="CUJ45" s="137"/>
      <c r="CUK45" s="137"/>
      <c r="CUL45" s="137"/>
      <c r="CUM45" s="137"/>
      <c r="CUN45" s="137"/>
      <c r="CUO45" s="137"/>
      <c r="CUP45" s="137"/>
      <c r="CUQ45" s="137"/>
      <c r="CUR45" s="137"/>
      <c r="CUS45" s="137"/>
      <c r="CUT45" s="137"/>
      <c r="CUU45" s="137"/>
      <c r="CUV45" s="137"/>
      <c r="CUW45" s="137"/>
      <c r="CUX45" s="137"/>
      <c r="CUY45" s="137"/>
      <c r="CUZ45" s="137"/>
      <c r="CVA45" s="137"/>
      <c r="CVB45" s="137"/>
      <c r="CVC45" s="137"/>
      <c r="CVD45" s="137"/>
      <c r="CVE45" s="137"/>
      <c r="CVF45" s="137"/>
      <c r="CVG45" s="137"/>
      <c r="CVH45" s="137"/>
      <c r="CVI45" s="137"/>
      <c r="CVJ45" s="137"/>
      <c r="CVK45" s="137"/>
      <c r="CVL45" s="137"/>
      <c r="CVM45" s="137"/>
      <c r="CVN45" s="137"/>
      <c r="CVO45" s="137"/>
      <c r="CVP45" s="137"/>
      <c r="CVQ45" s="137"/>
      <c r="CVR45" s="137"/>
      <c r="CVS45" s="137"/>
      <c r="CVT45" s="137"/>
      <c r="CVU45" s="137"/>
      <c r="CVV45" s="137"/>
      <c r="CVW45" s="137"/>
      <c r="CVX45" s="137"/>
      <c r="CVY45" s="137"/>
      <c r="CVZ45" s="137"/>
      <c r="CWA45" s="137"/>
      <c r="CWB45" s="137"/>
      <c r="CWC45" s="137"/>
      <c r="CWD45" s="137"/>
      <c r="CWE45" s="137"/>
      <c r="CWF45" s="137"/>
      <c r="CWG45" s="137"/>
      <c r="CWH45" s="137"/>
      <c r="CWI45" s="137"/>
      <c r="CWJ45" s="137"/>
      <c r="CWK45" s="137"/>
      <c r="CWL45" s="137"/>
      <c r="CWM45" s="137"/>
      <c r="CWN45" s="137"/>
      <c r="CWO45" s="137"/>
      <c r="CWP45" s="137"/>
      <c r="CWQ45" s="137"/>
      <c r="CWR45" s="137"/>
      <c r="CWS45" s="137"/>
      <c r="CWT45" s="137"/>
      <c r="CWU45" s="137"/>
      <c r="CWV45" s="137"/>
      <c r="CWW45" s="137"/>
      <c r="CWX45" s="137"/>
      <c r="CWY45" s="137"/>
      <c r="CWZ45" s="137"/>
      <c r="CXA45" s="137"/>
      <c r="CXB45" s="137"/>
      <c r="CXC45" s="137"/>
      <c r="CXD45" s="137"/>
      <c r="CXE45" s="137"/>
      <c r="CXF45" s="137"/>
      <c r="CXG45" s="137"/>
      <c r="CXH45" s="137"/>
      <c r="CXI45" s="137"/>
      <c r="CXJ45" s="137"/>
      <c r="CXK45" s="137"/>
      <c r="CXL45" s="137"/>
      <c r="CXM45" s="137"/>
      <c r="CXN45" s="137"/>
      <c r="CXO45" s="137"/>
      <c r="CXP45" s="137"/>
      <c r="CXQ45" s="137"/>
      <c r="CXR45" s="137"/>
      <c r="CXS45" s="137"/>
      <c r="CXT45" s="137"/>
      <c r="CXU45" s="137"/>
      <c r="CXV45" s="137"/>
      <c r="CXW45" s="137"/>
      <c r="CXX45" s="137"/>
      <c r="CXY45" s="137"/>
      <c r="CXZ45" s="137"/>
      <c r="CYA45" s="137"/>
      <c r="CYB45" s="137"/>
      <c r="CYC45" s="137"/>
      <c r="CYD45" s="137"/>
      <c r="CYE45" s="137"/>
      <c r="CYF45" s="137"/>
      <c r="CYG45" s="137"/>
      <c r="CYH45" s="137"/>
      <c r="CYI45" s="137"/>
      <c r="CYJ45" s="137"/>
      <c r="CYK45" s="137"/>
      <c r="CYL45" s="137"/>
      <c r="CYM45" s="137"/>
      <c r="CYN45" s="137"/>
      <c r="CYO45" s="137"/>
      <c r="CYP45" s="137"/>
      <c r="CYQ45" s="137"/>
      <c r="CYR45" s="137"/>
      <c r="CYS45" s="137"/>
      <c r="CYT45" s="137"/>
      <c r="CYU45" s="137"/>
      <c r="CYV45" s="137"/>
      <c r="CYW45" s="137"/>
      <c r="CYX45" s="137"/>
      <c r="CYY45" s="137"/>
      <c r="CYZ45" s="137"/>
      <c r="CZA45" s="137"/>
      <c r="CZB45" s="137"/>
      <c r="CZC45" s="137"/>
      <c r="CZD45" s="137"/>
      <c r="CZE45" s="137"/>
      <c r="CZF45" s="137"/>
      <c r="CZG45" s="137"/>
      <c r="CZH45" s="137"/>
      <c r="CZI45" s="137"/>
      <c r="CZJ45" s="137"/>
      <c r="CZK45" s="137"/>
      <c r="CZL45" s="137"/>
      <c r="CZM45" s="137"/>
      <c r="CZN45" s="137"/>
      <c r="CZO45" s="137"/>
      <c r="CZP45" s="137"/>
      <c r="CZQ45" s="137"/>
      <c r="CZR45" s="137"/>
      <c r="CZS45" s="137"/>
      <c r="CZT45" s="137"/>
      <c r="CZU45" s="137"/>
      <c r="CZV45" s="137"/>
      <c r="CZW45" s="137"/>
      <c r="CZX45" s="137"/>
      <c r="CZY45" s="137"/>
      <c r="CZZ45" s="137"/>
      <c r="DAA45" s="137"/>
      <c r="DAB45" s="137"/>
      <c r="DAC45" s="137"/>
      <c r="DAD45" s="137"/>
      <c r="DAE45" s="137"/>
      <c r="DAF45" s="137"/>
      <c r="DAG45" s="137"/>
      <c r="DAH45" s="137"/>
      <c r="DAI45" s="137"/>
      <c r="DAJ45" s="137"/>
      <c r="DAK45" s="137"/>
      <c r="DAL45" s="137"/>
      <c r="DAM45" s="137"/>
      <c r="DAN45" s="137"/>
      <c r="DAO45" s="137"/>
      <c r="DAP45" s="137"/>
      <c r="DAQ45" s="137"/>
      <c r="DAR45" s="137"/>
      <c r="DAS45" s="137"/>
      <c r="DAT45" s="137"/>
      <c r="DAU45" s="137"/>
      <c r="DAV45" s="137"/>
      <c r="DAW45" s="137"/>
      <c r="DAX45" s="137"/>
      <c r="DAY45" s="137"/>
      <c r="DAZ45" s="137"/>
      <c r="DBA45" s="137"/>
      <c r="DBB45" s="137"/>
      <c r="DBC45" s="137"/>
      <c r="DBD45" s="137"/>
      <c r="DBE45" s="137"/>
      <c r="DBF45" s="137"/>
      <c r="DBG45" s="137"/>
      <c r="DBH45" s="137"/>
      <c r="DBI45" s="137"/>
      <c r="DBJ45" s="137"/>
      <c r="DBK45" s="137"/>
      <c r="DBL45" s="137"/>
      <c r="DBM45" s="137"/>
      <c r="DBN45" s="137"/>
      <c r="DBO45" s="137"/>
      <c r="DBP45" s="137"/>
      <c r="DBQ45" s="137"/>
      <c r="DBR45" s="137"/>
      <c r="DBS45" s="137"/>
      <c r="DBT45" s="137"/>
      <c r="DBU45" s="137"/>
      <c r="DBV45" s="137"/>
      <c r="DBW45" s="137"/>
      <c r="DBX45" s="137"/>
      <c r="DBY45" s="137"/>
      <c r="DBZ45" s="137"/>
      <c r="DCA45" s="137"/>
      <c r="DCB45" s="137"/>
      <c r="DCC45" s="137"/>
      <c r="DCD45" s="137"/>
      <c r="DCE45" s="137"/>
      <c r="DCF45" s="137"/>
      <c r="DCG45" s="137"/>
      <c r="DCH45" s="137"/>
      <c r="DCI45" s="137"/>
      <c r="DCJ45" s="137"/>
      <c r="DCK45" s="137"/>
      <c r="DCL45" s="137"/>
      <c r="DCM45" s="137"/>
      <c r="DCN45" s="137"/>
      <c r="DCO45" s="137"/>
      <c r="DCP45" s="137"/>
      <c r="DCQ45" s="137"/>
      <c r="DCR45" s="137"/>
      <c r="DCS45" s="137"/>
      <c r="DCT45" s="137"/>
      <c r="DCU45" s="137"/>
      <c r="DCV45" s="137"/>
      <c r="DCW45" s="137"/>
      <c r="DCX45" s="137"/>
      <c r="DCY45" s="137"/>
      <c r="DCZ45" s="137"/>
      <c r="DDA45" s="137"/>
      <c r="DDB45" s="137"/>
      <c r="DDC45" s="137"/>
      <c r="DDD45" s="137"/>
      <c r="DDE45" s="137"/>
      <c r="DDF45" s="137"/>
      <c r="DDG45" s="137"/>
      <c r="DDH45" s="137"/>
      <c r="DDI45" s="137"/>
      <c r="DDJ45" s="137"/>
      <c r="DDK45" s="137"/>
      <c r="DDL45" s="137"/>
      <c r="DDM45" s="137"/>
      <c r="DDN45" s="137"/>
      <c r="DDO45" s="137"/>
      <c r="DDP45" s="137"/>
      <c r="DDQ45" s="137"/>
      <c r="DDR45" s="137"/>
      <c r="DDS45" s="137"/>
      <c r="DDT45" s="137"/>
      <c r="DDU45" s="137"/>
      <c r="DDV45" s="137"/>
      <c r="DDW45" s="137"/>
      <c r="DDX45" s="137"/>
      <c r="DDY45" s="137"/>
      <c r="DDZ45" s="137"/>
      <c r="DEA45" s="137"/>
      <c r="DEB45" s="137"/>
      <c r="DEC45" s="137"/>
      <c r="DED45" s="137"/>
      <c r="DEE45" s="137"/>
      <c r="DEF45" s="137"/>
      <c r="DEG45" s="137"/>
      <c r="DEH45" s="137"/>
      <c r="DEI45" s="137"/>
      <c r="DEJ45" s="137"/>
      <c r="DEK45" s="137"/>
      <c r="DEL45" s="137"/>
      <c r="DEM45" s="137"/>
      <c r="DEN45" s="137"/>
      <c r="DEO45" s="137"/>
      <c r="DEP45" s="137"/>
      <c r="DEQ45" s="137"/>
      <c r="DER45" s="137"/>
      <c r="DES45" s="137"/>
      <c r="DET45" s="137"/>
      <c r="DEU45" s="137"/>
      <c r="DEV45" s="137"/>
      <c r="DEW45" s="137"/>
      <c r="DEX45" s="137"/>
      <c r="DEY45" s="137"/>
      <c r="DEZ45" s="137"/>
      <c r="DFA45" s="137"/>
      <c r="DFB45" s="137"/>
      <c r="DFC45" s="137"/>
      <c r="DFD45" s="137"/>
      <c r="DFE45" s="137"/>
      <c r="DFF45" s="137"/>
      <c r="DFG45" s="137"/>
      <c r="DFH45" s="137"/>
      <c r="DFI45" s="137"/>
      <c r="DFJ45" s="137"/>
      <c r="DFK45" s="137"/>
      <c r="DFL45" s="137"/>
      <c r="DFM45" s="137"/>
      <c r="DFN45" s="137"/>
      <c r="DFO45" s="137"/>
      <c r="DFP45" s="137"/>
      <c r="DFQ45" s="137"/>
      <c r="DFR45" s="137"/>
      <c r="DFS45" s="137"/>
      <c r="DFT45" s="137"/>
      <c r="DFU45" s="137"/>
      <c r="DFV45" s="137"/>
      <c r="DFW45" s="137"/>
      <c r="DFX45" s="137"/>
      <c r="DFY45" s="137"/>
      <c r="DFZ45" s="137"/>
      <c r="DGA45" s="137"/>
      <c r="DGB45" s="137"/>
      <c r="DGC45" s="137"/>
      <c r="DGD45" s="137"/>
      <c r="DGE45" s="137"/>
      <c r="DGF45" s="137"/>
      <c r="DGG45" s="137"/>
      <c r="DGH45" s="137"/>
      <c r="DGI45" s="137"/>
      <c r="DGJ45" s="137"/>
      <c r="DGK45" s="137"/>
      <c r="DGL45" s="137"/>
      <c r="DGM45" s="137"/>
      <c r="DGN45" s="137"/>
      <c r="DGO45" s="137"/>
      <c r="DGP45" s="137"/>
      <c r="DGQ45" s="137"/>
      <c r="DGR45" s="137"/>
      <c r="DGS45" s="137"/>
      <c r="DGT45" s="137"/>
      <c r="DGU45" s="137"/>
      <c r="DGV45" s="137"/>
      <c r="DGW45" s="137"/>
      <c r="DGX45" s="137"/>
      <c r="DGY45" s="137"/>
      <c r="DGZ45" s="137"/>
      <c r="DHA45" s="137"/>
      <c r="DHB45" s="137"/>
      <c r="DHC45" s="137"/>
      <c r="DHD45" s="137"/>
      <c r="DHE45" s="137"/>
      <c r="DHF45" s="137"/>
      <c r="DHG45" s="137"/>
      <c r="DHH45" s="137"/>
      <c r="DHI45" s="137"/>
      <c r="DHJ45" s="137"/>
      <c r="DHK45" s="137"/>
      <c r="DHL45" s="137"/>
      <c r="DHM45" s="137"/>
      <c r="DHN45" s="137"/>
      <c r="DHO45" s="137"/>
      <c r="DHP45" s="137"/>
      <c r="DHQ45" s="137"/>
      <c r="DHR45" s="137"/>
      <c r="DHS45" s="137"/>
      <c r="DHT45" s="137"/>
      <c r="DHU45" s="137"/>
      <c r="DHV45" s="137"/>
      <c r="DHW45" s="137"/>
      <c r="DHX45" s="137"/>
      <c r="DHY45" s="137"/>
      <c r="DHZ45" s="137"/>
      <c r="DIA45" s="137"/>
      <c r="DIB45" s="137"/>
      <c r="DIC45" s="137"/>
      <c r="DID45" s="137"/>
      <c r="DIE45" s="137"/>
      <c r="DIF45" s="137"/>
      <c r="DIG45" s="137"/>
      <c r="DIH45" s="137"/>
      <c r="DII45" s="137"/>
      <c r="DIJ45" s="137"/>
      <c r="DIK45" s="137"/>
      <c r="DIL45" s="137"/>
      <c r="DIM45" s="137"/>
      <c r="DIN45" s="137"/>
      <c r="DIO45" s="137"/>
      <c r="DIP45" s="137"/>
      <c r="DIQ45" s="137"/>
      <c r="DIR45" s="137"/>
      <c r="DIS45" s="137"/>
      <c r="DIT45" s="137"/>
      <c r="DIU45" s="137"/>
      <c r="DIV45" s="137"/>
      <c r="DIW45" s="137"/>
      <c r="DIX45" s="137"/>
      <c r="DIY45" s="137"/>
      <c r="DIZ45" s="137"/>
      <c r="DJA45" s="137"/>
      <c r="DJB45" s="137"/>
      <c r="DJC45" s="137"/>
      <c r="DJD45" s="137"/>
      <c r="DJE45" s="137"/>
      <c r="DJF45" s="137"/>
      <c r="DJG45" s="137"/>
      <c r="DJH45" s="137"/>
      <c r="DJI45" s="137"/>
      <c r="DJJ45" s="137"/>
      <c r="DJK45" s="137"/>
      <c r="DJL45" s="137"/>
      <c r="DJM45" s="137"/>
      <c r="DJN45" s="137"/>
      <c r="DJO45" s="137"/>
      <c r="DJP45" s="137"/>
      <c r="DJQ45" s="137"/>
      <c r="DJR45" s="137"/>
      <c r="DJS45" s="137"/>
      <c r="DJT45" s="137"/>
      <c r="DJU45" s="137"/>
      <c r="DJV45" s="137"/>
      <c r="DJW45" s="137"/>
      <c r="DJX45" s="137"/>
      <c r="DJY45" s="137"/>
      <c r="DJZ45" s="137"/>
      <c r="DKA45" s="137"/>
      <c r="DKB45" s="137"/>
      <c r="DKC45" s="137"/>
      <c r="DKD45" s="137"/>
      <c r="DKE45" s="137"/>
      <c r="DKF45" s="137"/>
      <c r="DKG45" s="137"/>
      <c r="DKH45" s="137"/>
      <c r="DKI45" s="137"/>
      <c r="DKJ45" s="137"/>
      <c r="DKK45" s="137"/>
      <c r="DKL45" s="137"/>
      <c r="DKM45" s="137"/>
      <c r="DKN45" s="137"/>
      <c r="DKO45" s="137"/>
      <c r="DKP45" s="137"/>
      <c r="DKQ45" s="137"/>
      <c r="DKR45" s="137"/>
      <c r="DKS45" s="137"/>
      <c r="DKT45" s="137"/>
      <c r="DKU45" s="137"/>
      <c r="DKV45" s="137"/>
      <c r="DKW45" s="137"/>
      <c r="DKX45" s="137"/>
      <c r="DKY45" s="137"/>
      <c r="DKZ45" s="137"/>
      <c r="DLA45" s="137"/>
      <c r="DLB45" s="137"/>
      <c r="DLC45" s="137"/>
      <c r="DLD45" s="137"/>
      <c r="DLE45" s="137"/>
      <c r="DLF45" s="137"/>
      <c r="DLG45" s="137"/>
      <c r="DLH45" s="137"/>
      <c r="DLI45" s="137"/>
      <c r="DLJ45" s="137"/>
      <c r="DLK45" s="137"/>
      <c r="DLL45" s="137"/>
      <c r="DLM45" s="137"/>
      <c r="DLN45" s="137"/>
      <c r="DLO45" s="137"/>
      <c r="DLP45" s="137"/>
      <c r="DLQ45" s="137"/>
      <c r="DLR45" s="137"/>
      <c r="DLS45" s="137"/>
      <c r="DLT45" s="137"/>
      <c r="DLU45" s="137"/>
      <c r="DLV45" s="137"/>
      <c r="DLW45" s="137"/>
      <c r="DLX45" s="137"/>
      <c r="DLY45" s="137"/>
      <c r="DLZ45" s="137"/>
      <c r="DMA45" s="137"/>
      <c r="DMB45" s="137"/>
      <c r="DMC45" s="137"/>
      <c r="DMD45" s="137"/>
      <c r="DME45" s="137"/>
      <c r="DMF45" s="137"/>
      <c r="DMG45" s="137"/>
      <c r="DMH45" s="137"/>
      <c r="DMI45" s="137"/>
      <c r="DMJ45" s="137"/>
      <c r="DMK45" s="137"/>
      <c r="DML45" s="137"/>
      <c r="DMM45" s="137"/>
      <c r="DMN45" s="137"/>
      <c r="DMO45" s="137"/>
      <c r="DMP45" s="137"/>
      <c r="DMQ45" s="137"/>
      <c r="DMR45" s="137"/>
      <c r="DMS45" s="137"/>
      <c r="DMT45" s="137"/>
      <c r="DMU45" s="137"/>
      <c r="DMV45" s="137"/>
      <c r="DMW45" s="137"/>
      <c r="DMX45" s="137"/>
      <c r="DMY45" s="137"/>
      <c r="DMZ45" s="137"/>
      <c r="DNA45" s="137"/>
      <c r="DNB45" s="137"/>
      <c r="DNC45" s="137"/>
      <c r="DND45" s="137"/>
      <c r="DNE45" s="137"/>
      <c r="DNF45" s="137"/>
      <c r="DNG45" s="137"/>
      <c r="DNH45" s="137"/>
      <c r="DNI45" s="137"/>
      <c r="DNJ45" s="137"/>
      <c r="DNK45" s="137"/>
      <c r="DNL45" s="137"/>
      <c r="DNM45" s="137"/>
      <c r="DNN45" s="137"/>
      <c r="DNO45" s="137"/>
      <c r="DNP45" s="137"/>
      <c r="DNQ45" s="137"/>
      <c r="DNR45" s="137"/>
      <c r="DNS45" s="137"/>
      <c r="DNT45" s="137"/>
      <c r="DNU45" s="137"/>
      <c r="DNV45" s="137"/>
      <c r="DNW45" s="137"/>
      <c r="DNX45" s="137"/>
      <c r="DNY45" s="137"/>
      <c r="DNZ45" s="137"/>
      <c r="DOA45" s="137"/>
      <c r="DOB45" s="137"/>
      <c r="DOC45" s="137"/>
      <c r="DOD45" s="137"/>
      <c r="DOE45" s="137"/>
      <c r="DOF45" s="137"/>
      <c r="DOG45" s="137"/>
      <c r="DOH45" s="137"/>
      <c r="DOI45" s="137"/>
      <c r="DOJ45" s="137"/>
      <c r="DOK45" s="137"/>
      <c r="DOL45" s="137"/>
      <c r="DOM45" s="137"/>
      <c r="DON45" s="137"/>
      <c r="DOO45" s="137"/>
      <c r="DOP45" s="137"/>
      <c r="DOQ45" s="137"/>
      <c r="DOR45" s="137"/>
      <c r="DOS45" s="137"/>
      <c r="DOT45" s="137"/>
      <c r="DOU45" s="137"/>
      <c r="DOV45" s="137"/>
      <c r="DOW45" s="137"/>
      <c r="DOX45" s="137"/>
      <c r="DOY45" s="137"/>
      <c r="DOZ45" s="137"/>
      <c r="DPA45" s="137"/>
      <c r="DPB45" s="137"/>
      <c r="DPC45" s="137"/>
      <c r="DPD45" s="137"/>
      <c r="DPE45" s="137"/>
      <c r="DPF45" s="137"/>
      <c r="DPG45" s="137"/>
      <c r="DPH45" s="137"/>
      <c r="DPI45" s="137"/>
      <c r="DPJ45" s="137"/>
      <c r="DPK45" s="137"/>
      <c r="DPL45" s="137"/>
      <c r="DPM45" s="137"/>
      <c r="DPN45" s="137"/>
      <c r="DPO45" s="137"/>
      <c r="DPP45" s="137"/>
      <c r="DPQ45" s="137"/>
      <c r="DPR45" s="137"/>
      <c r="DPS45" s="137"/>
      <c r="DPT45" s="137"/>
      <c r="DPU45" s="137"/>
      <c r="DPV45" s="137"/>
      <c r="DPW45" s="137"/>
      <c r="DPX45" s="137"/>
      <c r="DPY45" s="137"/>
      <c r="DPZ45" s="137"/>
      <c r="DQA45" s="137"/>
      <c r="DQB45" s="137"/>
      <c r="DQC45" s="137"/>
      <c r="DQD45" s="137"/>
      <c r="DQE45" s="137"/>
      <c r="DQF45" s="137"/>
      <c r="DQG45" s="137"/>
      <c r="DQH45" s="137"/>
      <c r="DQI45" s="137"/>
      <c r="DQJ45" s="137"/>
      <c r="DQK45" s="137"/>
      <c r="DQL45" s="137"/>
      <c r="DQM45" s="137"/>
      <c r="DQN45" s="137"/>
      <c r="DQO45" s="137"/>
      <c r="DQP45" s="137"/>
      <c r="DQQ45" s="137"/>
      <c r="DQR45" s="137"/>
      <c r="DQS45" s="137"/>
      <c r="DQT45" s="137"/>
      <c r="DQU45" s="137"/>
      <c r="DQV45" s="137"/>
      <c r="DQW45" s="137"/>
      <c r="DQX45" s="137"/>
      <c r="DQY45" s="137"/>
      <c r="DQZ45" s="137"/>
      <c r="DRA45" s="137"/>
      <c r="DRB45" s="137"/>
      <c r="DRC45" s="137"/>
      <c r="DRD45" s="137"/>
      <c r="DRE45" s="137"/>
      <c r="DRF45" s="137"/>
      <c r="DRG45" s="137"/>
      <c r="DRH45" s="137"/>
      <c r="DRI45" s="137"/>
      <c r="DRJ45" s="137"/>
      <c r="DRK45" s="137"/>
      <c r="DRL45" s="137"/>
      <c r="DRM45" s="137"/>
      <c r="DRN45" s="137"/>
      <c r="DRO45" s="137"/>
      <c r="DRP45" s="137"/>
      <c r="DRQ45" s="137"/>
      <c r="DRR45" s="137"/>
      <c r="DRS45" s="137"/>
      <c r="DRT45" s="137"/>
      <c r="DRU45" s="137"/>
      <c r="DRV45" s="137"/>
      <c r="DRW45" s="137"/>
      <c r="DRX45" s="137"/>
      <c r="DRY45" s="137"/>
      <c r="DRZ45" s="137"/>
      <c r="DSA45" s="137"/>
      <c r="DSB45" s="137"/>
      <c r="DSC45" s="137"/>
      <c r="DSD45" s="137"/>
      <c r="DSE45" s="137"/>
      <c r="DSF45" s="137"/>
      <c r="DSG45" s="137"/>
      <c r="DSH45" s="137"/>
      <c r="DSI45" s="137"/>
      <c r="DSJ45" s="137"/>
      <c r="DSK45" s="137"/>
      <c r="DSL45" s="137"/>
      <c r="DSM45" s="137"/>
      <c r="DSN45" s="137"/>
      <c r="DSO45" s="137"/>
      <c r="DSP45" s="137"/>
      <c r="DSQ45" s="137"/>
      <c r="DSR45" s="137"/>
      <c r="DSS45" s="137"/>
      <c r="DST45" s="137"/>
      <c r="DSU45" s="137"/>
      <c r="DSV45" s="137"/>
      <c r="DSW45" s="137"/>
      <c r="DSX45" s="137"/>
      <c r="DSY45" s="137"/>
      <c r="DSZ45" s="137"/>
      <c r="DTA45" s="137"/>
      <c r="DTB45" s="137"/>
      <c r="DTC45" s="137"/>
      <c r="DTD45" s="137"/>
      <c r="DTE45" s="137"/>
      <c r="DTF45" s="137"/>
      <c r="DTG45" s="137"/>
      <c r="DTH45" s="137"/>
      <c r="DTI45" s="137"/>
      <c r="DTJ45" s="137"/>
      <c r="DTK45" s="137"/>
      <c r="DTL45" s="137"/>
      <c r="DTM45" s="137"/>
      <c r="DTN45" s="137"/>
      <c r="DTO45" s="137"/>
      <c r="DTP45" s="137"/>
      <c r="DTQ45" s="137"/>
      <c r="DTR45" s="137"/>
      <c r="DTS45" s="137"/>
      <c r="DTT45" s="137"/>
      <c r="DTU45" s="137"/>
      <c r="DTV45" s="137"/>
      <c r="DTW45" s="137"/>
      <c r="DTX45" s="137"/>
      <c r="DTY45" s="137"/>
      <c r="DTZ45" s="137"/>
      <c r="DUA45" s="137"/>
      <c r="DUB45" s="137"/>
      <c r="DUC45" s="137"/>
      <c r="DUD45" s="137"/>
      <c r="DUE45" s="137"/>
      <c r="DUF45" s="137"/>
      <c r="DUG45" s="137"/>
      <c r="DUH45" s="137"/>
      <c r="DUI45" s="137"/>
      <c r="DUJ45" s="137"/>
      <c r="DUK45" s="137"/>
      <c r="DUL45" s="137"/>
      <c r="DUM45" s="137"/>
      <c r="DUN45" s="137"/>
      <c r="DUO45" s="137"/>
      <c r="DUP45" s="137"/>
      <c r="DUQ45" s="137"/>
      <c r="DUR45" s="137"/>
      <c r="DUS45" s="137"/>
      <c r="DUT45" s="137"/>
      <c r="DUU45" s="137"/>
      <c r="DUV45" s="137"/>
      <c r="DUW45" s="137"/>
      <c r="DUX45" s="137"/>
      <c r="DUY45" s="137"/>
      <c r="DUZ45" s="137"/>
      <c r="DVA45" s="137"/>
      <c r="DVB45" s="137"/>
      <c r="DVC45" s="137"/>
      <c r="DVD45" s="137"/>
      <c r="DVE45" s="137"/>
      <c r="DVF45" s="137"/>
      <c r="DVG45" s="137"/>
      <c r="DVH45" s="137"/>
      <c r="DVI45" s="137"/>
      <c r="DVJ45" s="137"/>
      <c r="DVK45" s="137"/>
      <c r="DVL45" s="137"/>
      <c r="DVM45" s="137"/>
      <c r="DVN45" s="137"/>
      <c r="DVO45" s="137"/>
      <c r="DVP45" s="137"/>
      <c r="DVQ45" s="137"/>
      <c r="DVR45" s="137"/>
      <c r="DVS45" s="137"/>
      <c r="DVT45" s="137"/>
      <c r="DVU45" s="137"/>
      <c r="DVV45" s="137"/>
      <c r="DVW45" s="137"/>
      <c r="DVX45" s="137"/>
      <c r="DVY45" s="137"/>
      <c r="DVZ45" s="137"/>
      <c r="DWA45" s="137"/>
      <c r="DWB45" s="137"/>
      <c r="DWC45" s="137"/>
      <c r="DWD45" s="137"/>
      <c r="DWE45" s="137"/>
      <c r="DWF45" s="137"/>
      <c r="DWG45" s="137"/>
      <c r="DWH45" s="137"/>
      <c r="DWI45" s="137"/>
      <c r="DWJ45" s="137"/>
      <c r="DWK45" s="137"/>
      <c r="DWL45" s="137"/>
      <c r="DWM45" s="137"/>
      <c r="DWN45" s="137"/>
      <c r="DWO45" s="137"/>
      <c r="DWP45" s="137"/>
      <c r="DWQ45" s="137"/>
      <c r="DWR45" s="137"/>
      <c r="DWS45" s="137"/>
      <c r="DWT45" s="137"/>
      <c r="DWU45" s="137"/>
      <c r="DWV45" s="137"/>
      <c r="DWW45" s="137"/>
      <c r="DWX45" s="137"/>
      <c r="DWY45" s="137"/>
      <c r="DWZ45" s="137"/>
      <c r="DXA45" s="137"/>
      <c r="DXB45" s="137"/>
      <c r="DXC45" s="137"/>
      <c r="DXD45" s="137"/>
      <c r="DXE45" s="137"/>
      <c r="DXF45" s="137"/>
      <c r="DXG45" s="137"/>
      <c r="DXH45" s="137"/>
      <c r="DXI45" s="137"/>
      <c r="DXJ45" s="137"/>
      <c r="DXK45" s="137"/>
      <c r="DXL45" s="137"/>
      <c r="DXM45" s="137"/>
      <c r="DXN45" s="137"/>
      <c r="DXO45" s="137"/>
      <c r="DXP45" s="137"/>
      <c r="DXQ45" s="137"/>
      <c r="DXR45" s="137"/>
      <c r="DXS45" s="137"/>
      <c r="DXT45" s="137"/>
      <c r="DXU45" s="137"/>
      <c r="DXV45" s="137"/>
      <c r="DXW45" s="137"/>
      <c r="DXX45" s="137"/>
      <c r="DXY45" s="137"/>
      <c r="DXZ45" s="137"/>
      <c r="DYA45" s="137"/>
      <c r="DYB45" s="137"/>
      <c r="DYC45" s="137"/>
      <c r="DYD45" s="137"/>
      <c r="DYE45" s="137"/>
      <c r="DYF45" s="137"/>
      <c r="DYG45" s="137"/>
      <c r="DYH45" s="137"/>
      <c r="DYI45" s="137"/>
      <c r="DYJ45" s="137"/>
      <c r="DYK45" s="137"/>
      <c r="DYL45" s="137"/>
      <c r="DYM45" s="137"/>
      <c r="DYN45" s="137"/>
      <c r="DYO45" s="137"/>
      <c r="DYP45" s="137"/>
      <c r="DYQ45" s="137"/>
      <c r="DYR45" s="137"/>
      <c r="DYS45" s="137"/>
      <c r="DYT45" s="137"/>
      <c r="DYU45" s="137"/>
      <c r="DYV45" s="137"/>
      <c r="DYW45" s="137"/>
      <c r="DYX45" s="137"/>
      <c r="DYY45" s="137"/>
      <c r="DYZ45" s="137"/>
      <c r="DZA45" s="137"/>
      <c r="DZB45" s="137"/>
      <c r="DZC45" s="137"/>
      <c r="DZD45" s="137"/>
      <c r="DZE45" s="137"/>
      <c r="DZF45" s="137"/>
      <c r="DZG45" s="137"/>
      <c r="DZH45" s="137"/>
      <c r="DZI45" s="137"/>
      <c r="DZJ45" s="137"/>
      <c r="DZK45" s="137"/>
      <c r="DZL45" s="137"/>
      <c r="DZM45" s="137"/>
      <c r="DZN45" s="137"/>
      <c r="DZO45" s="137"/>
      <c r="DZP45" s="137"/>
      <c r="DZQ45" s="137"/>
      <c r="DZR45" s="137"/>
      <c r="DZS45" s="137"/>
      <c r="DZT45" s="137"/>
      <c r="DZU45" s="137"/>
      <c r="DZV45" s="137"/>
      <c r="DZW45" s="137"/>
      <c r="DZX45" s="137"/>
      <c r="DZY45" s="137"/>
      <c r="DZZ45" s="137"/>
      <c r="EAA45" s="137"/>
      <c r="EAB45" s="137"/>
      <c r="EAC45" s="137"/>
      <c r="EAD45" s="137"/>
      <c r="EAE45" s="137"/>
      <c r="EAF45" s="137"/>
      <c r="EAG45" s="137"/>
      <c r="EAH45" s="137"/>
      <c r="EAI45" s="137"/>
      <c r="EAJ45" s="137"/>
      <c r="EAK45" s="137"/>
      <c r="EAL45" s="137"/>
      <c r="EAM45" s="137"/>
      <c r="EAN45" s="137"/>
      <c r="EAO45" s="137"/>
      <c r="EAP45" s="137"/>
      <c r="EAQ45" s="137"/>
      <c r="EAR45" s="137"/>
      <c r="EAS45" s="137"/>
      <c r="EAT45" s="137"/>
      <c r="EAU45" s="137"/>
      <c r="EAV45" s="137"/>
      <c r="EAW45" s="137"/>
      <c r="EAX45" s="137"/>
      <c r="EAY45" s="137"/>
      <c r="EAZ45" s="137"/>
      <c r="EBA45" s="137"/>
      <c r="EBB45" s="137"/>
      <c r="EBC45" s="137"/>
      <c r="EBD45" s="137"/>
      <c r="EBE45" s="137"/>
      <c r="EBF45" s="137"/>
      <c r="EBG45" s="137"/>
      <c r="EBH45" s="137"/>
      <c r="EBI45" s="137"/>
      <c r="EBJ45" s="137"/>
      <c r="EBK45" s="137"/>
      <c r="EBL45" s="137"/>
      <c r="EBM45" s="137"/>
      <c r="EBN45" s="137"/>
      <c r="EBO45" s="137"/>
      <c r="EBP45" s="137"/>
      <c r="EBQ45" s="137"/>
      <c r="EBR45" s="137"/>
      <c r="EBS45" s="137"/>
      <c r="EBT45" s="137"/>
      <c r="EBU45" s="137"/>
      <c r="EBV45" s="137"/>
      <c r="EBW45" s="137"/>
      <c r="EBX45" s="137"/>
      <c r="EBY45" s="137"/>
      <c r="EBZ45" s="137"/>
      <c r="ECA45" s="137"/>
      <c r="ECB45" s="137"/>
      <c r="ECC45" s="137"/>
      <c r="ECD45" s="137"/>
      <c r="ECE45" s="137"/>
      <c r="ECF45" s="137"/>
      <c r="ECG45" s="137"/>
      <c r="ECH45" s="137"/>
      <c r="ECI45" s="137"/>
      <c r="ECJ45" s="137"/>
      <c r="ECK45" s="137"/>
      <c r="ECL45" s="137"/>
      <c r="ECM45" s="137"/>
      <c r="ECN45" s="137"/>
      <c r="ECO45" s="137"/>
      <c r="ECP45" s="137"/>
      <c r="ECQ45" s="137"/>
      <c r="ECR45" s="137"/>
      <c r="ECS45" s="137"/>
      <c r="ECT45" s="137"/>
      <c r="ECU45" s="137"/>
      <c r="ECV45" s="137"/>
      <c r="ECW45" s="137"/>
      <c r="ECX45" s="137"/>
      <c r="ECY45" s="137"/>
      <c r="ECZ45" s="137"/>
      <c r="EDA45" s="137"/>
      <c r="EDB45" s="137"/>
      <c r="EDC45" s="137"/>
      <c r="EDD45" s="137"/>
      <c r="EDE45" s="137"/>
      <c r="EDF45" s="137"/>
      <c r="EDG45" s="137"/>
      <c r="EDH45" s="137"/>
      <c r="EDI45" s="137"/>
      <c r="EDJ45" s="137"/>
      <c r="EDK45" s="137"/>
      <c r="EDL45" s="137"/>
      <c r="EDM45" s="137"/>
      <c r="EDN45" s="137"/>
      <c r="EDO45" s="137"/>
      <c r="EDP45" s="137"/>
      <c r="EDQ45" s="137"/>
      <c r="EDR45" s="137"/>
      <c r="EDS45" s="137"/>
      <c r="EDT45" s="137"/>
      <c r="EDU45" s="137"/>
      <c r="EDV45" s="137"/>
      <c r="EDW45" s="137"/>
      <c r="EDX45" s="137"/>
      <c r="EDY45" s="137"/>
      <c r="EDZ45" s="137"/>
      <c r="EEA45" s="137"/>
      <c r="EEB45" s="137"/>
      <c r="EEC45" s="137"/>
      <c r="EED45" s="137"/>
      <c r="EEE45" s="137"/>
      <c r="EEF45" s="137"/>
      <c r="EEG45" s="137"/>
      <c r="EEH45" s="137"/>
      <c r="EEI45" s="137"/>
      <c r="EEJ45" s="137"/>
      <c r="EEK45" s="137"/>
      <c r="EEL45" s="137"/>
      <c r="EEM45" s="137"/>
      <c r="EEN45" s="137"/>
      <c r="EEO45" s="137"/>
      <c r="EEP45" s="137"/>
      <c r="EEQ45" s="137"/>
      <c r="EER45" s="137"/>
      <c r="EES45" s="137"/>
      <c r="EET45" s="137"/>
      <c r="EEU45" s="137"/>
      <c r="EEV45" s="137"/>
      <c r="EEW45" s="137"/>
      <c r="EEX45" s="137"/>
      <c r="EEY45" s="137"/>
      <c r="EEZ45" s="137"/>
      <c r="EFA45" s="137"/>
      <c r="EFB45" s="137"/>
      <c r="EFC45" s="137"/>
      <c r="EFD45" s="137"/>
      <c r="EFE45" s="137"/>
      <c r="EFF45" s="137"/>
      <c r="EFG45" s="137"/>
      <c r="EFH45" s="137"/>
      <c r="EFI45" s="137"/>
      <c r="EFJ45" s="137"/>
      <c r="EFK45" s="137"/>
      <c r="EFL45" s="137"/>
      <c r="EFM45" s="137"/>
      <c r="EFN45" s="137"/>
      <c r="EFO45" s="137"/>
      <c r="EFP45" s="137"/>
      <c r="EFQ45" s="137"/>
      <c r="EFR45" s="137"/>
      <c r="EFS45" s="137"/>
      <c r="EFT45" s="137"/>
      <c r="EFU45" s="137"/>
      <c r="EFV45" s="137"/>
      <c r="EFW45" s="137"/>
      <c r="EFX45" s="137"/>
      <c r="EFY45" s="137"/>
      <c r="EFZ45" s="137"/>
      <c r="EGA45" s="137"/>
      <c r="EGB45" s="137"/>
      <c r="EGC45" s="137"/>
      <c r="EGD45" s="137"/>
      <c r="EGE45" s="137"/>
      <c r="EGF45" s="137"/>
      <c r="EGG45" s="137"/>
      <c r="EGH45" s="137"/>
      <c r="EGI45" s="137"/>
      <c r="EGJ45" s="137"/>
      <c r="EGK45" s="137"/>
      <c r="EGL45" s="137"/>
      <c r="EGM45" s="137"/>
      <c r="EGN45" s="137"/>
      <c r="EGO45" s="137"/>
      <c r="EGP45" s="137"/>
      <c r="EGQ45" s="137"/>
      <c r="EGR45" s="137"/>
      <c r="EGS45" s="137"/>
      <c r="EGT45" s="137"/>
      <c r="EGU45" s="137"/>
      <c r="EGV45" s="137"/>
      <c r="EGW45" s="137"/>
      <c r="EGX45" s="137"/>
      <c r="EGY45" s="137"/>
      <c r="EGZ45" s="137"/>
      <c r="EHA45" s="137"/>
      <c r="EHB45" s="137"/>
      <c r="EHC45" s="137"/>
      <c r="EHD45" s="137"/>
      <c r="EHE45" s="137"/>
      <c r="EHF45" s="137"/>
      <c r="EHG45" s="137"/>
      <c r="EHH45" s="137"/>
      <c r="EHI45" s="137"/>
      <c r="EHJ45" s="137"/>
      <c r="EHK45" s="137"/>
      <c r="EHL45" s="137"/>
      <c r="EHM45" s="137"/>
      <c r="EHN45" s="137"/>
      <c r="EHO45" s="137"/>
      <c r="EHP45" s="137"/>
      <c r="EHQ45" s="137"/>
      <c r="EHR45" s="137"/>
      <c r="EHS45" s="137"/>
      <c r="EHT45" s="137"/>
      <c r="EHU45" s="137"/>
      <c r="EHV45" s="137"/>
      <c r="EHW45" s="137"/>
      <c r="EHX45" s="137"/>
      <c r="EHY45" s="137"/>
      <c r="EHZ45" s="137"/>
      <c r="EIA45" s="137"/>
      <c r="EIB45" s="137"/>
      <c r="EIC45" s="137"/>
      <c r="EID45" s="137"/>
      <c r="EIE45" s="137"/>
      <c r="EIF45" s="137"/>
      <c r="EIG45" s="137"/>
      <c r="EIH45" s="137"/>
      <c r="EII45" s="137"/>
      <c r="EIJ45" s="137"/>
      <c r="EIK45" s="137"/>
      <c r="EIL45" s="137"/>
      <c r="EIM45" s="137"/>
      <c r="EIN45" s="137"/>
      <c r="EIO45" s="137"/>
      <c r="EIP45" s="137"/>
      <c r="EIQ45" s="137"/>
      <c r="EIR45" s="137"/>
      <c r="EIS45" s="137"/>
      <c r="EIT45" s="137"/>
      <c r="EIU45" s="137"/>
      <c r="EIV45" s="137"/>
      <c r="EIW45" s="137"/>
      <c r="EIX45" s="137"/>
      <c r="EIY45" s="137"/>
      <c r="EIZ45" s="137"/>
      <c r="EJA45" s="137"/>
      <c r="EJB45" s="137"/>
      <c r="EJC45" s="137"/>
      <c r="EJD45" s="137"/>
      <c r="EJE45" s="137"/>
      <c r="EJF45" s="137"/>
      <c r="EJG45" s="137"/>
      <c r="EJH45" s="137"/>
      <c r="EJI45" s="137"/>
      <c r="EJJ45" s="137"/>
      <c r="EJK45" s="137"/>
      <c r="EJL45" s="137"/>
      <c r="EJM45" s="137"/>
      <c r="EJN45" s="137"/>
      <c r="EJO45" s="137"/>
      <c r="EJP45" s="137"/>
      <c r="EJQ45" s="137"/>
      <c r="EJR45" s="137"/>
      <c r="EJS45" s="137"/>
      <c r="EJT45" s="137"/>
      <c r="EJU45" s="137"/>
      <c r="EJV45" s="137"/>
      <c r="EJW45" s="137"/>
      <c r="EJX45" s="137"/>
      <c r="EJY45" s="137"/>
      <c r="EJZ45" s="137"/>
      <c r="EKA45" s="137"/>
      <c r="EKB45" s="137"/>
      <c r="EKC45" s="137"/>
      <c r="EKD45" s="137"/>
      <c r="EKE45" s="137"/>
      <c r="EKF45" s="137"/>
      <c r="EKG45" s="137"/>
      <c r="EKH45" s="137"/>
      <c r="EKI45" s="137"/>
      <c r="EKJ45" s="137"/>
      <c r="EKK45" s="137"/>
      <c r="EKL45" s="137"/>
      <c r="EKM45" s="137"/>
      <c r="EKN45" s="137"/>
      <c r="EKO45" s="137"/>
      <c r="EKP45" s="137"/>
      <c r="EKQ45" s="137"/>
      <c r="EKR45" s="137"/>
      <c r="EKS45" s="137"/>
      <c r="EKT45" s="137"/>
      <c r="EKU45" s="137"/>
      <c r="EKV45" s="137"/>
      <c r="EKW45" s="137"/>
      <c r="EKX45" s="137"/>
      <c r="EKY45" s="137"/>
      <c r="EKZ45" s="137"/>
      <c r="ELA45" s="137"/>
      <c r="ELB45" s="137"/>
      <c r="ELC45" s="137"/>
      <c r="ELD45" s="137"/>
      <c r="ELE45" s="137"/>
      <c r="ELF45" s="137"/>
      <c r="ELG45" s="137"/>
      <c r="ELH45" s="137"/>
      <c r="ELI45" s="137"/>
      <c r="ELJ45" s="137"/>
      <c r="ELK45" s="137"/>
      <c r="ELL45" s="137"/>
      <c r="ELM45" s="137"/>
      <c r="ELN45" s="137"/>
      <c r="ELO45" s="137"/>
      <c r="ELP45" s="137"/>
      <c r="ELQ45" s="137"/>
      <c r="ELR45" s="137"/>
      <c r="ELS45" s="137"/>
      <c r="ELT45" s="137"/>
      <c r="ELU45" s="137"/>
      <c r="ELV45" s="137"/>
      <c r="ELW45" s="137"/>
      <c r="ELX45" s="137"/>
      <c r="ELY45" s="137"/>
      <c r="ELZ45" s="137"/>
      <c r="EMA45" s="137"/>
      <c r="EMB45" s="137"/>
      <c r="EMC45" s="137"/>
      <c r="EMD45" s="137"/>
      <c r="EME45" s="137"/>
      <c r="EMF45" s="137"/>
      <c r="EMG45" s="137"/>
      <c r="EMH45" s="137"/>
      <c r="EMI45" s="137"/>
      <c r="EMJ45" s="137"/>
      <c r="EMK45" s="137"/>
      <c r="EML45" s="137"/>
      <c r="EMM45" s="137"/>
      <c r="EMN45" s="137"/>
      <c r="EMO45" s="137"/>
      <c r="EMP45" s="137"/>
      <c r="EMQ45" s="137"/>
      <c r="EMR45" s="137"/>
      <c r="EMS45" s="137"/>
      <c r="EMT45" s="137"/>
      <c r="EMU45" s="137"/>
      <c r="EMV45" s="137"/>
      <c r="EMW45" s="137"/>
      <c r="EMX45" s="137"/>
      <c r="EMY45" s="137"/>
      <c r="EMZ45" s="137"/>
      <c r="ENA45" s="137"/>
      <c r="ENB45" s="137"/>
      <c r="ENC45" s="137"/>
      <c r="END45" s="137"/>
      <c r="ENE45" s="137"/>
      <c r="ENF45" s="137"/>
      <c r="ENG45" s="137"/>
      <c r="ENH45" s="137"/>
      <c r="ENI45" s="137"/>
      <c r="ENJ45" s="137"/>
      <c r="ENK45" s="137"/>
      <c r="ENL45" s="137"/>
      <c r="ENM45" s="137"/>
      <c r="ENN45" s="137"/>
      <c r="ENO45" s="137"/>
      <c r="ENP45" s="137"/>
      <c r="ENQ45" s="137"/>
      <c r="ENR45" s="137"/>
      <c r="ENS45" s="137"/>
      <c r="ENT45" s="137"/>
      <c r="ENU45" s="137"/>
      <c r="ENV45" s="137"/>
      <c r="ENW45" s="137"/>
      <c r="ENX45" s="137"/>
      <c r="ENY45" s="137"/>
      <c r="ENZ45" s="137"/>
      <c r="EOA45" s="137"/>
      <c r="EOB45" s="137"/>
      <c r="EOC45" s="137"/>
      <c r="EOD45" s="137"/>
      <c r="EOE45" s="137"/>
      <c r="EOF45" s="137"/>
      <c r="EOG45" s="137"/>
      <c r="EOH45" s="137"/>
      <c r="EOI45" s="137"/>
      <c r="EOJ45" s="137"/>
      <c r="EOK45" s="137"/>
      <c r="EOL45" s="137"/>
      <c r="EOM45" s="137"/>
      <c r="EON45" s="137"/>
      <c r="EOO45" s="137"/>
      <c r="EOP45" s="137"/>
      <c r="EOQ45" s="137"/>
      <c r="EOR45" s="137"/>
      <c r="EOS45" s="137"/>
      <c r="EOT45" s="137"/>
      <c r="EOU45" s="137"/>
      <c r="EOV45" s="137"/>
      <c r="EOW45" s="137"/>
      <c r="EOX45" s="137"/>
      <c r="EOY45" s="137"/>
      <c r="EOZ45" s="137"/>
      <c r="EPA45" s="137"/>
      <c r="EPB45" s="137"/>
      <c r="EPC45" s="137"/>
      <c r="EPD45" s="137"/>
      <c r="EPE45" s="137"/>
      <c r="EPF45" s="137"/>
      <c r="EPG45" s="137"/>
      <c r="EPH45" s="137"/>
      <c r="EPI45" s="137"/>
      <c r="EPJ45" s="137"/>
      <c r="EPK45" s="137"/>
      <c r="EPL45" s="137"/>
      <c r="EPM45" s="137"/>
      <c r="EPN45" s="137"/>
      <c r="EPO45" s="137"/>
      <c r="EPP45" s="137"/>
      <c r="EPQ45" s="137"/>
      <c r="EPR45" s="137"/>
      <c r="EPS45" s="137"/>
      <c r="EPT45" s="137"/>
      <c r="EPU45" s="137"/>
      <c r="EPV45" s="137"/>
      <c r="EPW45" s="137"/>
      <c r="EPX45" s="137"/>
      <c r="EPY45" s="137"/>
      <c r="EPZ45" s="137"/>
      <c r="EQA45" s="137"/>
      <c r="EQB45" s="137"/>
      <c r="EQC45" s="137"/>
      <c r="EQD45" s="137"/>
      <c r="EQE45" s="137"/>
      <c r="EQF45" s="137"/>
      <c r="EQG45" s="137"/>
      <c r="EQH45" s="137"/>
      <c r="EQI45" s="137"/>
      <c r="EQJ45" s="137"/>
      <c r="EQK45" s="137"/>
      <c r="EQL45" s="137"/>
      <c r="EQM45" s="137"/>
      <c r="EQN45" s="137"/>
      <c r="EQO45" s="137"/>
      <c r="EQP45" s="137"/>
      <c r="EQQ45" s="137"/>
      <c r="EQR45" s="137"/>
      <c r="EQS45" s="137"/>
      <c r="EQT45" s="137"/>
      <c r="EQU45" s="137"/>
      <c r="EQV45" s="137"/>
      <c r="EQW45" s="137"/>
      <c r="EQX45" s="137"/>
      <c r="EQY45" s="137"/>
      <c r="EQZ45" s="137"/>
      <c r="ERA45" s="137"/>
      <c r="ERB45" s="137"/>
      <c r="ERC45" s="137"/>
      <c r="ERD45" s="137"/>
      <c r="ERE45" s="137"/>
      <c r="ERF45" s="137"/>
      <c r="ERG45" s="137"/>
      <c r="ERH45" s="137"/>
      <c r="ERI45" s="137"/>
      <c r="ERJ45" s="137"/>
      <c r="ERK45" s="137"/>
      <c r="ERL45" s="137"/>
      <c r="ERM45" s="137"/>
      <c r="ERN45" s="137"/>
      <c r="ERO45" s="137"/>
      <c r="ERP45" s="137"/>
      <c r="ERQ45" s="137"/>
      <c r="ERR45" s="137"/>
      <c r="ERS45" s="137"/>
      <c r="ERT45" s="137"/>
      <c r="ERU45" s="137"/>
      <c r="ERV45" s="137"/>
      <c r="ERW45" s="137"/>
      <c r="ERX45" s="137"/>
      <c r="ERY45" s="137"/>
      <c r="ERZ45" s="137"/>
      <c r="ESA45" s="137"/>
      <c r="ESB45" s="137"/>
      <c r="ESC45" s="137"/>
      <c r="ESD45" s="137"/>
      <c r="ESE45" s="137"/>
      <c r="ESF45" s="137"/>
      <c r="ESG45" s="137"/>
      <c r="ESH45" s="137"/>
      <c r="ESI45" s="137"/>
      <c r="ESJ45" s="137"/>
      <c r="ESK45" s="137"/>
      <c r="ESL45" s="137"/>
      <c r="ESM45" s="137"/>
      <c r="ESN45" s="137"/>
      <c r="ESO45" s="137"/>
      <c r="ESP45" s="137"/>
      <c r="ESQ45" s="137"/>
      <c r="ESR45" s="137"/>
      <c r="ESS45" s="137"/>
      <c r="EST45" s="137"/>
      <c r="ESU45" s="137"/>
      <c r="ESV45" s="137"/>
      <c r="ESW45" s="137"/>
      <c r="ESX45" s="137"/>
      <c r="ESY45" s="137"/>
      <c r="ESZ45" s="137"/>
      <c r="ETA45" s="137"/>
      <c r="ETB45" s="137"/>
      <c r="ETC45" s="137"/>
      <c r="ETD45" s="137"/>
      <c r="ETE45" s="137"/>
      <c r="ETF45" s="137"/>
      <c r="ETG45" s="137"/>
      <c r="ETH45" s="137"/>
      <c r="ETI45" s="137"/>
      <c r="ETJ45" s="137"/>
      <c r="ETK45" s="137"/>
      <c r="ETL45" s="137"/>
      <c r="ETM45" s="137"/>
      <c r="ETN45" s="137"/>
      <c r="ETO45" s="137"/>
      <c r="ETP45" s="137"/>
      <c r="ETQ45" s="137"/>
      <c r="ETR45" s="137"/>
      <c r="ETS45" s="137"/>
      <c r="ETT45" s="137"/>
      <c r="ETU45" s="137"/>
      <c r="ETV45" s="137"/>
      <c r="ETW45" s="137"/>
      <c r="ETX45" s="137"/>
      <c r="ETY45" s="137"/>
      <c r="ETZ45" s="137"/>
      <c r="EUA45" s="137"/>
      <c r="EUB45" s="137"/>
      <c r="EUC45" s="137"/>
      <c r="EUD45" s="137"/>
      <c r="EUE45" s="137"/>
      <c r="EUF45" s="137"/>
      <c r="EUG45" s="137"/>
      <c r="EUH45" s="137"/>
      <c r="EUI45" s="137"/>
      <c r="EUJ45" s="137"/>
      <c r="EUK45" s="137"/>
      <c r="EUL45" s="137"/>
      <c r="EUM45" s="137"/>
      <c r="EUN45" s="137"/>
      <c r="EUO45" s="137"/>
      <c r="EUP45" s="137"/>
      <c r="EUQ45" s="137"/>
      <c r="EUR45" s="137"/>
      <c r="EUS45" s="137"/>
      <c r="EUT45" s="137"/>
      <c r="EUU45" s="137"/>
      <c r="EUV45" s="137"/>
      <c r="EUW45" s="137"/>
      <c r="EUX45" s="137"/>
      <c r="EUY45" s="137"/>
      <c r="EUZ45" s="137"/>
      <c r="EVA45" s="137"/>
      <c r="EVB45" s="137"/>
      <c r="EVC45" s="137"/>
      <c r="EVD45" s="137"/>
      <c r="EVE45" s="137"/>
      <c r="EVF45" s="137"/>
      <c r="EVG45" s="137"/>
      <c r="EVH45" s="137"/>
      <c r="EVI45" s="137"/>
      <c r="EVJ45" s="137"/>
      <c r="EVK45" s="137"/>
      <c r="EVL45" s="137"/>
      <c r="EVM45" s="137"/>
      <c r="EVN45" s="137"/>
      <c r="EVO45" s="137"/>
      <c r="EVP45" s="137"/>
      <c r="EVQ45" s="137"/>
      <c r="EVR45" s="137"/>
      <c r="EVS45" s="137"/>
      <c r="EVT45" s="137"/>
      <c r="EVU45" s="137"/>
      <c r="EVV45" s="137"/>
      <c r="EVW45" s="137"/>
      <c r="EVX45" s="137"/>
      <c r="EVY45" s="137"/>
      <c r="EVZ45" s="137"/>
      <c r="EWA45" s="137"/>
      <c r="EWB45" s="137"/>
      <c r="EWC45" s="137"/>
      <c r="EWD45" s="137"/>
      <c r="EWE45" s="137"/>
      <c r="EWF45" s="137"/>
      <c r="EWG45" s="137"/>
      <c r="EWH45" s="137"/>
      <c r="EWI45" s="137"/>
      <c r="EWJ45" s="137"/>
      <c r="EWK45" s="137"/>
      <c r="EWL45" s="137"/>
      <c r="EWM45" s="137"/>
      <c r="EWN45" s="137"/>
      <c r="EWO45" s="137"/>
      <c r="EWP45" s="137"/>
      <c r="EWQ45" s="137"/>
      <c r="EWR45" s="137"/>
      <c r="EWS45" s="137"/>
      <c r="EWT45" s="137"/>
      <c r="EWU45" s="137"/>
      <c r="EWV45" s="137"/>
      <c r="EWW45" s="137"/>
      <c r="EWX45" s="137"/>
      <c r="EWY45" s="137"/>
      <c r="EWZ45" s="137"/>
      <c r="EXA45" s="137"/>
      <c r="EXB45" s="137"/>
      <c r="EXC45" s="137"/>
      <c r="EXD45" s="137"/>
      <c r="EXE45" s="137"/>
      <c r="EXF45" s="137"/>
      <c r="EXG45" s="137"/>
      <c r="EXH45" s="137"/>
      <c r="EXI45" s="137"/>
      <c r="EXJ45" s="137"/>
      <c r="EXK45" s="137"/>
      <c r="EXL45" s="137"/>
      <c r="EXM45" s="137"/>
      <c r="EXN45" s="137"/>
      <c r="EXO45" s="137"/>
      <c r="EXP45" s="137"/>
      <c r="EXQ45" s="137"/>
      <c r="EXR45" s="137"/>
      <c r="EXS45" s="137"/>
      <c r="EXT45" s="137"/>
      <c r="EXU45" s="137"/>
      <c r="EXV45" s="137"/>
      <c r="EXW45" s="137"/>
      <c r="EXX45" s="137"/>
      <c r="EXY45" s="137"/>
      <c r="EXZ45" s="137"/>
      <c r="EYA45" s="137"/>
      <c r="EYB45" s="137"/>
      <c r="EYC45" s="137"/>
      <c r="EYD45" s="137"/>
      <c r="EYE45" s="137"/>
      <c r="EYF45" s="137"/>
      <c r="EYG45" s="137"/>
      <c r="EYH45" s="137"/>
      <c r="EYI45" s="137"/>
      <c r="EYJ45" s="137"/>
      <c r="EYK45" s="137"/>
      <c r="EYL45" s="137"/>
      <c r="EYM45" s="137"/>
      <c r="EYN45" s="137"/>
      <c r="EYO45" s="137"/>
      <c r="EYP45" s="137"/>
      <c r="EYQ45" s="137"/>
      <c r="EYR45" s="137"/>
      <c r="EYS45" s="137"/>
      <c r="EYT45" s="137"/>
      <c r="EYU45" s="137"/>
      <c r="EYV45" s="137"/>
      <c r="EYW45" s="137"/>
      <c r="EYX45" s="137"/>
      <c r="EYY45" s="137"/>
      <c r="EYZ45" s="137"/>
      <c r="EZA45" s="137"/>
      <c r="EZB45" s="137"/>
      <c r="EZC45" s="137"/>
      <c r="EZD45" s="137"/>
      <c r="EZE45" s="137"/>
      <c r="EZF45" s="137"/>
      <c r="EZG45" s="137"/>
      <c r="EZH45" s="137"/>
      <c r="EZI45" s="137"/>
      <c r="EZJ45" s="137"/>
      <c r="EZK45" s="137"/>
      <c r="EZL45" s="137"/>
      <c r="EZM45" s="137"/>
      <c r="EZN45" s="137"/>
      <c r="EZO45" s="137"/>
      <c r="EZP45" s="137"/>
      <c r="EZQ45" s="137"/>
      <c r="EZR45" s="137"/>
      <c r="EZS45" s="137"/>
      <c r="EZT45" s="137"/>
      <c r="EZU45" s="137"/>
      <c r="EZV45" s="137"/>
      <c r="EZW45" s="137"/>
      <c r="EZX45" s="137"/>
      <c r="EZY45" s="137"/>
      <c r="EZZ45" s="137"/>
      <c r="FAA45" s="137"/>
      <c r="FAB45" s="137"/>
      <c r="FAC45" s="137"/>
      <c r="FAD45" s="137"/>
      <c r="FAE45" s="137"/>
      <c r="FAF45" s="137"/>
      <c r="FAG45" s="137"/>
      <c r="FAH45" s="137"/>
      <c r="FAI45" s="137"/>
      <c r="FAJ45" s="137"/>
      <c r="FAK45" s="137"/>
      <c r="FAL45" s="137"/>
      <c r="FAM45" s="137"/>
      <c r="FAN45" s="137"/>
      <c r="FAO45" s="137"/>
      <c r="FAP45" s="137"/>
      <c r="FAQ45" s="137"/>
      <c r="FAR45" s="137"/>
      <c r="FAS45" s="137"/>
      <c r="FAT45" s="137"/>
      <c r="FAU45" s="137"/>
      <c r="FAV45" s="137"/>
      <c r="FAW45" s="137"/>
      <c r="FAX45" s="137"/>
      <c r="FAY45" s="137"/>
      <c r="FAZ45" s="137"/>
      <c r="FBA45" s="137"/>
      <c r="FBB45" s="137"/>
      <c r="FBC45" s="137"/>
      <c r="FBD45" s="137"/>
      <c r="FBE45" s="137"/>
      <c r="FBF45" s="137"/>
      <c r="FBG45" s="137"/>
      <c r="FBH45" s="137"/>
      <c r="FBI45" s="137"/>
      <c r="FBJ45" s="137"/>
      <c r="FBK45" s="137"/>
      <c r="FBL45" s="137"/>
      <c r="FBM45" s="137"/>
      <c r="FBN45" s="137"/>
      <c r="FBO45" s="137"/>
      <c r="FBP45" s="137"/>
      <c r="FBQ45" s="137"/>
      <c r="FBR45" s="137"/>
      <c r="FBS45" s="137"/>
      <c r="FBT45" s="137"/>
      <c r="FBU45" s="137"/>
      <c r="FBV45" s="137"/>
      <c r="FBW45" s="137"/>
      <c r="FBX45" s="137"/>
      <c r="FBY45" s="137"/>
      <c r="FBZ45" s="137"/>
      <c r="FCA45" s="137"/>
      <c r="FCB45" s="137"/>
      <c r="FCC45" s="137"/>
      <c r="FCD45" s="137"/>
      <c r="FCE45" s="137"/>
      <c r="FCF45" s="137"/>
      <c r="FCG45" s="137"/>
      <c r="FCH45" s="137"/>
      <c r="FCI45" s="137"/>
      <c r="FCJ45" s="137"/>
      <c r="FCK45" s="137"/>
      <c r="FCL45" s="137"/>
      <c r="FCM45" s="137"/>
      <c r="FCN45" s="137"/>
      <c r="FCO45" s="137"/>
      <c r="FCP45" s="137"/>
      <c r="FCQ45" s="137"/>
      <c r="FCR45" s="137"/>
      <c r="FCS45" s="137"/>
      <c r="FCT45" s="137"/>
      <c r="FCU45" s="137"/>
      <c r="FCV45" s="137"/>
      <c r="FCW45" s="137"/>
      <c r="FCX45" s="137"/>
      <c r="FCY45" s="137"/>
      <c r="FCZ45" s="137"/>
      <c r="FDA45" s="137"/>
      <c r="FDB45" s="137"/>
      <c r="FDC45" s="137"/>
      <c r="FDD45" s="137"/>
      <c r="FDE45" s="137"/>
      <c r="FDF45" s="137"/>
      <c r="FDG45" s="137"/>
      <c r="FDH45" s="137"/>
      <c r="FDI45" s="137"/>
      <c r="FDJ45" s="137"/>
      <c r="FDK45" s="137"/>
      <c r="FDL45" s="137"/>
      <c r="FDM45" s="137"/>
      <c r="FDN45" s="137"/>
      <c r="FDO45" s="137"/>
      <c r="FDP45" s="137"/>
      <c r="FDQ45" s="137"/>
      <c r="FDR45" s="137"/>
      <c r="FDS45" s="137"/>
      <c r="FDT45" s="137"/>
      <c r="FDU45" s="137"/>
      <c r="FDV45" s="137"/>
      <c r="FDW45" s="137"/>
      <c r="FDX45" s="137"/>
      <c r="FDY45" s="137"/>
      <c r="FDZ45" s="137"/>
      <c r="FEA45" s="137"/>
      <c r="FEB45" s="137"/>
      <c r="FEC45" s="137"/>
      <c r="FED45" s="137"/>
      <c r="FEE45" s="137"/>
      <c r="FEF45" s="137"/>
      <c r="FEG45" s="137"/>
      <c r="FEH45" s="137"/>
      <c r="FEI45" s="137"/>
      <c r="FEJ45" s="137"/>
      <c r="FEK45" s="137"/>
      <c r="FEL45" s="137"/>
      <c r="FEM45" s="137"/>
      <c r="FEN45" s="137"/>
      <c r="FEO45" s="137"/>
      <c r="FEP45" s="137"/>
      <c r="FEQ45" s="137"/>
      <c r="FER45" s="137"/>
      <c r="FES45" s="137"/>
      <c r="FET45" s="137"/>
      <c r="FEU45" s="137"/>
      <c r="FEV45" s="137"/>
      <c r="FEW45" s="137"/>
      <c r="FEX45" s="137"/>
      <c r="FEY45" s="137"/>
      <c r="FEZ45" s="137"/>
      <c r="FFA45" s="137"/>
      <c r="FFB45" s="137"/>
      <c r="FFC45" s="137"/>
      <c r="FFD45" s="137"/>
      <c r="FFE45" s="137"/>
      <c r="FFF45" s="137"/>
      <c r="FFG45" s="137"/>
      <c r="FFH45" s="137"/>
      <c r="FFI45" s="137"/>
      <c r="FFJ45" s="137"/>
      <c r="FFK45" s="137"/>
      <c r="FFL45" s="137"/>
      <c r="FFM45" s="137"/>
      <c r="FFN45" s="137"/>
      <c r="FFO45" s="137"/>
      <c r="FFP45" s="137"/>
      <c r="FFQ45" s="137"/>
      <c r="FFR45" s="137"/>
      <c r="FFS45" s="137"/>
      <c r="FFT45" s="137"/>
      <c r="FFU45" s="137"/>
      <c r="FFV45" s="137"/>
      <c r="FFW45" s="137"/>
      <c r="FFX45" s="137"/>
      <c r="FFY45" s="137"/>
      <c r="FFZ45" s="137"/>
      <c r="FGA45" s="137"/>
      <c r="FGB45" s="137"/>
      <c r="FGC45" s="137"/>
      <c r="FGD45" s="137"/>
      <c r="FGE45" s="137"/>
      <c r="FGF45" s="137"/>
      <c r="FGG45" s="137"/>
      <c r="FGH45" s="137"/>
      <c r="FGI45" s="137"/>
      <c r="FGJ45" s="137"/>
      <c r="FGK45" s="137"/>
      <c r="FGL45" s="137"/>
      <c r="FGM45" s="137"/>
      <c r="FGN45" s="137"/>
      <c r="FGO45" s="137"/>
      <c r="FGP45" s="137"/>
      <c r="FGQ45" s="137"/>
      <c r="FGR45" s="137"/>
      <c r="FGS45" s="137"/>
      <c r="FGT45" s="137"/>
      <c r="FGU45" s="137"/>
      <c r="FGV45" s="137"/>
      <c r="FGW45" s="137"/>
      <c r="FGX45" s="137"/>
      <c r="FGY45" s="137"/>
      <c r="FGZ45" s="137"/>
      <c r="FHA45" s="137"/>
      <c r="FHB45" s="137"/>
      <c r="FHC45" s="137"/>
      <c r="FHD45" s="137"/>
      <c r="FHE45" s="137"/>
      <c r="FHF45" s="137"/>
      <c r="FHG45" s="137"/>
      <c r="FHH45" s="137"/>
      <c r="FHI45" s="137"/>
      <c r="FHJ45" s="137"/>
      <c r="FHK45" s="137"/>
      <c r="FHL45" s="137"/>
      <c r="FHM45" s="137"/>
      <c r="FHN45" s="137"/>
      <c r="FHO45" s="137"/>
      <c r="FHP45" s="137"/>
      <c r="FHQ45" s="137"/>
      <c r="FHR45" s="137"/>
      <c r="FHS45" s="137"/>
      <c r="FHT45" s="137"/>
      <c r="FHU45" s="137"/>
      <c r="FHV45" s="137"/>
      <c r="FHW45" s="137"/>
      <c r="FHX45" s="137"/>
      <c r="FHY45" s="137"/>
      <c r="FHZ45" s="137"/>
      <c r="FIA45" s="137"/>
      <c r="FIB45" s="137"/>
      <c r="FIC45" s="137"/>
      <c r="FID45" s="137"/>
      <c r="FIE45" s="137"/>
      <c r="FIF45" s="137"/>
      <c r="FIG45" s="137"/>
      <c r="FIH45" s="137"/>
      <c r="FII45" s="137"/>
      <c r="FIJ45" s="137"/>
      <c r="FIK45" s="137"/>
      <c r="FIL45" s="137"/>
      <c r="FIM45" s="137"/>
      <c r="FIN45" s="137"/>
      <c r="FIO45" s="137"/>
      <c r="FIP45" s="137"/>
      <c r="FIQ45" s="137"/>
      <c r="FIR45" s="137"/>
      <c r="FIS45" s="137"/>
      <c r="FIT45" s="137"/>
      <c r="FIU45" s="137"/>
      <c r="FIV45" s="137"/>
      <c r="FIW45" s="137"/>
      <c r="FIX45" s="137"/>
      <c r="FIY45" s="137"/>
      <c r="FIZ45" s="137"/>
      <c r="FJA45" s="137"/>
      <c r="FJB45" s="137"/>
      <c r="FJC45" s="137"/>
      <c r="FJD45" s="137"/>
      <c r="FJE45" s="137"/>
      <c r="FJF45" s="137"/>
      <c r="FJG45" s="137"/>
      <c r="FJH45" s="137"/>
      <c r="FJI45" s="137"/>
      <c r="FJJ45" s="137"/>
      <c r="FJK45" s="137"/>
      <c r="FJL45" s="137"/>
      <c r="FJM45" s="137"/>
      <c r="FJN45" s="137"/>
      <c r="FJO45" s="137"/>
      <c r="FJP45" s="137"/>
      <c r="FJQ45" s="137"/>
      <c r="FJR45" s="137"/>
      <c r="FJS45" s="137"/>
      <c r="FJT45" s="137"/>
      <c r="FJU45" s="137"/>
      <c r="FJV45" s="137"/>
      <c r="FJW45" s="137"/>
      <c r="FJX45" s="137"/>
      <c r="FJY45" s="137"/>
      <c r="FJZ45" s="137"/>
      <c r="FKA45" s="137"/>
      <c r="FKB45" s="137"/>
      <c r="FKC45" s="137"/>
      <c r="FKD45" s="137"/>
      <c r="FKE45" s="137"/>
      <c r="FKF45" s="137"/>
      <c r="FKG45" s="137"/>
      <c r="FKH45" s="137"/>
      <c r="FKI45" s="137"/>
      <c r="FKJ45" s="137"/>
      <c r="FKK45" s="137"/>
      <c r="FKL45" s="137"/>
      <c r="FKM45" s="137"/>
      <c r="FKN45" s="137"/>
      <c r="FKO45" s="137"/>
      <c r="FKP45" s="137"/>
      <c r="FKQ45" s="137"/>
      <c r="FKR45" s="137"/>
      <c r="FKS45" s="137"/>
      <c r="FKT45" s="137"/>
      <c r="FKU45" s="137"/>
      <c r="FKV45" s="137"/>
      <c r="FKW45" s="137"/>
      <c r="FKX45" s="137"/>
      <c r="FKY45" s="137"/>
      <c r="FKZ45" s="137"/>
      <c r="FLA45" s="137"/>
      <c r="FLB45" s="137"/>
      <c r="FLC45" s="137"/>
      <c r="FLD45" s="137"/>
      <c r="FLE45" s="137"/>
      <c r="FLF45" s="137"/>
      <c r="FLG45" s="137"/>
      <c r="FLH45" s="137"/>
      <c r="FLI45" s="137"/>
      <c r="FLJ45" s="137"/>
      <c r="FLK45" s="137"/>
      <c r="FLL45" s="137"/>
      <c r="FLM45" s="137"/>
      <c r="FLN45" s="137"/>
      <c r="FLO45" s="137"/>
      <c r="FLP45" s="137"/>
      <c r="FLQ45" s="137"/>
      <c r="FLR45" s="137"/>
      <c r="FLS45" s="137"/>
      <c r="FLT45" s="137"/>
      <c r="FLU45" s="137"/>
      <c r="FLV45" s="137"/>
      <c r="FLW45" s="137"/>
      <c r="FLX45" s="137"/>
      <c r="FLY45" s="137"/>
      <c r="FLZ45" s="137"/>
      <c r="FMA45" s="137"/>
      <c r="FMB45" s="137"/>
      <c r="FMC45" s="137"/>
      <c r="FMD45" s="137"/>
      <c r="FME45" s="137"/>
      <c r="FMF45" s="137"/>
      <c r="FMG45" s="137"/>
      <c r="FMH45" s="137"/>
      <c r="FMI45" s="137"/>
      <c r="FMJ45" s="137"/>
      <c r="FMK45" s="137"/>
      <c r="FML45" s="137"/>
      <c r="FMM45" s="137"/>
      <c r="FMN45" s="137"/>
      <c r="FMO45" s="137"/>
      <c r="FMP45" s="137"/>
      <c r="FMQ45" s="137"/>
      <c r="FMR45" s="137"/>
      <c r="FMS45" s="137"/>
      <c r="FMT45" s="137"/>
      <c r="FMU45" s="137"/>
      <c r="FMV45" s="137"/>
      <c r="FMW45" s="137"/>
      <c r="FMX45" s="137"/>
      <c r="FMY45" s="137"/>
      <c r="FMZ45" s="137"/>
      <c r="FNA45" s="137"/>
      <c r="FNB45" s="137"/>
      <c r="FNC45" s="137"/>
      <c r="FND45" s="137"/>
      <c r="FNE45" s="137"/>
      <c r="FNF45" s="137"/>
      <c r="FNG45" s="137"/>
      <c r="FNH45" s="137"/>
      <c r="FNI45" s="137"/>
      <c r="FNJ45" s="137"/>
      <c r="FNK45" s="137"/>
      <c r="FNL45" s="137"/>
      <c r="FNM45" s="137"/>
      <c r="FNN45" s="137"/>
      <c r="FNO45" s="137"/>
      <c r="FNP45" s="137"/>
      <c r="FNQ45" s="137"/>
      <c r="FNR45" s="137"/>
      <c r="FNS45" s="137"/>
      <c r="FNT45" s="137"/>
      <c r="FNU45" s="137"/>
      <c r="FNV45" s="137"/>
      <c r="FNW45" s="137"/>
      <c r="FNX45" s="137"/>
      <c r="FNY45" s="137"/>
      <c r="FNZ45" s="137"/>
      <c r="FOA45" s="137"/>
      <c r="FOB45" s="137"/>
      <c r="FOC45" s="137"/>
      <c r="FOD45" s="137"/>
      <c r="FOE45" s="137"/>
      <c r="FOF45" s="137"/>
      <c r="FOG45" s="137"/>
      <c r="FOH45" s="137"/>
      <c r="FOI45" s="137"/>
      <c r="FOJ45" s="137"/>
      <c r="FOK45" s="137"/>
      <c r="FOL45" s="137"/>
      <c r="FOM45" s="137"/>
      <c r="FON45" s="137"/>
      <c r="FOO45" s="137"/>
      <c r="FOP45" s="137"/>
      <c r="FOQ45" s="137"/>
      <c r="FOR45" s="137"/>
      <c r="FOS45" s="137"/>
      <c r="FOT45" s="137"/>
      <c r="FOU45" s="137"/>
      <c r="FOV45" s="137"/>
      <c r="FOW45" s="137"/>
      <c r="FOX45" s="137"/>
      <c r="FOY45" s="137"/>
      <c r="FOZ45" s="137"/>
      <c r="FPA45" s="137"/>
      <c r="FPB45" s="137"/>
      <c r="FPC45" s="137"/>
      <c r="FPD45" s="137"/>
      <c r="FPE45" s="137"/>
      <c r="FPF45" s="137"/>
      <c r="FPG45" s="137"/>
      <c r="FPH45" s="137"/>
      <c r="FPI45" s="137"/>
      <c r="FPJ45" s="137"/>
      <c r="FPK45" s="137"/>
      <c r="FPL45" s="137"/>
      <c r="FPM45" s="137"/>
      <c r="FPN45" s="137"/>
      <c r="FPO45" s="137"/>
      <c r="FPP45" s="137"/>
      <c r="FPQ45" s="137"/>
      <c r="FPR45" s="137"/>
      <c r="FPS45" s="137"/>
      <c r="FPT45" s="137"/>
      <c r="FPU45" s="137"/>
      <c r="FPV45" s="137"/>
      <c r="FPW45" s="137"/>
      <c r="FPX45" s="137"/>
      <c r="FPY45" s="137"/>
      <c r="FPZ45" s="137"/>
      <c r="FQA45" s="137"/>
      <c r="FQB45" s="137"/>
      <c r="FQC45" s="137"/>
      <c r="FQD45" s="137"/>
      <c r="FQE45" s="137"/>
      <c r="FQF45" s="137"/>
      <c r="FQG45" s="137"/>
      <c r="FQH45" s="137"/>
      <c r="FQI45" s="137"/>
      <c r="FQJ45" s="137"/>
      <c r="FQK45" s="137"/>
      <c r="FQL45" s="137"/>
      <c r="FQM45" s="137"/>
      <c r="FQN45" s="137"/>
      <c r="FQO45" s="137"/>
      <c r="FQP45" s="137"/>
      <c r="FQQ45" s="137"/>
      <c r="FQR45" s="137"/>
      <c r="FQS45" s="137"/>
      <c r="FQT45" s="137"/>
      <c r="FQU45" s="137"/>
      <c r="FQV45" s="137"/>
      <c r="FQW45" s="137"/>
      <c r="FQX45" s="137"/>
      <c r="FQY45" s="137"/>
      <c r="FQZ45" s="137"/>
      <c r="FRA45" s="137"/>
      <c r="FRB45" s="137"/>
      <c r="FRC45" s="137"/>
      <c r="FRD45" s="137"/>
      <c r="FRE45" s="137"/>
      <c r="FRF45" s="137"/>
      <c r="FRG45" s="137"/>
      <c r="FRH45" s="137"/>
      <c r="FRI45" s="137"/>
      <c r="FRJ45" s="137"/>
      <c r="FRK45" s="137"/>
      <c r="FRL45" s="137"/>
      <c r="FRM45" s="137"/>
      <c r="FRN45" s="137"/>
      <c r="FRO45" s="137"/>
      <c r="FRP45" s="137"/>
      <c r="FRQ45" s="137"/>
      <c r="FRR45" s="137"/>
      <c r="FRS45" s="137"/>
      <c r="FRT45" s="137"/>
      <c r="FRU45" s="137"/>
      <c r="FRV45" s="137"/>
      <c r="FRW45" s="137"/>
      <c r="FRX45" s="137"/>
      <c r="FRY45" s="137"/>
      <c r="FRZ45" s="137"/>
      <c r="FSA45" s="137"/>
      <c r="FSB45" s="137"/>
      <c r="FSC45" s="137"/>
      <c r="FSD45" s="137"/>
      <c r="FSE45" s="137"/>
      <c r="FSF45" s="137"/>
      <c r="FSG45" s="137"/>
      <c r="FSH45" s="137"/>
      <c r="FSI45" s="137"/>
      <c r="FSJ45" s="137"/>
      <c r="FSK45" s="137"/>
      <c r="FSL45" s="137"/>
      <c r="FSM45" s="137"/>
      <c r="FSN45" s="137"/>
      <c r="FSO45" s="137"/>
      <c r="FSP45" s="137"/>
      <c r="FSQ45" s="137"/>
      <c r="FSR45" s="137"/>
      <c r="FSS45" s="137"/>
      <c r="FST45" s="137"/>
      <c r="FSU45" s="137"/>
      <c r="FSV45" s="137"/>
      <c r="FSW45" s="137"/>
      <c r="FSX45" s="137"/>
      <c r="FSY45" s="137"/>
      <c r="FSZ45" s="137"/>
      <c r="FTA45" s="137"/>
      <c r="FTB45" s="137"/>
      <c r="FTC45" s="137"/>
      <c r="FTD45" s="137"/>
      <c r="FTE45" s="137"/>
      <c r="FTF45" s="137"/>
      <c r="FTG45" s="137"/>
      <c r="FTH45" s="137"/>
      <c r="FTI45" s="137"/>
      <c r="FTJ45" s="137"/>
      <c r="FTK45" s="137"/>
      <c r="FTL45" s="137"/>
      <c r="FTM45" s="137"/>
      <c r="FTN45" s="137"/>
      <c r="FTO45" s="137"/>
      <c r="FTP45" s="137"/>
      <c r="FTQ45" s="137"/>
      <c r="FTR45" s="137"/>
      <c r="FTS45" s="137"/>
      <c r="FTT45" s="137"/>
      <c r="FTU45" s="137"/>
      <c r="FTV45" s="137"/>
      <c r="FTW45" s="137"/>
      <c r="FTX45" s="137"/>
      <c r="FTY45" s="137"/>
      <c r="FTZ45" s="137"/>
      <c r="FUA45" s="137"/>
      <c r="FUB45" s="137"/>
      <c r="FUC45" s="137"/>
      <c r="FUD45" s="137"/>
      <c r="FUE45" s="137"/>
      <c r="FUF45" s="137"/>
      <c r="FUG45" s="137"/>
      <c r="FUH45" s="137"/>
      <c r="FUI45" s="137"/>
      <c r="FUJ45" s="137"/>
      <c r="FUK45" s="137"/>
      <c r="FUL45" s="137"/>
      <c r="FUM45" s="137"/>
      <c r="FUN45" s="137"/>
      <c r="FUO45" s="137"/>
      <c r="FUP45" s="137"/>
      <c r="FUQ45" s="137"/>
      <c r="FUR45" s="137"/>
      <c r="FUS45" s="137"/>
      <c r="FUT45" s="137"/>
      <c r="FUU45" s="137"/>
      <c r="FUV45" s="137"/>
      <c r="FUW45" s="137"/>
      <c r="FUX45" s="137"/>
      <c r="FUY45" s="137"/>
      <c r="FUZ45" s="137"/>
      <c r="FVA45" s="137"/>
      <c r="FVB45" s="137"/>
      <c r="FVC45" s="137"/>
      <c r="FVD45" s="137"/>
      <c r="FVE45" s="137"/>
      <c r="FVF45" s="137"/>
      <c r="FVG45" s="137"/>
      <c r="FVH45" s="137"/>
      <c r="FVI45" s="137"/>
      <c r="FVJ45" s="137"/>
      <c r="FVK45" s="137"/>
      <c r="FVL45" s="137"/>
      <c r="FVM45" s="137"/>
      <c r="FVN45" s="137"/>
      <c r="FVO45" s="137"/>
      <c r="FVP45" s="137"/>
      <c r="FVQ45" s="137"/>
      <c r="FVR45" s="137"/>
      <c r="FVS45" s="137"/>
      <c r="FVT45" s="137"/>
      <c r="FVU45" s="137"/>
      <c r="FVV45" s="137"/>
      <c r="FVW45" s="137"/>
      <c r="FVX45" s="137"/>
      <c r="FVY45" s="137"/>
      <c r="FVZ45" s="137"/>
      <c r="FWA45" s="137"/>
      <c r="FWB45" s="137"/>
      <c r="FWC45" s="137"/>
      <c r="FWD45" s="137"/>
      <c r="FWE45" s="137"/>
      <c r="FWF45" s="137"/>
      <c r="FWG45" s="137"/>
      <c r="FWH45" s="137"/>
      <c r="FWI45" s="137"/>
      <c r="FWJ45" s="137"/>
      <c r="FWK45" s="137"/>
      <c r="FWL45" s="137"/>
      <c r="FWM45" s="137"/>
      <c r="FWN45" s="137"/>
      <c r="FWO45" s="137"/>
      <c r="FWP45" s="137"/>
      <c r="FWQ45" s="137"/>
      <c r="FWR45" s="137"/>
      <c r="FWS45" s="137"/>
      <c r="FWT45" s="137"/>
      <c r="FWU45" s="137"/>
      <c r="FWV45" s="137"/>
      <c r="FWW45" s="137"/>
      <c r="FWX45" s="137"/>
      <c r="FWY45" s="137"/>
      <c r="FWZ45" s="137"/>
      <c r="FXA45" s="137"/>
      <c r="FXB45" s="137"/>
      <c r="FXC45" s="137"/>
      <c r="FXD45" s="137"/>
      <c r="FXE45" s="137"/>
      <c r="FXF45" s="137"/>
      <c r="FXG45" s="137"/>
      <c r="FXH45" s="137"/>
      <c r="FXI45" s="137"/>
      <c r="FXJ45" s="137"/>
      <c r="FXK45" s="137"/>
      <c r="FXL45" s="137"/>
      <c r="FXM45" s="137"/>
      <c r="FXN45" s="137"/>
      <c r="FXO45" s="137"/>
      <c r="FXP45" s="137"/>
      <c r="FXQ45" s="137"/>
      <c r="FXR45" s="137"/>
      <c r="FXS45" s="137"/>
      <c r="FXT45" s="137"/>
      <c r="FXU45" s="137"/>
      <c r="FXV45" s="137"/>
      <c r="FXW45" s="137"/>
      <c r="FXX45" s="137"/>
      <c r="FXY45" s="137"/>
      <c r="FXZ45" s="137"/>
      <c r="FYA45" s="137"/>
      <c r="FYB45" s="137"/>
      <c r="FYC45" s="137"/>
      <c r="FYD45" s="137"/>
      <c r="FYE45" s="137"/>
      <c r="FYF45" s="137"/>
      <c r="FYG45" s="137"/>
      <c r="FYH45" s="137"/>
      <c r="FYI45" s="137"/>
      <c r="FYJ45" s="137"/>
      <c r="FYK45" s="137"/>
      <c r="FYL45" s="137"/>
      <c r="FYM45" s="137"/>
      <c r="FYN45" s="137"/>
      <c r="FYO45" s="137"/>
      <c r="FYP45" s="137"/>
      <c r="FYQ45" s="137"/>
      <c r="FYR45" s="137"/>
      <c r="FYS45" s="137"/>
      <c r="FYT45" s="137"/>
      <c r="FYU45" s="137"/>
      <c r="FYV45" s="137"/>
      <c r="FYW45" s="137"/>
      <c r="FYX45" s="137"/>
      <c r="FYY45" s="137"/>
      <c r="FYZ45" s="137"/>
      <c r="FZA45" s="137"/>
      <c r="FZB45" s="137"/>
      <c r="FZC45" s="137"/>
      <c r="FZD45" s="137"/>
      <c r="FZE45" s="137"/>
      <c r="FZF45" s="137"/>
      <c r="FZG45" s="137"/>
      <c r="FZH45" s="137"/>
      <c r="FZI45" s="137"/>
      <c r="FZJ45" s="137"/>
      <c r="FZK45" s="137"/>
      <c r="FZL45" s="137"/>
      <c r="FZM45" s="137"/>
      <c r="FZN45" s="137"/>
      <c r="FZO45" s="137"/>
      <c r="FZP45" s="137"/>
      <c r="FZQ45" s="137"/>
      <c r="FZR45" s="137"/>
      <c r="FZS45" s="137"/>
      <c r="FZT45" s="137"/>
      <c r="FZU45" s="137"/>
      <c r="FZV45" s="137"/>
      <c r="FZW45" s="137"/>
      <c r="FZX45" s="137"/>
      <c r="FZY45" s="137"/>
      <c r="FZZ45" s="137"/>
      <c r="GAA45" s="137"/>
      <c r="GAB45" s="137"/>
      <c r="GAC45" s="137"/>
      <c r="GAD45" s="137"/>
      <c r="GAE45" s="137"/>
      <c r="GAF45" s="137"/>
      <c r="GAG45" s="137"/>
      <c r="GAH45" s="137"/>
      <c r="GAI45" s="137"/>
      <c r="GAJ45" s="137"/>
      <c r="GAK45" s="137"/>
      <c r="GAL45" s="137"/>
      <c r="GAM45" s="137"/>
      <c r="GAN45" s="137"/>
      <c r="GAO45" s="137"/>
      <c r="GAP45" s="137"/>
      <c r="GAQ45" s="137"/>
      <c r="GAR45" s="137"/>
      <c r="GAS45" s="137"/>
      <c r="GAT45" s="137"/>
      <c r="GAU45" s="137"/>
      <c r="GAV45" s="137"/>
      <c r="GAW45" s="137"/>
      <c r="GAX45" s="137"/>
      <c r="GAY45" s="137"/>
      <c r="GAZ45" s="137"/>
      <c r="GBA45" s="137"/>
      <c r="GBB45" s="137"/>
      <c r="GBC45" s="137"/>
      <c r="GBD45" s="137"/>
      <c r="GBE45" s="137"/>
      <c r="GBF45" s="137"/>
      <c r="GBG45" s="137"/>
      <c r="GBH45" s="137"/>
      <c r="GBI45" s="137"/>
      <c r="GBJ45" s="137"/>
      <c r="GBK45" s="137"/>
      <c r="GBL45" s="137"/>
      <c r="GBM45" s="137"/>
      <c r="GBN45" s="137"/>
      <c r="GBO45" s="137"/>
      <c r="GBP45" s="137"/>
      <c r="GBQ45" s="137"/>
      <c r="GBR45" s="137"/>
      <c r="GBS45" s="137"/>
      <c r="GBT45" s="137"/>
      <c r="GBU45" s="137"/>
      <c r="GBV45" s="137"/>
      <c r="GBW45" s="137"/>
      <c r="GBX45" s="137"/>
      <c r="GBY45" s="137"/>
      <c r="GBZ45" s="137"/>
      <c r="GCA45" s="137"/>
      <c r="GCB45" s="137"/>
      <c r="GCC45" s="137"/>
      <c r="GCD45" s="137"/>
      <c r="GCE45" s="137"/>
      <c r="GCF45" s="137"/>
      <c r="GCG45" s="137"/>
      <c r="GCH45" s="137"/>
      <c r="GCI45" s="137"/>
      <c r="GCJ45" s="137"/>
      <c r="GCK45" s="137"/>
      <c r="GCL45" s="137"/>
      <c r="GCM45" s="137"/>
      <c r="GCN45" s="137"/>
      <c r="GCO45" s="137"/>
      <c r="GCP45" s="137"/>
      <c r="GCQ45" s="137"/>
      <c r="GCR45" s="137"/>
      <c r="GCS45" s="137"/>
      <c r="GCT45" s="137"/>
      <c r="GCU45" s="137"/>
      <c r="GCV45" s="137"/>
      <c r="GCW45" s="137"/>
      <c r="GCX45" s="137"/>
      <c r="GCY45" s="137"/>
      <c r="GCZ45" s="137"/>
      <c r="GDA45" s="137"/>
      <c r="GDB45" s="137"/>
      <c r="GDC45" s="137"/>
      <c r="GDD45" s="137"/>
      <c r="GDE45" s="137"/>
      <c r="GDF45" s="137"/>
      <c r="GDG45" s="137"/>
      <c r="GDH45" s="137"/>
      <c r="GDI45" s="137"/>
      <c r="GDJ45" s="137"/>
      <c r="GDK45" s="137"/>
      <c r="GDL45" s="137"/>
      <c r="GDM45" s="137"/>
      <c r="GDN45" s="137"/>
      <c r="GDO45" s="137"/>
      <c r="GDP45" s="137"/>
      <c r="GDQ45" s="137"/>
      <c r="GDR45" s="137"/>
      <c r="GDS45" s="137"/>
      <c r="GDT45" s="137"/>
      <c r="GDU45" s="137"/>
      <c r="GDV45" s="137"/>
      <c r="GDW45" s="137"/>
      <c r="GDX45" s="137"/>
      <c r="GDY45" s="137"/>
      <c r="GDZ45" s="137"/>
      <c r="GEA45" s="137"/>
      <c r="GEB45" s="137"/>
      <c r="GEC45" s="137"/>
      <c r="GED45" s="137"/>
      <c r="GEE45" s="137"/>
      <c r="GEF45" s="137"/>
      <c r="GEG45" s="137"/>
      <c r="GEH45" s="137"/>
      <c r="GEI45" s="137"/>
      <c r="GEJ45" s="137"/>
      <c r="GEK45" s="137"/>
      <c r="GEL45" s="137"/>
      <c r="GEM45" s="137"/>
      <c r="GEN45" s="137"/>
      <c r="GEO45" s="137"/>
      <c r="GEP45" s="137"/>
      <c r="GEQ45" s="137"/>
      <c r="GER45" s="137"/>
      <c r="GES45" s="137"/>
      <c r="GET45" s="137"/>
      <c r="GEU45" s="137"/>
      <c r="GEV45" s="137"/>
      <c r="GEW45" s="137"/>
      <c r="GEX45" s="137"/>
      <c r="GEY45" s="137"/>
      <c r="GEZ45" s="137"/>
      <c r="GFA45" s="137"/>
      <c r="GFB45" s="137"/>
      <c r="GFC45" s="137"/>
      <c r="GFD45" s="137"/>
      <c r="GFE45" s="137"/>
      <c r="GFF45" s="137"/>
      <c r="GFG45" s="137"/>
      <c r="GFH45" s="137"/>
      <c r="GFI45" s="137"/>
      <c r="GFJ45" s="137"/>
      <c r="GFK45" s="137"/>
      <c r="GFL45" s="137"/>
      <c r="GFM45" s="137"/>
      <c r="GFN45" s="137"/>
      <c r="GFO45" s="137"/>
      <c r="GFP45" s="137"/>
      <c r="GFQ45" s="137"/>
      <c r="GFR45" s="137"/>
      <c r="GFS45" s="137"/>
      <c r="GFT45" s="137"/>
      <c r="GFU45" s="137"/>
      <c r="GFV45" s="137"/>
      <c r="GFW45" s="137"/>
      <c r="GFX45" s="137"/>
      <c r="GFY45" s="137"/>
      <c r="GFZ45" s="137"/>
      <c r="GGA45" s="137"/>
      <c r="GGB45" s="137"/>
      <c r="GGC45" s="137"/>
      <c r="GGD45" s="137"/>
      <c r="GGE45" s="137"/>
      <c r="GGF45" s="137"/>
      <c r="GGG45" s="137"/>
      <c r="GGH45" s="137"/>
      <c r="GGI45" s="137"/>
      <c r="GGJ45" s="137"/>
      <c r="GGK45" s="137"/>
      <c r="GGL45" s="137"/>
      <c r="GGM45" s="137"/>
      <c r="GGN45" s="137"/>
      <c r="GGO45" s="137"/>
      <c r="GGP45" s="137"/>
      <c r="GGQ45" s="137"/>
      <c r="GGR45" s="137"/>
      <c r="GGS45" s="137"/>
      <c r="GGT45" s="137"/>
      <c r="GGU45" s="137"/>
      <c r="GGV45" s="137"/>
      <c r="GGW45" s="137"/>
      <c r="GGX45" s="137"/>
      <c r="GGY45" s="137"/>
      <c r="GGZ45" s="137"/>
      <c r="GHA45" s="137"/>
      <c r="GHB45" s="137"/>
      <c r="GHC45" s="137"/>
      <c r="GHD45" s="137"/>
      <c r="GHE45" s="137"/>
      <c r="GHF45" s="137"/>
      <c r="GHG45" s="137"/>
      <c r="GHH45" s="137"/>
      <c r="GHI45" s="137"/>
      <c r="GHJ45" s="137"/>
      <c r="GHK45" s="137"/>
      <c r="GHL45" s="137"/>
      <c r="GHM45" s="137"/>
      <c r="GHN45" s="137"/>
      <c r="GHO45" s="137"/>
      <c r="GHP45" s="137"/>
      <c r="GHQ45" s="137"/>
      <c r="GHR45" s="137"/>
      <c r="GHS45" s="137"/>
      <c r="GHT45" s="137"/>
      <c r="GHU45" s="137"/>
      <c r="GHV45" s="137"/>
      <c r="GHW45" s="137"/>
      <c r="GHX45" s="137"/>
      <c r="GHY45" s="137"/>
      <c r="GHZ45" s="137"/>
      <c r="GIA45" s="137"/>
      <c r="GIB45" s="137"/>
      <c r="GIC45" s="137"/>
      <c r="GID45" s="137"/>
      <c r="GIE45" s="137"/>
      <c r="GIF45" s="137"/>
      <c r="GIG45" s="137"/>
      <c r="GIH45" s="137"/>
      <c r="GII45" s="137"/>
      <c r="GIJ45" s="137"/>
      <c r="GIK45" s="137"/>
      <c r="GIL45" s="137"/>
      <c r="GIM45" s="137"/>
      <c r="GIN45" s="137"/>
      <c r="GIO45" s="137"/>
      <c r="GIP45" s="137"/>
      <c r="GIQ45" s="137"/>
      <c r="GIR45" s="137"/>
      <c r="GIS45" s="137"/>
      <c r="GIT45" s="137"/>
      <c r="GIU45" s="137"/>
      <c r="GIV45" s="137"/>
      <c r="GIW45" s="137"/>
      <c r="GIX45" s="137"/>
      <c r="GIY45" s="137"/>
      <c r="GIZ45" s="137"/>
      <c r="GJA45" s="137"/>
      <c r="GJB45" s="137"/>
      <c r="GJC45" s="137"/>
      <c r="GJD45" s="137"/>
      <c r="GJE45" s="137"/>
      <c r="GJF45" s="137"/>
      <c r="GJG45" s="137"/>
      <c r="GJH45" s="137"/>
      <c r="GJI45" s="137"/>
      <c r="GJJ45" s="137"/>
      <c r="GJK45" s="137"/>
      <c r="GJL45" s="137"/>
      <c r="GJM45" s="137"/>
      <c r="GJN45" s="137"/>
      <c r="GJO45" s="137"/>
      <c r="GJP45" s="137"/>
      <c r="GJQ45" s="137"/>
      <c r="GJR45" s="137"/>
      <c r="GJS45" s="137"/>
      <c r="GJT45" s="137"/>
      <c r="GJU45" s="137"/>
      <c r="GJV45" s="137"/>
      <c r="GJW45" s="137"/>
      <c r="GJX45" s="137"/>
      <c r="GJY45" s="137"/>
      <c r="GJZ45" s="137"/>
      <c r="GKA45" s="137"/>
      <c r="GKB45" s="137"/>
      <c r="GKC45" s="137"/>
      <c r="GKD45" s="137"/>
      <c r="GKE45" s="137"/>
      <c r="GKF45" s="137"/>
      <c r="GKG45" s="137"/>
      <c r="GKH45" s="137"/>
      <c r="GKI45" s="137"/>
      <c r="GKJ45" s="137"/>
      <c r="GKK45" s="137"/>
      <c r="GKL45" s="137"/>
      <c r="GKM45" s="137"/>
      <c r="GKN45" s="137"/>
      <c r="GKO45" s="137"/>
      <c r="GKP45" s="137"/>
      <c r="GKQ45" s="137"/>
      <c r="GKR45" s="137"/>
      <c r="GKS45" s="137"/>
      <c r="GKT45" s="137"/>
      <c r="GKU45" s="137"/>
      <c r="GKV45" s="137"/>
      <c r="GKW45" s="137"/>
      <c r="GKX45" s="137"/>
      <c r="GKY45" s="137"/>
      <c r="GKZ45" s="137"/>
      <c r="GLA45" s="137"/>
      <c r="GLB45" s="137"/>
      <c r="GLC45" s="137"/>
      <c r="GLD45" s="137"/>
      <c r="GLE45" s="137"/>
      <c r="GLF45" s="137"/>
      <c r="GLG45" s="137"/>
      <c r="GLH45" s="137"/>
      <c r="GLI45" s="137"/>
      <c r="GLJ45" s="137"/>
      <c r="GLK45" s="137"/>
      <c r="GLL45" s="137"/>
      <c r="GLM45" s="137"/>
      <c r="GLN45" s="137"/>
      <c r="GLO45" s="137"/>
      <c r="GLP45" s="137"/>
      <c r="GLQ45" s="137"/>
      <c r="GLR45" s="137"/>
      <c r="GLS45" s="137"/>
      <c r="GLT45" s="137"/>
      <c r="GLU45" s="137"/>
      <c r="GLV45" s="137"/>
      <c r="GLW45" s="137"/>
      <c r="GLX45" s="137"/>
      <c r="GLY45" s="137"/>
      <c r="GLZ45" s="137"/>
      <c r="GMA45" s="137"/>
      <c r="GMB45" s="137"/>
      <c r="GMC45" s="137"/>
      <c r="GMD45" s="137"/>
      <c r="GME45" s="137"/>
      <c r="GMF45" s="137"/>
      <c r="GMG45" s="137"/>
      <c r="GMH45" s="137"/>
      <c r="GMI45" s="137"/>
      <c r="GMJ45" s="137"/>
      <c r="GMK45" s="137"/>
      <c r="GML45" s="137"/>
      <c r="GMM45" s="137"/>
      <c r="GMN45" s="137"/>
      <c r="GMO45" s="137"/>
      <c r="GMP45" s="137"/>
      <c r="GMQ45" s="137"/>
      <c r="GMR45" s="137"/>
      <c r="GMS45" s="137"/>
      <c r="GMT45" s="137"/>
      <c r="GMU45" s="137"/>
      <c r="GMV45" s="137"/>
      <c r="GMW45" s="137"/>
      <c r="GMX45" s="137"/>
      <c r="GMY45" s="137"/>
      <c r="GMZ45" s="137"/>
      <c r="GNA45" s="137"/>
      <c r="GNB45" s="137"/>
      <c r="GNC45" s="137"/>
      <c r="GND45" s="137"/>
      <c r="GNE45" s="137"/>
      <c r="GNF45" s="137"/>
      <c r="GNG45" s="137"/>
      <c r="GNH45" s="137"/>
      <c r="GNI45" s="137"/>
      <c r="GNJ45" s="137"/>
      <c r="GNK45" s="137"/>
      <c r="GNL45" s="137"/>
      <c r="GNM45" s="137"/>
      <c r="GNN45" s="137"/>
      <c r="GNO45" s="137"/>
      <c r="GNP45" s="137"/>
      <c r="GNQ45" s="137"/>
      <c r="GNR45" s="137"/>
      <c r="GNS45" s="137"/>
      <c r="GNT45" s="137"/>
      <c r="GNU45" s="137"/>
      <c r="GNV45" s="137"/>
      <c r="GNW45" s="137"/>
      <c r="GNX45" s="137"/>
      <c r="GNY45" s="137"/>
      <c r="GNZ45" s="137"/>
      <c r="GOA45" s="137"/>
      <c r="GOB45" s="137"/>
      <c r="GOC45" s="137"/>
      <c r="GOD45" s="137"/>
      <c r="GOE45" s="137"/>
      <c r="GOF45" s="137"/>
      <c r="GOG45" s="137"/>
      <c r="GOH45" s="137"/>
      <c r="GOI45" s="137"/>
      <c r="GOJ45" s="137"/>
      <c r="GOK45" s="137"/>
      <c r="GOL45" s="137"/>
      <c r="GOM45" s="137"/>
      <c r="GON45" s="137"/>
      <c r="GOO45" s="137"/>
      <c r="GOP45" s="137"/>
      <c r="GOQ45" s="137"/>
      <c r="GOR45" s="137"/>
      <c r="GOS45" s="137"/>
      <c r="GOT45" s="137"/>
      <c r="GOU45" s="137"/>
      <c r="GOV45" s="137"/>
      <c r="GOW45" s="137"/>
      <c r="GOX45" s="137"/>
      <c r="GOY45" s="137"/>
      <c r="GOZ45" s="137"/>
      <c r="GPA45" s="137"/>
      <c r="GPB45" s="137"/>
      <c r="GPC45" s="137"/>
      <c r="GPD45" s="137"/>
      <c r="GPE45" s="137"/>
      <c r="GPF45" s="137"/>
      <c r="GPG45" s="137"/>
      <c r="GPH45" s="137"/>
      <c r="GPI45" s="137"/>
      <c r="GPJ45" s="137"/>
      <c r="GPK45" s="137"/>
      <c r="GPL45" s="137"/>
      <c r="GPM45" s="137"/>
      <c r="GPN45" s="137"/>
      <c r="GPO45" s="137"/>
      <c r="GPP45" s="137"/>
      <c r="GPQ45" s="137"/>
      <c r="GPR45" s="137"/>
      <c r="GPS45" s="137"/>
      <c r="GPT45" s="137"/>
      <c r="GPU45" s="137"/>
      <c r="GPV45" s="137"/>
      <c r="GPW45" s="137"/>
      <c r="GPX45" s="137"/>
      <c r="GPY45" s="137"/>
      <c r="GPZ45" s="137"/>
      <c r="GQA45" s="137"/>
      <c r="GQB45" s="137"/>
      <c r="GQC45" s="137"/>
      <c r="GQD45" s="137"/>
      <c r="GQE45" s="137"/>
      <c r="GQF45" s="137"/>
      <c r="GQG45" s="137"/>
      <c r="GQH45" s="137"/>
      <c r="GQI45" s="137"/>
      <c r="GQJ45" s="137"/>
      <c r="GQK45" s="137"/>
      <c r="GQL45" s="137"/>
      <c r="GQM45" s="137"/>
      <c r="GQN45" s="137"/>
      <c r="GQO45" s="137"/>
      <c r="GQP45" s="137"/>
      <c r="GQQ45" s="137"/>
      <c r="GQR45" s="137"/>
      <c r="GQS45" s="137"/>
      <c r="GQT45" s="137"/>
      <c r="GQU45" s="137"/>
      <c r="GQV45" s="137"/>
      <c r="GQW45" s="137"/>
      <c r="GQX45" s="137"/>
      <c r="GQY45" s="137"/>
      <c r="GQZ45" s="137"/>
      <c r="GRA45" s="137"/>
      <c r="GRB45" s="137"/>
      <c r="GRC45" s="137"/>
      <c r="GRD45" s="137"/>
      <c r="GRE45" s="137"/>
      <c r="GRF45" s="137"/>
      <c r="GRG45" s="137"/>
      <c r="GRH45" s="137"/>
      <c r="GRI45" s="137"/>
      <c r="GRJ45" s="137"/>
      <c r="GRK45" s="137"/>
      <c r="GRL45" s="137"/>
      <c r="GRM45" s="137"/>
      <c r="GRN45" s="137"/>
      <c r="GRO45" s="137"/>
      <c r="GRP45" s="137"/>
      <c r="GRQ45" s="137"/>
      <c r="GRR45" s="137"/>
      <c r="GRS45" s="137"/>
      <c r="GRT45" s="137"/>
      <c r="GRU45" s="137"/>
      <c r="GRV45" s="137"/>
      <c r="GRW45" s="137"/>
      <c r="GRX45" s="137"/>
      <c r="GRY45" s="137"/>
      <c r="GRZ45" s="137"/>
      <c r="GSA45" s="137"/>
      <c r="GSB45" s="137"/>
      <c r="GSC45" s="137"/>
      <c r="GSD45" s="137"/>
      <c r="GSE45" s="137"/>
      <c r="GSF45" s="137"/>
      <c r="GSG45" s="137"/>
      <c r="GSH45" s="137"/>
      <c r="GSI45" s="137"/>
      <c r="GSJ45" s="137"/>
      <c r="GSK45" s="137"/>
      <c r="GSL45" s="137"/>
      <c r="GSM45" s="137"/>
      <c r="GSN45" s="137"/>
      <c r="GSO45" s="137"/>
      <c r="GSP45" s="137"/>
      <c r="GSQ45" s="137"/>
      <c r="GSR45" s="137"/>
      <c r="GSS45" s="137"/>
      <c r="GST45" s="137"/>
      <c r="GSU45" s="137"/>
      <c r="GSV45" s="137"/>
      <c r="GSW45" s="137"/>
      <c r="GSX45" s="137"/>
      <c r="GSY45" s="137"/>
      <c r="GSZ45" s="137"/>
      <c r="GTA45" s="137"/>
      <c r="GTB45" s="137"/>
      <c r="GTC45" s="137"/>
      <c r="GTD45" s="137"/>
      <c r="GTE45" s="137"/>
      <c r="GTF45" s="137"/>
      <c r="GTG45" s="137"/>
      <c r="GTH45" s="137"/>
      <c r="GTI45" s="137"/>
      <c r="GTJ45" s="137"/>
      <c r="GTK45" s="137"/>
      <c r="GTL45" s="137"/>
      <c r="GTM45" s="137"/>
      <c r="GTN45" s="137"/>
      <c r="GTO45" s="137"/>
      <c r="GTP45" s="137"/>
      <c r="GTQ45" s="137"/>
      <c r="GTR45" s="137"/>
      <c r="GTS45" s="137"/>
      <c r="GTT45" s="137"/>
      <c r="GTU45" s="137"/>
      <c r="GTV45" s="137"/>
      <c r="GTW45" s="137"/>
      <c r="GTX45" s="137"/>
      <c r="GTY45" s="137"/>
      <c r="GTZ45" s="137"/>
      <c r="GUA45" s="137"/>
      <c r="GUB45" s="137"/>
      <c r="GUC45" s="137"/>
      <c r="GUD45" s="137"/>
      <c r="GUE45" s="137"/>
      <c r="GUF45" s="137"/>
      <c r="GUG45" s="137"/>
      <c r="GUH45" s="137"/>
      <c r="GUI45" s="137"/>
      <c r="GUJ45" s="137"/>
      <c r="GUK45" s="137"/>
      <c r="GUL45" s="137"/>
      <c r="GUM45" s="137"/>
      <c r="GUN45" s="137"/>
      <c r="GUO45" s="137"/>
      <c r="GUP45" s="137"/>
      <c r="GUQ45" s="137"/>
      <c r="GUR45" s="137"/>
      <c r="GUS45" s="137"/>
      <c r="GUT45" s="137"/>
      <c r="GUU45" s="137"/>
      <c r="GUV45" s="137"/>
      <c r="GUW45" s="137"/>
      <c r="GUX45" s="137"/>
      <c r="GUY45" s="137"/>
      <c r="GUZ45" s="137"/>
      <c r="GVA45" s="137"/>
      <c r="GVB45" s="137"/>
      <c r="GVC45" s="137"/>
      <c r="GVD45" s="137"/>
      <c r="GVE45" s="137"/>
      <c r="GVF45" s="137"/>
      <c r="GVG45" s="137"/>
      <c r="GVH45" s="137"/>
      <c r="GVI45" s="137"/>
      <c r="GVJ45" s="137"/>
      <c r="GVK45" s="137"/>
      <c r="GVL45" s="137"/>
      <c r="GVM45" s="137"/>
      <c r="GVN45" s="137"/>
      <c r="GVO45" s="137"/>
      <c r="GVP45" s="137"/>
      <c r="GVQ45" s="137"/>
      <c r="GVR45" s="137"/>
      <c r="GVS45" s="137"/>
      <c r="GVT45" s="137"/>
      <c r="GVU45" s="137"/>
      <c r="GVV45" s="137"/>
      <c r="GVW45" s="137"/>
      <c r="GVX45" s="137"/>
      <c r="GVY45" s="137"/>
      <c r="GVZ45" s="137"/>
      <c r="GWA45" s="137"/>
      <c r="GWB45" s="137"/>
      <c r="GWC45" s="137"/>
      <c r="GWD45" s="137"/>
      <c r="GWE45" s="137"/>
      <c r="GWF45" s="137"/>
      <c r="GWG45" s="137"/>
      <c r="GWH45" s="137"/>
      <c r="GWI45" s="137"/>
      <c r="GWJ45" s="137"/>
      <c r="GWK45" s="137"/>
      <c r="GWL45" s="137"/>
      <c r="GWM45" s="137"/>
      <c r="GWN45" s="137"/>
      <c r="GWO45" s="137"/>
      <c r="GWP45" s="137"/>
      <c r="GWQ45" s="137"/>
      <c r="GWR45" s="137"/>
      <c r="GWS45" s="137"/>
      <c r="GWT45" s="137"/>
      <c r="GWU45" s="137"/>
      <c r="GWV45" s="137"/>
      <c r="GWW45" s="137"/>
      <c r="GWX45" s="137"/>
      <c r="GWY45" s="137"/>
      <c r="GWZ45" s="137"/>
      <c r="GXA45" s="137"/>
      <c r="GXB45" s="137"/>
      <c r="GXC45" s="137"/>
      <c r="GXD45" s="137"/>
      <c r="GXE45" s="137"/>
      <c r="GXF45" s="137"/>
      <c r="GXG45" s="137"/>
      <c r="GXH45" s="137"/>
      <c r="GXI45" s="137"/>
      <c r="GXJ45" s="137"/>
      <c r="GXK45" s="137"/>
      <c r="GXL45" s="137"/>
      <c r="GXM45" s="137"/>
      <c r="GXN45" s="137"/>
      <c r="GXO45" s="137"/>
      <c r="GXP45" s="137"/>
      <c r="GXQ45" s="137"/>
      <c r="GXR45" s="137"/>
      <c r="GXS45" s="137"/>
      <c r="GXT45" s="137"/>
      <c r="GXU45" s="137"/>
      <c r="GXV45" s="137"/>
      <c r="GXW45" s="137"/>
      <c r="GXX45" s="137"/>
      <c r="GXY45" s="137"/>
      <c r="GXZ45" s="137"/>
      <c r="GYA45" s="137"/>
      <c r="GYB45" s="137"/>
      <c r="GYC45" s="137"/>
      <c r="GYD45" s="137"/>
      <c r="GYE45" s="137"/>
      <c r="GYF45" s="137"/>
      <c r="GYG45" s="137"/>
      <c r="GYH45" s="137"/>
      <c r="GYI45" s="137"/>
      <c r="GYJ45" s="137"/>
      <c r="GYK45" s="137"/>
      <c r="GYL45" s="137"/>
      <c r="GYM45" s="137"/>
      <c r="GYN45" s="137"/>
      <c r="GYO45" s="137"/>
      <c r="GYP45" s="137"/>
      <c r="GYQ45" s="137"/>
      <c r="GYR45" s="137"/>
      <c r="GYS45" s="137"/>
      <c r="GYT45" s="137"/>
      <c r="GYU45" s="137"/>
      <c r="GYV45" s="137"/>
      <c r="GYW45" s="137"/>
      <c r="GYX45" s="137"/>
      <c r="GYY45" s="137"/>
      <c r="GYZ45" s="137"/>
      <c r="GZA45" s="137"/>
      <c r="GZB45" s="137"/>
      <c r="GZC45" s="137"/>
      <c r="GZD45" s="137"/>
      <c r="GZE45" s="137"/>
      <c r="GZF45" s="137"/>
      <c r="GZG45" s="137"/>
      <c r="GZH45" s="137"/>
      <c r="GZI45" s="137"/>
      <c r="GZJ45" s="137"/>
      <c r="GZK45" s="137"/>
      <c r="GZL45" s="137"/>
      <c r="GZM45" s="137"/>
      <c r="GZN45" s="137"/>
      <c r="GZO45" s="137"/>
      <c r="GZP45" s="137"/>
      <c r="GZQ45" s="137"/>
      <c r="GZR45" s="137"/>
      <c r="GZS45" s="137"/>
      <c r="GZT45" s="137"/>
      <c r="GZU45" s="137"/>
      <c r="GZV45" s="137"/>
      <c r="GZW45" s="137"/>
      <c r="GZX45" s="137"/>
      <c r="GZY45" s="137"/>
      <c r="GZZ45" s="137"/>
      <c r="HAA45" s="137"/>
      <c r="HAB45" s="137"/>
      <c r="HAC45" s="137"/>
      <c r="HAD45" s="137"/>
      <c r="HAE45" s="137"/>
      <c r="HAF45" s="137"/>
      <c r="HAG45" s="137"/>
      <c r="HAH45" s="137"/>
      <c r="HAI45" s="137"/>
      <c r="HAJ45" s="137"/>
      <c r="HAK45" s="137"/>
      <c r="HAL45" s="137"/>
      <c r="HAM45" s="137"/>
      <c r="HAN45" s="137"/>
      <c r="HAO45" s="137"/>
      <c r="HAP45" s="137"/>
      <c r="HAQ45" s="137"/>
      <c r="HAR45" s="137"/>
      <c r="HAS45" s="137"/>
      <c r="HAT45" s="137"/>
      <c r="HAU45" s="137"/>
      <c r="HAV45" s="137"/>
      <c r="HAW45" s="137"/>
      <c r="HAX45" s="137"/>
      <c r="HAY45" s="137"/>
      <c r="HAZ45" s="137"/>
      <c r="HBA45" s="137"/>
      <c r="HBB45" s="137"/>
      <c r="HBC45" s="137"/>
      <c r="HBD45" s="137"/>
      <c r="HBE45" s="137"/>
      <c r="HBF45" s="137"/>
      <c r="HBG45" s="137"/>
      <c r="HBH45" s="137"/>
      <c r="HBI45" s="137"/>
      <c r="HBJ45" s="137"/>
      <c r="HBK45" s="137"/>
      <c r="HBL45" s="137"/>
      <c r="HBM45" s="137"/>
      <c r="HBN45" s="137"/>
      <c r="HBO45" s="137"/>
      <c r="HBP45" s="137"/>
      <c r="HBQ45" s="137"/>
      <c r="HBR45" s="137"/>
      <c r="HBS45" s="137"/>
      <c r="HBT45" s="137"/>
      <c r="HBU45" s="137"/>
      <c r="HBV45" s="137"/>
      <c r="HBW45" s="137"/>
      <c r="HBX45" s="137"/>
      <c r="HBY45" s="137"/>
      <c r="HBZ45" s="137"/>
      <c r="HCA45" s="137"/>
      <c r="HCB45" s="137"/>
      <c r="HCC45" s="137"/>
      <c r="HCD45" s="137"/>
      <c r="HCE45" s="137"/>
      <c r="HCF45" s="137"/>
      <c r="HCG45" s="137"/>
      <c r="HCH45" s="137"/>
      <c r="HCI45" s="137"/>
      <c r="HCJ45" s="137"/>
      <c r="HCK45" s="137"/>
      <c r="HCL45" s="137"/>
      <c r="HCM45" s="137"/>
      <c r="HCN45" s="137"/>
      <c r="HCO45" s="137"/>
      <c r="HCP45" s="137"/>
      <c r="HCQ45" s="137"/>
      <c r="HCR45" s="137"/>
      <c r="HCS45" s="137"/>
      <c r="HCT45" s="137"/>
      <c r="HCU45" s="137"/>
      <c r="HCV45" s="137"/>
      <c r="HCW45" s="137"/>
      <c r="HCX45" s="137"/>
      <c r="HCY45" s="137"/>
      <c r="HCZ45" s="137"/>
      <c r="HDA45" s="137"/>
      <c r="HDB45" s="137"/>
      <c r="HDC45" s="137"/>
      <c r="HDD45" s="137"/>
      <c r="HDE45" s="137"/>
      <c r="HDF45" s="137"/>
      <c r="HDG45" s="137"/>
      <c r="HDH45" s="137"/>
      <c r="HDI45" s="137"/>
      <c r="HDJ45" s="137"/>
      <c r="HDK45" s="137"/>
      <c r="HDL45" s="137"/>
      <c r="HDM45" s="137"/>
      <c r="HDN45" s="137"/>
      <c r="HDO45" s="137"/>
      <c r="HDP45" s="137"/>
      <c r="HDQ45" s="137"/>
      <c r="HDR45" s="137"/>
      <c r="HDS45" s="137"/>
      <c r="HDT45" s="137"/>
      <c r="HDU45" s="137"/>
      <c r="HDV45" s="137"/>
      <c r="HDW45" s="137"/>
      <c r="HDX45" s="137"/>
      <c r="HDY45" s="137"/>
      <c r="HDZ45" s="137"/>
      <c r="HEA45" s="137"/>
      <c r="HEB45" s="137"/>
      <c r="HEC45" s="137"/>
      <c r="HED45" s="137"/>
      <c r="HEE45" s="137"/>
      <c r="HEF45" s="137"/>
      <c r="HEG45" s="137"/>
      <c r="HEH45" s="137"/>
      <c r="HEI45" s="137"/>
      <c r="HEJ45" s="137"/>
      <c r="HEK45" s="137"/>
      <c r="HEL45" s="137"/>
      <c r="HEM45" s="137"/>
      <c r="HEN45" s="137"/>
      <c r="HEO45" s="137"/>
      <c r="HEP45" s="137"/>
      <c r="HEQ45" s="137"/>
      <c r="HER45" s="137"/>
      <c r="HES45" s="137"/>
      <c r="HET45" s="137"/>
      <c r="HEU45" s="137"/>
      <c r="HEV45" s="137"/>
      <c r="HEW45" s="137"/>
      <c r="HEX45" s="137"/>
      <c r="HEY45" s="137"/>
      <c r="HEZ45" s="137"/>
      <c r="HFA45" s="137"/>
      <c r="HFB45" s="137"/>
      <c r="HFC45" s="137"/>
      <c r="HFD45" s="137"/>
      <c r="HFE45" s="137"/>
      <c r="HFF45" s="137"/>
      <c r="HFG45" s="137"/>
      <c r="HFH45" s="137"/>
      <c r="HFI45" s="137"/>
      <c r="HFJ45" s="137"/>
      <c r="HFK45" s="137"/>
      <c r="HFL45" s="137"/>
      <c r="HFM45" s="137"/>
      <c r="HFN45" s="137"/>
      <c r="HFO45" s="137"/>
      <c r="HFP45" s="137"/>
      <c r="HFQ45" s="137"/>
      <c r="HFR45" s="137"/>
      <c r="HFS45" s="137"/>
      <c r="HFT45" s="137"/>
      <c r="HFU45" s="137"/>
      <c r="HFV45" s="137"/>
      <c r="HFW45" s="137"/>
      <c r="HFX45" s="137"/>
      <c r="HFY45" s="137"/>
      <c r="HFZ45" s="137"/>
      <c r="HGA45" s="137"/>
      <c r="HGB45" s="137"/>
      <c r="HGC45" s="137"/>
      <c r="HGD45" s="137"/>
      <c r="HGE45" s="137"/>
      <c r="HGF45" s="137"/>
      <c r="HGG45" s="137"/>
      <c r="HGH45" s="137"/>
      <c r="HGI45" s="137"/>
      <c r="HGJ45" s="137"/>
      <c r="HGK45" s="137"/>
      <c r="HGL45" s="137"/>
      <c r="HGM45" s="137"/>
      <c r="HGN45" s="137"/>
      <c r="HGO45" s="137"/>
      <c r="HGP45" s="137"/>
      <c r="HGQ45" s="137"/>
      <c r="HGR45" s="137"/>
      <c r="HGS45" s="137"/>
      <c r="HGT45" s="137"/>
      <c r="HGU45" s="137"/>
      <c r="HGV45" s="137"/>
      <c r="HGW45" s="137"/>
      <c r="HGX45" s="137"/>
      <c r="HGY45" s="137"/>
      <c r="HGZ45" s="137"/>
      <c r="HHA45" s="137"/>
      <c r="HHB45" s="137"/>
      <c r="HHC45" s="137"/>
      <c r="HHD45" s="137"/>
      <c r="HHE45" s="137"/>
      <c r="HHF45" s="137"/>
      <c r="HHG45" s="137"/>
      <c r="HHH45" s="137"/>
      <c r="HHI45" s="137"/>
      <c r="HHJ45" s="137"/>
      <c r="HHK45" s="137"/>
      <c r="HHL45" s="137"/>
      <c r="HHM45" s="137"/>
      <c r="HHN45" s="137"/>
      <c r="HHO45" s="137"/>
      <c r="HHP45" s="137"/>
      <c r="HHQ45" s="137"/>
      <c r="HHR45" s="137"/>
      <c r="HHS45" s="137"/>
      <c r="HHT45" s="137"/>
      <c r="HHU45" s="137"/>
      <c r="HHV45" s="137"/>
      <c r="HHW45" s="137"/>
      <c r="HHX45" s="137"/>
      <c r="HHY45" s="137"/>
      <c r="HHZ45" s="137"/>
      <c r="HIA45" s="137"/>
      <c r="HIB45" s="137"/>
      <c r="HIC45" s="137"/>
      <c r="HID45" s="137"/>
      <c r="HIE45" s="137"/>
      <c r="HIF45" s="137"/>
      <c r="HIG45" s="137"/>
      <c r="HIH45" s="137"/>
      <c r="HII45" s="137"/>
      <c r="HIJ45" s="137"/>
      <c r="HIK45" s="137"/>
      <c r="HIL45" s="137"/>
      <c r="HIM45" s="137"/>
      <c r="HIN45" s="137"/>
      <c r="HIO45" s="137"/>
      <c r="HIP45" s="137"/>
      <c r="HIQ45" s="137"/>
      <c r="HIR45" s="137"/>
      <c r="HIS45" s="137"/>
      <c r="HIT45" s="137"/>
      <c r="HIU45" s="137"/>
      <c r="HIV45" s="137"/>
      <c r="HIW45" s="137"/>
      <c r="HIX45" s="137"/>
      <c r="HIY45" s="137"/>
      <c r="HIZ45" s="137"/>
      <c r="HJA45" s="137"/>
      <c r="HJB45" s="137"/>
      <c r="HJC45" s="137"/>
      <c r="HJD45" s="137"/>
      <c r="HJE45" s="137"/>
      <c r="HJF45" s="137"/>
      <c r="HJG45" s="137"/>
      <c r="HJH45" s="137"/>
      <c r="HJI45" s="137"/>
      <c r="HJJ45" s="137"/>
      <c r="HJK45" s="137"/>
      <c r="HJL45" s="137"/>
      <c r="HJM45" s="137"/>
      <c r="HJN45" s="137"/>
      <c r="HJO45" s="137"/>
      <c r="HJP45" s="137"/>
      <c r="HJQ45" s="137"/>
      <c r="HJR45" s="137"/>
      <c r="HJS45" s="137"/>
      <c r="HJT45" s="137"/>
      <c r="HJU45" s="137"/>
      <c r="HJV45" s="137"/>
      <c r="HJW45" s="137"/>
      <c r="HJX45" s="137"/>
      <c r="HJY45" s="137"/>
      <c r="HJZ45" s="137"/>
      <c r="HKA45" s="137"/>
      <c r="HKB45" s="137"/>
      <c r="HKC45" s="137"/>
      <c r="HKD45" s="137"/>
      <c r="HKE45" s="137"/>
      <c r="HKF45" s="137"/>
      <c r="HKG45" s="137"/>
      <c r="HKH45" s="137"/>
      <c r="HKI45" s="137"/>
      <c r="HKJ45" s="137"/>
      <c r="HKK45" s="137"/>
      <c r="HKL45" s="137"/>
      <c r="HKM45" s="137"/>
      <c r="HKN45" s="137"/>
      <c r="HKO45" s="137"/>
      <c r="HKP45" s="137"/>
      <c r="HKQ45" s="137"/>
      <c r="HKR45" s="137"/>
      <c r="HKS45" s="137"/>
      <c r="HKT45" s="137"/>
      <c r="HKU45" s="137"/>
      <c r="HKV45" s="137"/>
      <c r="HKW45" s="137"/>
      <c r="HKX45" s="137"/>
      <c r="HKY45" s="137"/>
      <c r="HKZ45" s="137"/>
      <c r="HLA45" s="137"/>
      <c r="HLB45" s="137"/>
      <c r="HLC45" s="137"/>
      <c r="HLD45" s="137"/>
      <c r="HLE45" s="137"/>
      <c r="HLF45" s="137"/>
      <c r="HLG45" s="137"/>
      <c r="HLH45" s="137"/>
      <c r="HLI45" s="137"/>
      <c r="HLJ45" s="137"/>
      <c r="HLK45" s="137"/>
      <c r="HLL45" s="137"/>
      <c r="HLM45" s="137"/>
      <c r="HLN45" s="137"/>
      <c r="HLO45" s="137"/>
      <c r="HLP45" s="137"/>
      <c r="HLQ45" s="137"/>
      <c r="HLR45" s="137"/>
      <c r="HLS45" s="137"/>
      <c r="HLT45" s="137"/>
      <c r="HLU45" s="137"/>
      <c r="HLV45" s="137"/>
      <c r="HLW45" s="137"/>
      <c r="HLX45" s="137"/>
      <c r="HLY45" s="137"/>
      <c r="HLZ45" s="137"/>
      <c r="HMA45" s="137"/>
      <c r="HMB45" s="137"/>
      <c r="HMC45" s="137"/>
      <c r="HMD45" s="137"/>
      <c r="HME45" s="137"/>
      <c r="HMF45" s="137"/>
      <c r="HMG45" s="137"/>
      <c r="HMH45" s="137"/>
      <c r="HMI45" s="137"/>
      <c r="HMJ45" s="137"/>
      <c r="HMK45" s="137"/>
      <c r="HML45" s="137"/>
      <c r="HMM45" s="137"/>
      <c r="HMN45" s="137"/>
      <c r="HMO45" s="137"/>
      <c r="HMP45" s="137"/>
      <c r="HMQ45" s="137"/>
      <c r="HMR45" s="137"/>
      <c r="HMS45" s="137"/>
      <c r="HMT45" s="137"/>
      <c r="HMU45" s="137"/>
      <c r="HMV45" s="137"/>
      <c r="HMW45" s="137"/>
      <c r="HMX45" s="137"/>
      <c r="HMY45" s="137"/>
      <c r="HMZ45" s="137"/>
      <c r="HNA45" s="137"/>
      <c r="HNB45" s="137"/>
      <c r="HNC45" s="137"/>
      <c r="HND45" s="137"/>
      <c r="HNE45" s="137"/>
      <c r="HNF45" s="137"/>
      <c r="HNG45" s="137"/>
      <c r="HNH45" s="137"/>
      <c r="HNI45" s="137"/>
      <c r="HNJ45" s="137"/>
      <c r="HNK45" s="137"/>
      <c r="HNL45" s="137"/>
      <c r="HNM45" s="137"/>
      <c r="HNN45" s="137"/>
      <c r="HNO45" s="137"/>
      <c r="HNP45" s="137"/>
      <c r="HNQ45" s="137"/>
      <c r="HNR45" s="137"/>
      <c r="HNS45" s="137"/>
      <c r="HNT45" s="137"/>
      <c r="HNU45" s="137"/>
      <c r="HNV45" s="137"/>
      <c r="HNW45" s="137"/>
      <c r="HNX45" s="137"/>
      <c r="HNY45" s="137"/>
      <c r="HNZ45" s="137"/>
      <c r="HOA45" s="137"/>
      <c r="HOB45" s="137"/>
      <c r="HOC45" s="137"/>
      <c r="HOD45" s="137"/>
      <c r="HOE45" s="137"/>
      <c r="HOF45" s="137"/>
      <c r="HOG45" s="137"/>
      <c r="HOH45" s="137"/>
      <c r="HOI45" s="137"/>
      <c r="HOJ45" s="137"/>
      <c r="HOK45" s="137"/>
      <c r="HOL45" s="137"/>
      <c r="HOM45" s="137"/>
      <c r="HON45" s="137"/>
      <c r="HOO45" s="137"/>
      <c r="HOP45" s="137"/>
      <c r="HOQ45" s="137"/>
      <c r="HOR45" s="137"/>
      <c r="HOS45" s="137"/>
      <c r="HOT45" s="137"/>
      <c r="HOU45" s="137"/>
      <c r="HOV45" s="137"/>
      <c r="HOW45" s="137"/>
      <c r="HOX45" s="137"/>
      <c r="HOY45" s="137"/>
      <c r="HOZ45" s="137"/>
      <c r="HPA45" s="137"/>
      <c r="HPB45" s="137"/>
      <c r="HPC45" s="137"/>
      <c r="HPD45" s="137"/>
      <c r="HPE45" s="137"/>
      <c r="HPF45" s="137"/>
      <c r="HPG45" s="137"/>
      <c r="HPH45" s="137"/>
      <c r="HPI45" s="137"/>
      <c r="HPJ45" s="137"/>
      <c r="HPK45" s="137"/>
      <c r="HPL45" s="137"/>
      <c r="HPM45" s="137"/>
      <c r="HPN45" s="137"/>
      <c r="HPO45" s="137"/>
      <c r="HPP45" s="137"/>
      <c r="HPQ45" s="137"/>
      <c r="HPR45" s="137"/>
      <c r="HPS45" s="137"/>
      <c r="HPT45" s="137"/>
      <c r="HPU45" s="137"/>
      <c r="HPV45" s="137"/>
      <c r="HPW45" s="137"/>
      <c r="HPX45" s="137"/>
      <c r="HPY45" s="137"/>
      <c r="HPZ45" s="137"/>
      <c r="HQA45" s="137"/>
      <c r="HQB45" s="137"/>
      <c r="HQC45" s="137"/>
      <c r="HQD45" s="137"/>
      <c r="HQE45" s="137"/>
      <c r="HQF45" s="137"/>
      <c r="HQG45" s="137"/>
      <c r="HQH45" s="137"/>
      <c r="HQI45" s="137"/>
      <c r="HQJ45" s="137"/>
      <c r="HQK45" s="137"/>
      <c r="HQL45" s="137"/>
      <c r="HQM45" s="137"/>
      <c r="HQN45" s="137"/>
      <c r="HQO45" s="137"/>
      <c r="HQP45" s="137"/>
      <c r="HQQ45" s="137"/>
      <c r="HQR45" s="137"/>
      <c r="HQS45" s="137"/>
      <c r="HQT45" s="137"/>
      <c r="HQU45" s="137"/>
      <c r="HQV45" s="137"/>
      <c r="HQW45" s="137"/>
      <c r="HQX45" s="137"/>
      <c r="HQY45" s="137"/>
      <c r="HQZ45" s="137"/>
      <c r="HRA45" s="137"/>
      <c r="HRB45" s="137"/>
      <c r="HRC45" s="137"/>
      <c r="HRD45" s="137"/>
      <c r="HRE45" s="137"/>
      <c r="HRF45" s="137"/>
      <c r="HRG45" s="137"/>
      <c r="HRH45" s="137"/>
      <c r="HRI45" s="137"/>
      <c r="HRJ45" s="137"/>
      <c r="HRK45" s="137"/>
      <c r="HRL45" s="137"/>
      <c r="HRM45" s="137"/>
      <c r="HRN45" s="137"/>
      <c r="HRO45" s="137"/>
      <c r="HRP45" s="137"/>
      <c r="HRQ45" s="137"/>
      <c r="HRR45" s="137"/>
      <c r="HRS45" s="137"/>
      <c r="HRT45" s="137"/>
      <c r="HRU45" s="137"/>
      <c r="HRV45" s="137"/>
      <c r="HRW45" s="137"/>
      <c r="HRX45" s="137"/>
      <c r="HRY45" s="137"/>
      <c r="HRZ45" s="137"/>
      <c r="HSA45" s="137"/>
      <c r="HSB45" s="137"/>
      <c r="HSC45" s="137"/>
      <c r="HSD45" s="137"/>
      <c r="HSE45" s="137"/>
      <c r="HSF45" s="137"/>
      <c r="HSG45" s="137"/>
      <c r="HSH45" s="137"/>
      <c r="HSI45" s="137"/>
      <c r="HSJ45" s="137"/>
      <c r="HSK45" s="137"/>
      <c r="HSL45" s="137"/>
      <c r="HSM45" s="137"/>
      <c r="HSN45" s="137"/>
      <c r="HSO45" s="137"/>
      <c r="HSP45" s="137"/>
      <c r="HSQ45" s="137"/>
      <c r="HSR45" s="137"/>
      <c r="HSS45" s="137"/>
      <c r="HST45" s="137"/>
      <c r="HSU45" s="137"/>
      <c r="HSV45" s="137"/>
      <c r="HSW45" s="137"/>
      <c r="HSX45" s="137"/>
      <c r="HSY45" s="137"/>
      <c r="HSZ45" s="137"/>
      <c r="HTA45" s="137"/>
      <c r="HTB45" s="137"/>
      <c r="HTC45" s="137"/>
      <c r="HTD45" s="137"/>
      <c r="HTE45" s="137"/>
      <c r="HTF45" s="137"/>
      <c r="HTG45" s="137"/>
      <c r="HTH45" s="137"/>
      <c r="HTI45" s="137"/>
      <c r="HTJ45" s="137"/>
      <c r="HTK45" s="137"/>
      <c r="HTL45" s="137"/>
      <c r="HTM45" s="137"/>
      <c r="HTN45" s="137"/>
      <c r="HTO45" s="137"/>
      <c r="HTP45" s="137"/>
      <c r="HTQ45" s="137"/>
      <c r="HTR45" s="137"/>
      <c r="HTS45" s="137"/>
      <c r="HTT45" s="137"/>
      <c r="HTU45" s="137"/>
      <c r="HTV45" s="137"/>
      <c r="HTW45" s="137"/>
      <c r="HTX45" s="137"/>
      <c r="HTY45" s="137"/>
      <c r="HTZ45" s="137"/>
      <c r="HUA45" s="137"/>
      <c r="HUB45" s="137"/>
      <c r="HUC45" s="137"/>
      <c r="HUD45" s="137"/>
      <c r="HUE45" s="137"/>
      <c r="HUF45" s="137"/>
      <c r="HUG45" s="137"/>
      <c r="HUH45" s="137"/>
      <c r="HUI45" s="137"/>
      <c r="HUJ45" s="137"/>
      <c r="HUK45" s="137"/>
      <c r="HUL45" s="137"/>
      <c r="HUM45" s="137"/>
      <c r="HUN45" s="137"/>
      <c r="HUO45" s="137"/>
      <c r="HUP45" s="137"/>
      <c r="HUQ45" s="137"/>
      <c r="HUR45" s="137"/>
      <c r="HUS45" s="137"/>
      <c r="HUT45" s="137"/>
      <c r="HUU45" s="137"/>
      <c r="HUV45" s="137"/>
      <c r="HUW45" s="137"/>
      <c r="HUX45" s="137"/>
      <c r="HUY45" s="137"/>
      <c r="HUZ45" s="137"/>
      <c r="HVA45" s="137"/>
      <c r="HVB45" s="137"/>
      <c r="HVC45" s="137"/>
      <c r="HVD45" s="137"/>
      <c r="HVE45" s="137"/>
      <c r="HVF45" s="137"/>
      <c r="HVG45" s="137"/>
      <c r="HVH45" s="137"/>
      <c r="HVI45" s="137"/>
      <c r="HVJ45" s="137"/>
      <c r="HVK45" s="137"/>
      <c r="HVL45" s="137"/>
      <c r="HVM45" s="137"/>
      <c r="HVN45" s="137"/>
      <c r="HVO45" s="137"/>
      <c r="HVP45" s="137"/>
      <c r="HVQ45" s="137"/>
      <c r="HVR45" s="137"/>
      <c r="HVS45" s="137"/>
      <c r="HVT45" s="137"/>
      <c r="HVU45" s="137"/>
      <c r="HVV45" s="137"/>
      <c r="HVW45" s="137"/>
      <c r="HVX45" s="137"/>
      <c r="HVY45" s="137"/>
      <c r="HVZ45" s="137"/>
      <c r="HWA45" s="137"/>
      <c r="HWB45" s="137"/>
      <c r="HWC45" s="137"/>
      <c r="HWD45" s="137"/>
      <c r="HWE45" s="137"/>
      <c r="HWF45" s="137"/>
      <c r="HWG45" s="137"/>
      <c r="HWH45" s="137"/>
      <c r="HWI45" s="137"/>
      <c r="HWJ45" s="137"/>
      <c r="HWK45" s="137"/>
      <c r="HWL45" s="137"/>
      <c r="HWM45" s="137"/>
      <c r="HWN45" s="137"/>
      <c r="HWO45" s="137"/>
      <c r="HWP45" s="137"/>
      <c r="HWQ45" s="137"/>
      <c r="HWR45" s="137"/>
      <c r="HWS45" s="137"/>
      <c r="HWT45" s="137"/>
      <c r="HWU45" s="137"/>
      <c r="HWV45" s="137"/>
      <c r="HWW45" s="137"/>
      <c r="HWX45" s="137"/>
      <c r="HWY45" s="137"/>
      <c r="HWZ45" s="137"/>
      <c r="HXA45" s="137"/>
      <c r="HXB45" s="137"/>
      <c r="HXC45" s="137"/>
      <c r="HXD45" s="137"/>
      <c r="HXE45" s="137"/>
      <c r="HXF45" s="137"/>
      <c r="HXG45" s="137"/>
      <c r="HXH45" s="137"/>
      <c r="HXI45" s="137"/>
      <c r="HXJ45" s="137"/>
      <c r="HXK45" s="137"/>
      <c r="HXL45" s="137"/>
      <c r="HXM45" s="137"/>
      <c r="HXN45" s="137"/>
      <c r="HXO45" s="137"/>
      <c r="HXP45" s="137"/>
      <c r="HXQ45" s="137"/>
      <c r="HXR45" s="137"/>
      <c r="HXS45" s="137"/>
      <c r="HXT45" s="137"/>
      <c r="HXU45" s="137"/>
      <c r="HXV45" s="137"/>
      <c r="HXW45" s="137"/>
      <c r="HXX45" s="137"/>
      <c r="HXY45" s="137"/>
      <c r="HXZ45" s="137"/>
      <c r="HYA45" s="137"/>
      <c r="HYB45" s="137"/>
      <c r="HYC45" s="137"/>
      <c r="HYD45" s="137"/>
      <c r="HYE45" s="137"/>
      <c r="HYF45" s="137"/>
      <c r="HYG45" s="137"/>
      <c r="HYH45" s="137"/>
      <c r="HYI45" s="137"/>
      <c r="HYJ45" s="137"/>
      <c r="HYK45" s="137"/>
      <c r="HYL45" s="137"/>
      <c r="HYM45" s="137"/>
      <c r="HYN45" s="137"/>
      <c r="HYO45" s="137"/>
      <c r="HYP45" s="137"/>
      <c r="HYQ45" s="137"/>
      <c r="HYR45" s="137"/>
      <c r="HYS45" s="137"/>
      <c r="HYT45" s="137"/>
      <c r="HYU45" s="137"/>
      <c r="HYV45" s="137"/>
      <c r="HYW45" s="137"/>
      <c r="HYX45" s="137"/>
      <c r="HYY45" s="137"/>
      <c r="HYZ45" s="137"/>
      <c r="HZA45" s="137"/>
      <c r="HZB45" s="137"/>
      <c r="HZC45" s="137"/>
      <c r="HZD45" s="137"/>
      <c r="HZE45" s="137"/>
      <c r="HZF45" s="137"/>
      <c r="HZG45" s="137"/>
      <c r="HZH45" s="137"/>
      <c r="HZI45" s="137"/>
      <c r="HZJ45" s="137"/>
      <c r="HZK45" s="137"/>
      <c r="HZL45" s="137"/>
      <c r="HZM45" s="137"/>
      <c r="HZN45" s="137"/>
      <c r="HZO45" s="137"/>
      <c r="HZP45" s="137"/>
      <c r="HZQ45" s="137"/>
      <c r="HZR45" s="137"/>
      <c r="HZS45" s="137"/>
      <c r="HZT45" s="137"/>
      <c r="HZU45" s="137"/>
      <c r="HZV45" s="137"/>
      <c r="HZW45" s="137"/>
      <c r="HZX45" s="137"/>
      <c r="HZY45" s="137"/>
      <c r="HZZ45" s="137"/>
      <c r="IAA45" s="137"/>
      <c r="IAB45" s="137"/>
      <c r="IAC45" s="137"/>
      <c r="IAD45" s="137"/>
      <c r="IAE45" s="137"/>
      <c r="IAF45" s="137"/>
      <c r="IAG45" s="137"/>
      <c r="IAH45" s="137"/>
      <c r="IAI45" s="137"/>
      <c r="IAJ45" s="137"/>
      <c r="IAK45" s="137"/>
      <c r="IAL45" s="137"/>
      <c r="IAM45" s="137"/>
      <c r="IAN45" s="137"/>
      <c r="IAO45" s="137"/>
      <c r="IAP45" s="137"/>
      <c r="IAQ45" s="137"/>
      <c r="IAR45" s="137"/>
      <c r="IAS45" s="137"/>
      <c r="IAT45" s="137"/>
      <c r="IAU45" s="137"/>
      <c r="IAV45" s="137"/>
      <c r="IAW45" s="137"/>
      <c r="IAX45" s="137"/>
      <c r="IAY45" s="137"/>
      <c r="IAZ45" s="137"/>
      <c r="IBA45" s="137"/>
      <c r="IBB45" s="137"/>
      <c r="IBC45" s="137"/>
      <c r="IBD45" s="137"/>
      <c r="IBE45" s="137"/>
      <c r="IBF45" s="137"/>
      <c r="IBG45" s="137"/>
      <c r="IBH45" s="137"/>
      <c r="IBI45" s="137"/>
      <c r="IBJ45" s="137"/>
      <c r="IBK45" s="137"/>
      <c r="IBL45" s="137"/>
      <c r="IBM45" s="137"/>
      <c r="IBN45" s="137"/>
      <c r="IBO45" s="137"/>
      <c r="IBP45" s="137"/>
      <c r="IBQ45" s="137"/>
      <c r="IBR45" s="137"/>
      <c r="IBS45" s="137"/>
      <c r="IBT45" s="137"/>
      <c r="IBU45" s="137"/>
      <c r="IBV45" s="137"/>
      <c r="IBW45" s="137"/>
      <c r="IBX45" s="137"/>
      <c r="IBY45" s="137"/>
      <c r="IBZ45" s="137"/>
      <c r="ICA45" s="137"/>
      <c r="ICB45" s="137"/>
      <c r="ICC45" s="137"/>
      <c r="ICD45" s="137"/>
      <c r="ICE45" s="137"/>
      <c r="ICF45" s="137"/>
      <c r="ICG45" s="137"/>
      <c r="ICH45" s="137"/>
      <c r="ICI45" s="137"/>
      <c r="ICJ45" s="137"/>
      <c r="ICK45" s="137"/>
      <c r="ICL45" s="137"/>
      <c r="ICM45" s="137"/>
      <c r="ICN45" s="137"/>
      <c r="ICO45" s="137"/>
      <c r="ICP45" s="137"/>
      <c r="ICQ45" s="137"/>
      <c r="ICR45" s="137"/>
      <c r="ICS45" s="137"/>
      <c r="ICT45" s="137"/>
      <c r="ICU45" s="137"/>
      <c r="ICV45" s="137"/>
      <c r="ICW45" s="137"/>
      <c r="ICX45" s="137"/>
      <c r="ICY45" s="137"/>
      <c r="ICZ45" s="137"/>
      <c r="IDA45" s="137"/>
      <c r="IDB45" s="137"/>
      <c r="IDC45" s="137"/>
      <c r="IDD45" s="137"/>
      <c r="IDE45" s="137"/>
      <c r="IDF45" s="137"/>
      <c r="IDG45" s="137"/>
      <c r="IDH45" s="137"/>
      <c r="IDI45" s="137"/>
      <c r="IDJ45" s="137"/>
      <c r="IDK45" s="137"/>
      <c r="IDL45" s="137"/>
      <c r="IDM45" s="137"/>
      <c r="IDN45" s="137"/>
      <c r="IDO45" s="137"/>
      <c r="IDP45" s="137"/>
      <c r="IDQ45" s="137"/>
      <c r="IDR45" s="137"/>
      <c r="IDS45" s="137"/>
      <c r="IDT45" s="137"/>
      <c r="IDU45" s="137"/>
      <c r="IDV45" s="137"/>
      <c r="IDW45" s="137"/>
      <c r="IDX45" s="137"/>
      <c r="IDY45" s="137"/>
      <c r="IDZ45" s="137"/>
      <c r="IEA45" s="137"/>
      <c r="IEB45" s="137"/>
      <c r="IEC45" s="137"/>
      <c r="IED45" s="137"/>
      <c r="IEE45" s="137"/>
      <c r="IEF45" s="137"/>
      <c r="IEG45" s="137"/>
      <c r="IEH45" s="137"/>
      <c r="IEI45" s="137"/>
      <c r="IEJ45" s="137"/>
      <c r="IEK45" s="137"/>
      <c r="IEL45" s="137"/>
      <c r="IEM45" s="137"/>
      <c r="IEN45" s="137"/>
      <c r="IEO45" s="137"/>
      <c r="IEP45" s="137"/>
      <c r="IEQ45" s="137"/>
      <c r="IER45" s="137"/>
      <c r="IES45" s="137"/>
      <c r="IET45" s="137"/>
      <c r="IEU45" s="137"/>
      <c r="IEV45" s="137"/>
      <c r="IEW45" s="137"/>
      <c r="IEX45" s="137"/>
      <c r="IEY45" s="137"/>
      <c r="IEZ45" s="137"/>
      <c r="IFA45" s="137"/>
      <c r="IFB45" s="137"/>
      <c r="IFC45" s="137"/>
      <c r="IFD45" s="137"/>
      <c r="IFE45" s="137"/>
      <c r="IFF45" s="137"/>
      <c r="IFG45" s="137"/>
      <c r="IFH45" s="137"/>
      <c r="IFI45" s="137"/>
      <c r="IFJ45" s="137"/>
      <c r="IFK45" s="137"/>
      <c r="IFL45" s="137"/>
      <c r="IFM45" s="137"/>
      <c r="IFN45" s="137"/>
      <c r="IFO45" s="137"/>
      <c r="IFP45" s="137"/>
      <c r="IFQ45" s="137"/>
      <c r="IFR45" s="137"/>
      <c r="IFS45" s="137"/>
      <c r="IFT45" s="137"/>
      <c r="IFU45" s="137"/>
      <c r="IFV45" s="137"/>
      <c r="IFW45" s="137"/>
      <c r="IFX45" s="137"/>
      <c r="IFY45" s="137"/>
      <c r="IFZ45" s="137"/>
      <c r="IGA45" s="137"/>
      <c r="IGB45" s="137"/>
      <c r="IGC45" s="137"/>
      <c r="IGD45" s="137"/>
      <c r="IGE45" s="137"/>
      <c r="IGF45" s="137"/>
      <c r="IGG45" s="137"/>
      <c r="IGH45" s="137"/>
      <c r="IGI45" s="137"/>
      <c r="IGJ45" s="137"/>
      <c r="IGK45" s="137"/>
      <c r="IGL45" s="137"/>
      <c r="IGM45" s="137"/>
      <c r="IGN45" s="137"/>
      <c r="IGO45" s="137"/>
      <c r="IGP45" s="137"/>
      <c r="IGQ45" s="137"/>
      <c r="IGR45" s="137"/>
      <c r="IGS45" s="137"/>
      <c r="IGT45" s="137"/>
      <c r="IGU45" s="137"/>
      <c r="IGV45" s="137"/>
      <c r="IGW45" s="137"/>
      <c r="IGX45" s="137"/>
      <c r="IGY45" s="137"/>
      <c r="IGZ45" s="137"/>
      <c r="IHA45" s="137"/>
      <c r="IHB45" s="137"/>
      <c r="IHC45" s="137"/>
      <c r="IHD45" s="137"/>
      <c r="IHE45" s="137"/>
      <c r="IHF45" s="137"/>
      <c r="IHG45" s="137"/>
      <c r="IHH45" s="137"/>
      <c r="IHI45" s="137"/>
      <c r="IHJ45" s="137"/>
      <c r="IHK45" s="137"/>
      <c r="IHL45" s="137"/>
      <c r="IHM45" s="137"/>
      <c r="IHN45" s="137"/>
      <c r="IHO45" s="137"/>
      <c r="IHP45" s="137"/>
      <c r="IHQ45" s="137"/>
      <c r="IHR45" s="137"/>
      <c r="IHS45" s="137"/>
      <c r="IHT45" s="137"/>
      <c r="IHU45" s="137"/>
      <c r="IHV45" s="137"/>
      <c r="IHW45" s="137"/>
      <c r="IHX45" s="137"/>
      <c r="IHY45" s="137"/>
      <c r="IHZ45" s="137"/>
      <c r="IIA45" s="137"/>
      <c r="IIB45" s="137"/>
      <c r="IIC45" s="137"/>
      <c r="IID45" s="137"/>
      <c r="IIE45" s="137"/>
      <c r="IIF45" s="137"/>
      <c r="IIG45" s="137"/>
      <c r="IIH45" s="137"/>
      <c r="III45" s="137"/>
      <c r="IIJ45" s="137"/>
      <c r="IIK45" s="137"/>
      <c r="IIL45" s="137"/>
      <c r="IIM45" s="137"/>
      <c r="IIN45" s="137"/>
      <c r="IIO45" s="137"/>
      <c r="IIP45" s="137"/>
      <c r="IIQ45" s="137"/>
      <c r="IIR45" s="137"/>
      <c r="IIS45" s="137"/>
      <c r="IIT45" s="137"/>
      <c r="IIU45" s="137"/>
      <c r="IIV45" s="137"/>
      <c r="IIW45" s="137"/>
      <c r="IIX45" s="137"/>
      <c r="IIY45" s="137"/>
      <c r="IIZ45" s="137"/>
      <c r="IJA45" s="137"/>
      <c r="IJB45" s="137"/>
      <c r="IJC45" s="137"/>
      <c r="IJD45" s="137"/>
      <c r="IJE45" s="137"/>
      <c r="IJF45" s="137"/>
      <c r="IJG45" s="137"/>
      <c r="IJH45" s="137"/>
      <c r="IJI45" s="137"/>
      <c r="IJJ45" s="137"/>
      <c r="IJK45" s="137"/>
      <c r="IJL45" s="137"/>
      <c r="IJM45" s="137"/>
      <c r="IJN45" s="137"/>
      <c r="IJO45" s="137"/>
      <c r="IJP45" s="137"/>
      <c r="IJQ45" s="137"/>
      <c r="IJR45" s="137"/>
      <c r="IJS45" s="137"/>
      <c r="IJT45" s="137"/>
      <c r="IJU45" s="137"/>
      <c r="IJV45" s="137"/>
      <c r="IJW45" s="137"/>
      <c r="IJX45" s="137"/>
      <c r="IJY45" s="137"/>
      <c r="IJZ45" s="137"/>
      <c r="IKA45" s="137"/>
      <c r="IKB45" s="137"/>
      <c r="IKC45" s="137"/>
      <c r="IKD45" s="137"/>
      <c r="IKE45" s="137"/>
      <c r="IKF45" s="137"/>
      <c r="IKG45" s="137"/>
      <c r="IKH45" s="137"/>
      <c r="IKI45" s="137"/>
      <c r="IKJ45" s="137"/>
      <c r="IKK45" s="137"/>
      <c r="IKL45" s="137"/>
      <c r="IKM45" s="137"/>
      <c r="IKN45" s="137"/>
      <c r="IKO45" s="137"/>
      <c r="IKP45" s="137"/>
      <c r="IKQ45" s="137"/>
      <c r="IKR45" s="137"/>
      <c r="IKS45" s="137"/>
      <c r="IKT45" s="137"/>
      <c r="IKU45" s="137"/>
      <c r="IKV45" s="137"/>
      <c r="IKW45" s="137"/>
      <c r="IKX45" s="137"/>
      <c r="IKY45" s="137"/>
      <c r="IKZ45" s="137"/>
      <c r="ILA45" s="137"/>
      <c r="ILB45" s="137"/>
      <c r="ILC45" s="137"/>
      <c r="ILD45" s="137"/>
      <c r="ILE45" s="137"/>
      <c r="ILF45" s="137"/>
      <c r="ILG45" s="137"/>
      <c r="ILH45" s="137"/>
      <c r="ILI45" s="137"/>
      <c r="ILJ45" s="137"/>
      <c r="ILK45" s="137"/>
      <c r="ILL45" s="137"/>
      <c r="ILM45" s="137"/>
      <c r="ILN45" s="137"/>
      <c r="ILO45" s="137"/>
      <c r="ILP45" s="137"/>
      <c r="ILQ45" s="137"/>
      <c r="ILR45" s="137"/>
      <c r="ILS45" s="137"/>
      <c r="ILT45" s="137"/>
      <c r="ILU45" s="137"/>
      <c r="ILV45" s="137"/>
      <c r="ILW45" s="137"/>
      <c r="ILX45" s="137"/>
      <c r="ILY45" s="137"/>
      <c r="ILZ45" s="137"/>
      <c r="IMA45" s="137"/>
      <c r="IMB45" s="137"/>
      <c r="IMC45" s="137"/>
      <c r="IMD45" s="137"/>
      <c r="IME45" s="137"/>
      <c r="IMF45" s="137"/>
      <c r="IMG45" s="137"/>
      <c r="IMH45" s="137"/>
      <c r="IMI45" s="137"/>
      <c r="IMJ45" s="137"/>
      <c r="IMK45" s="137"/>
      <c r="IML45" s="137"/>
      <c r="IMM45" s="137"/>
      <c r="IMN45" s="137"/>
      <c r="IMO45" s="137"/>
      <c r="IMP45" s="137"/>
      <c r="IMQ45" s="137"/>
      <c r="IMR45" s="137"/>
      <c r="IMS45" s="137"/>
      <c r="IMT45" s="137"/>
      <c r="IMU45" s="137"/>
      <c r="IMV45" s="137"/>
      <c r="IMW45" s="137"/>
      <c r="IMX45" s="137"/>
      <c r="IMY45" s="137"/>
      <c r="IMZ45" s="137"/>
      <c r="INA45" s="137"/>
      <c r="INB45" s="137"/>
      <c r="INC45" s="137"/>
      <c r="IND45" s="137"/>
      <c r="INE45" s="137"/>
      <c r="INF45" s="137"/>
      <c r="ING45" s="137"/>
      <c r="INH45" s="137"/>
      <c r="INI45" s="137"/>
      <c r="INJ45" s="137"/>
      <c r="INK45" s="137"/>
      <c r="INL45" s="137"/>
      <c r="INM45" s="137"/>
      <c r="INN45" s="137"/>
      <c r="INO45" s="137"/>
      <c r="INP45" s="137"/>
      <c r="INQ45" s="137"/>
      <c r="INR45" s="137"/>
      <c r="INS45" s="137"/>
      <c r="INT45" s="137"/>
      <c r="INU45" s="137"/>
      <c r="INV45" s="137"/>
      <c r="INW45" s="137"/>
      <c r="INX45" s="137"/>
      <c r="INY45" s="137"/>
      <c r="INZ45" s="137"/>
      <c r="IOA45" s="137"/>
      <c r="IOB45" s="137"/>
      <c r="IOC45" s="137"/>
      <c r="IOD45" s="137"/>
      <c r="IOE45" s="137"/>
      <c r="IOF45" s="137"/>
      <c r="IOG45" s="137"/>
      <c r="IOH45" s="137"/>
      <c r="IOI45" s="137"/>
      <c r="IOJ45" s="137"/>
      <c r="IOK45" s="137"/>
      <c r="IOL45" s="137"/>
      <c r="IOM45" s="137"/>
      <c r="ION45" s="137"/>
      <c r="IOO45" s="137"/>
      <c r="IOP45" s="137"/>
      <c r="IOQ45" s="137"/>
      <c r="IOR45" s="137"/>
      <c r="IOS45" s="137"/>
      <c r="IOT45" s="137"/>
      <c r="IOU45" s="137"/>
      <c r="IOV45" s="137"/>
      <c r="IOW45" s="137"/>
      <c r="IOX45" s="137"/>
      <c r="IOY45" s="137"/>
      <c r="IOZ45" s="137"/>
      <c r="IPA45" s="137"/>
      <c r="IPB45" s="137"/>
      <c r="IPC45" s="137"/>
      <c r="IPD45" s="137"/>
      <c r="IPE45" s="137"/>
      <c r="IPF45" s="137"/>
      <c r="IPG45" s="137"/>
      <c r="IPH45" s="137"/>
      <c r="IPI45" s="137"/>
      <c r="IPJ45" s="137"/>
      <c r="IPK45" s="137"/>
      <c r="IPL45" s="137"/>
      <c r="IPM45" s="137"/>
      <c r="IPN45" s="137"/>
      <c r="IPO45" s="137"/>
      <c r="IPP45" s="137"/>
      <c r="IPQ45" s="137"/>
      <c r="IPR45" s="137"/>
      <c r="IPS45" s="137"/>
      <c r="IPT45" s="137"/>
      <c r="IPU45" s="137"/>
      <c r="IPV45" s="137"/>
      <c r="IPW45" s="137"/>
      <c r="IPX45" s="137"/>
      <c r="IPY45" s="137"/>
      <c r="IPZ45" s="137"/>
      <c r="IQA45" s="137"/>
      <c r="IQB45" s="137"/>
      <c r="IQC45" s="137"/>
      <c r="IQD45" s="137"/>
      <c r="IQE45" s="137"/>
      <c r="IQF45" s="137"/>
      <c r="IQG45" s="137"/>
      <c r="IQH45" s="137"/>
      <c r="IQI45" s="137"/>
      <c r="IQJ45" s="137"/>
      <c r="IQK45" s="137"/>
      <c r="IQL45" s="137"/>
      <c r="IQM45" s="137"/>
      <c r="IQN45" s="137"/>
      <c r="IQO45" s="137"/>
      <c r="IQP45" s="137"/>
      <c r="IQQ45" s="137"/>
      <c r="IQR45" s="137"/>
      <c r="IQS45" s="137"/>
      <c r="IQT45" s="137"/>
      <c r="IQU45" s="137"/>
      <c r="IQV45" s="137"/>
      <c r="IQW45" s="137"/>
      <c r="IQX45" s="137"/>
      <c r="IQY45" s="137"/>
      <c r="IQZ45" s="137"/>
      <c r="IRA45" s="137"/>
      <c r="IRB45" s="137"/>
      <c r="IRC45" s="137"/>
      <c r="IRD45" s="137"/>
      <c r="IRE45" s="137"/>
      <c r="IRF45" s="137"/>
      <c r="IRG45" s="137"/>
      <c r="IRH45" s="137"/>
      <c r="IRI45" s="137"/>
      <c r="IRJ45" s="137"/>
      <c r="IRK45" s="137"/>
      <c r="IRL45" s="137"/>
      <c r="IRM45" s="137"/>
      <c r="IRN45" s="137"/>
      <c r="IRO45" s="137"/>
      <c r="IRP45" s="137"/>
      <c r="IRQ45" s="137"/>
      <c r="IRR45" s="137"/>
      <c r="IRS45" s="137"/>
      <c r="IRT45" s="137"/>
      <c r="IRU45" s="137"/>
      <c r="IRV45" s="137"/>
      <c r="IRW45" s="137"/>
      <c r="IRX45" s="137"/>
      <c r="IRY45" s="137"/>
      <c r="IRZ45" s="137"/>
      <c r="ISA45" s="137"/>
      <c r="ISB45" s="137"/>
      <c r="ISC45" s="137"/>
      <c r="ISD45" s="137"/>
      <c r="ISE45" s="137"/>
      <c r="ISF45" s="137"/>
      <c r="ISG45" s="137"/>
      <c r="ISH45" s="137"/>
      <c r="ISI45" s="137"/>
      <c r="ISJ45" s="137"/>
      <c r="ISK45" s="137"/>
      <c r="ISL45" s="137"/>
      <c r="ISM45" s="137"/>
      <c r="ISN45" s="137"/>
      <c r="ISO45" s="137"/>
      <c r="ISP45" s="137"/>
      <c r="ISQ45" s="137"/>
      <c r="ISR45" s="137"/>
      <c r="ISS45" s="137"/>
      <c r="IST45" s="137"/>
      <c r="ISU45" s="137"/>
      <c r="ISV45" s="137"/>
      <c r="ISW45" s="137"/>
      <c r="ISX45" s="137"/>
      <c r="ISY45" s="137"/>
      <c r="ISZ45" s="137"/>
      <c r="ITA45" s="137"/>
      <c r="ITB45" s="137"/>
      <c r="ITC45" s="137"/>
      <c r="ITD45" s="137"/>
      <c r="ITE45" s="137"/>
      <c r="ITF45" s="137"/>
      <c r="ITG45" s="137"/>
      <c r="ITH45" s="137"/>
      <c r="ITI45" s="137"/>
      <c r="ITJ45" s="137"/>
      <c r="ITK45" s="137"/>
      <c r="ITL45" s="137"/>
      <c r="ITM45" s="137"/>
      <c r="ITN45" s="137"/>
      <c r="ITO45" s="137"/>
      <c r="ITP45" s="137"/>
      <c r="ITQ45" s="137"/>
      <c r="ITR45" s="137"/>
      <c r="ITS45" s="137"/>
      <c r="ITT45" s="137"/>
      <c r="ITU45" s="137"/>
      <c r="ITV45" s="137"/>
      <c r="ITW45" s="137"/>
      <c r="ITX45" s="137"/>
      <c r="ITY45" s="137"/>
      <c r="ITZ45" s="137"/>
      <c r="IUA45" s="137"/>
      <c r="IUB45" s="137"/>
      <c r="IUC45" s="137"/>
      <c r="IUD45" s="137"/>
      <c r="IUE45" s="137"/>
      <c r="IUF45" s="137"/>
      <c r="IUG45" s="137"/>
      <c r="IUH45" s="137"/>
      <c r="IUI45" s="137"/>
      <c r="IUJ45" s="137"/>
      <c r="IUK45" s="137"/>
      <c r="IUL45" s="137"/>
      <c r="IUM45" s="137"/>
      <c r="IUN45" s="137"/>
      <c r="IUO45" s="137"/>
      <c r="IUP45" s="137"/>
      <c r="IUQ45" s="137"/>
      <c r="IUR45" s="137"/>
      <c r="IUS45" s="137"/>
      <c r="IUT45" s="137"/>
      <c r="IUU45" s="137"/>
      <c r="IUV45" s="137"/>
      <c r="IUW45" s="137"/>
      <c r="IUX45" s="137"/>
      <c r="IUY45" s="137"/>
      <c r="IUZ45" s="137"/>
      <c r="IVA45" s="137"/>
      <c r="IVB45" s="137"/>
      <c r="IVC45" s="137"/>
      <c r="IVD45" s="137"/>
      <c r="IVE45" s="137"/>
      <c r="IVF45" s="137"/>
      <c r="IVG45" s="137"/>
      <c r="IVH45" s="137"/>
      <c r="IVI45" s="137"/>
      <c r="IVJ45" s="137"/>
      <c r="IVK45" s="137"/>
      <c r="IVL45" s="137"/>
      <c r="IVM45" s="137"/>
      <c r="IVN45" s="137"/>
      <c r="IVO45" s="137"/>
      <c r="IVP45" s="137"/>
      <c r="IVQ45" s="137"/>
      <c r="IVR45" s="137"/>
      <c r="IVS45" s="137"/>
      <c r="IVT45" s="137"/>
      <c r="IVU45" s="137"/>
      <c r="IVV45" s="137"/>
      <c r="IVW45" s="137"/>
      <c r="IVX45" s="137"/>
      <c r="IVY45" s="137"/>
      <c r="IVZ45" s="137"/>
      <c r="IWA45" s="137"/>
      <c r="IWB45" s="137"/>
      <c r="IWC45" s="137"/>
      <c r="IWD45" s="137"/>
      <c r="IWE45" s="137"/>
      <c r="IWF45" s="137"/>
      <c r="IWG45" s="137"/>
      <c r="IWH45" s="137"/>
      <c r="IWI45" s="137"/>
      <c r="IWJ45" s="137"/>
      <c r="IWK45" s="137"/>
      <c r="IWL45" s="137"/>
      <c r="IWM45" s="137"/>
      <c r="IWN45" s="137"/>
      <c r="IWO45" s="137"/>
      <c r="IWP45" s="137"/>
      <c r="IWQ45" s="137"/>
      <c r="IWR45" s="137"/>
      <c r="IWS45" s="137"/>
      <c r="IWT45" s="137"/>
      <c r="IWU45" s="137"/>
      <c r="IWV45" s="137"/>
      <c r="IWW45" s="137"/>
      <c r="IWX45" s="137"/>
      <c r="IWY45" s="137"/>
      <c r="IWZ45" s="137"/>
      <c r="IXA45" s="137"/>
      <c r="IXB45" s="137"/>
      <c r="IXC45" s="137"/>
      <c r="IXD45" s="137"/>
      <c r="IXE45" s="137"/>
      <c r="IXF45" s="137"/>
      <c r="IXG45" s="137"/>
      <c r="IXH45" s="137"/>
      <c r="IXI45" s="137"/>
      <c r="IXJ45" s="137"/>
      <c r="IXK45" s="137"/>
      <c r="IXL45" s="137"/>
      <c r="IXM45" s="137"/>
      <c r="IXN45" s="137"/>
      <c r="IXO45" s="137"/>
      <c r="IXP45" s="137"/>
      <c r="IXQ45" s="137"/>
      <c r="IXR45" s="137"/>
      <c r="IXS45" s="137"/>
      <c r="IXT45" s="137"/>
      <c r="IXU45" s="137"/>
      <c r="IXV45" s="137"/>
      <c r="IXW45" s="137"/>
      <c r="IXX45" s="137"/>
      <c r="IXY45" s="137"/>
      <c r="IXZ45" s="137"/>
      <c r="IYA45" s="137"/>
      <c r="IYB45" s="137"/>
      <c r="IYC45" s="137"/>
      <c r="IYD45" s="137"/>
      <c r="IYE45" s="137"/>
      <c r="IYF45" s="137"/>
      <c r="IYG45" s="137"/>
      <c r="IYH45" s="137"/>
      <c r="IYI45" s="137"/>
      <c r="IYJ45" s="137"/>
      <c r="IYK45" s="137"/>
      <c r="IYL45" s="137"/>
      <c r="IYM45" s="137"/>
      <c r="IYN45" s="137"/>
      <c r="IYO45" s="137"/>
      <c r="IYP45" s="137"/>
      <c r="IYQ45" s="137"/>
      <c r="IYR45" s="137"/>
      <c r="IYS45" s="137"/>
      <c r="IYT45" s="137"/>
      <c r="IYU45" s="137"/>
      <c r="IYV45" s="137"/>
      <c r="IYW45" s="137"/>
      <c r="IYX45" s="137"/>
      <c r="IYY45" s="137"/>
      <c r="IYZ45" s="137"/>
      <c r="IZA45" s="137"/>
      <c r="IZB45" s="137"/>
      <c r="IZC45" s="137"/>
      <c r="IZD45" s="137"/>
      <c r="IZE45" s="137"/>
      <c r="IZF45" s="137"/>
      <c r="IZG45" s="137"/>
      <c r="IZH45" s="137"/>
      <c r="IZI45" s="137"/>
      <c r="IZJ45" s="137"/>
      <c r="IZK45" s="137"/>
      <c r="IZL45" s="137"/>
      <c r="IZM45" s="137"/>
      <c r="IZN45" s="137"/>
      <c r="IZO45" s="137"/>
      <c r="IZP45" s="137"/>
      <c r="IZQ45" s="137"/>
      <c r="IZR45" s="137"/>
      <c r="IZS45" s="137"/>
      <c r="IZT45" s="137"/>
      <c r="IZU45" s="137"/>
      <c r="IZV45" s="137"/>
      <c r="IZW45" s="137"/>
      <c r="IZX45" s="137"/>
      <c r="IZY45" s="137"/>
      <c r="IZZ45" s="137"/>
      <c r="JAA45" s="137"/>
      <c r="JAB45" s="137"/>
      <c r="JAC45" s="137"/>
      <c r="JAD45" s="137"/>
      <c r="JAE45" s="137"/>
      <c r="JAF45" s="137"/>
      <c r="JAG45" s="137"/>
      <c r="JAH45" s="137"/>
      <c r="JAI45" s="137"/>
      <c r="JAJ45" s="137"/>
      <c r="JAK45" s="137"/>
      <c r="JAL45" s="137"/>
      <c r="JAM45" s="137"/>
      <c r="JAN45" s="137"/>
      <c r="JAO45" s="137"/>
      <c r="JAP45" s="137"/>
      <c r="JAQ45" s="137"/>
      <c r="JAR45" s="137"/>
      <c r="JAS45" s="137"/>
      <c r="JAT45" s="137"/>
      <c r="JAU45" s="137"/>
      <c r="JAV45" s="137"/>
      <c r="JAW45" s="137"/>
      <c r="JAX45" s="137"/>
      <c r="JAY45" s="137"/>
      <c r="JAZ45" s="137"/>
      <c r="JBA45" s="137"/>
      <c r="JBB45" s="137"/>
      <c r="JBC45" s="137"/>
      <c r="JBD45" s="137"/>
      <c r="JBE45" s="137"/>
      <c r="JBF45" s="137"/>
      <c r="JBG45" s="137"/>
      <c r="JBH45" s="137"/>
      <c r="JBI45" s="137"/>
      <c r="JBJ45" s="137"/>
      <c r="JBK45" s="137"/>
      <c r="JBL45" s="137"/>
      <c r="JBM45" s="137"/>
      <c r="JBN45" s="137"/>
      <c r="JBO45" s="137"/>
      <c r="JBP45" s="137"/>
      <c r="JBQ45" s="137"/>
      <c r="JBR45" s="137"/>
      <c r="JBS45" s="137"/>
      <c r="JBT45" s="137"/>
      <c r="JBU45" s="137"/>
      <c r="JBV45" s="137"/>
      <c r="JBW45" s="137"/>
      <c r="JBX45" s="137"/>
      <c r="JBY45" s="137"/>
      <c r="JBZ45" s="137"/>
      <c r="JCA45" s="137"/>
      <c r="JCB45" s="137"/>
      <c r="JCC45" s="137"/>
      <c r="JCD45" s="137"/>
      <c r="JCE45" s="137"/>
      <c r="JCF45" s="137"/>
      <c r="JCG45" s="137"/>
      <c r="JCH45" s="137"/>
      <c r="JCI45" s="137"/>
      <c r="JCJ45" s="137"/>
      <c r="JCK45" s="137"/>
      <c r="JCL45" s="137"/>
      <c r="JCM45" s="137"/>
      <c r="JCN45" s="137"/>
      <c r="JCO45" s="137"/>
      <c r="JCP45" s="137"/>
      <c r="JCQ45" s="137"/>
      <c r="JCR45" s="137"/>
      <c r="JCS45" s="137"/>
      <c r="JCT45" s="137"/>
      <c r="JCU45" s="137"/>
      <c r="JCV45" s="137"/>
      <c r="JCW45" s="137"/>
      <c r="JCX45" s="137"/>
      <c r="JCY45" s="137"/>
      <c r="JCZ45" s="137"/>
      <c r="JDA45" s="137"/>
      <c r="JDB45" s="137"/>
      <c r="JDC45" s="137"/>
      <c r="JDD45" s="137"/>
      <c r="JDE45" s="137"/>
      <c r="JDF45" s="137"/>
      <c r="JDG45" s="137"/>
      <c r="JDH45" s="137"/>
      <c r="JDI45" s="137"/>
      <c r="JDJ45" s="137"/>
      <c r="JDK45" s="137"/>
      <c r="JDL45" s="137"/>
      <c r="JDM45" s="137"/>
      <c r="JDN45" s="137"/>
      <c r="JDO45" s="137"/>
      <c r="JDP45" s="137"/>
      <c r="JDQ45" s="137"/>
      <c r="JDR45" s="137"/>
      <c r="JDS45" s="137"/>
      <c r="JDT45" s="137"/>
      <c r="JDU45" s="137"/>
      <c r="JDV45" s="137"/>
      <c r="JDW45" s="137"/>
      <c r="JDX45" s="137"/>
      <c r="JDY45" s="137"/>
      <c r="JDZ45" s="137"/>
      <c r="JEA45" s="137"/>
      <c r="JEB45" s="137"/>
      <c r="JEC45" s="137"/>
      <c r="JED45" s="137"/>
      <c r="JEE45" s="137"/>
      <c r="JEF45" s="137"/>
      <c r="JEG45" s="137"/>
      <c r="JEH45" s="137"/>
      <c r="JEI45" s="137"/>
      <c r="JEJ45" s="137"/>
      <c r="JEK45" s="137"/>
      <c r="JEL45" s="137"/>
      <c r="JEM45" s="137"/>
      <c r="JEN45" s="137"/>
      <c r="JEO45" s="137"/>
      <c r="JEP45" s="137"/>
      <c r="JEQ45" s="137"/>
      <c r="JER45" s="137"/>
      <c r="JES45" s="137"/>
      <c r="JET45" s="137"/>
      <c r="JEU45" s="137"/>
      <c r="JEV45" s="137"/>
      <c r="JEW45" s="137"/>
      <c r="JEX45" s="137"/>
      <c r="JEY45" s="137"/>
      <c r="JEZ45" s="137"/>
      <c r="JFA45" s="137"/>
      <c r="JFB45" s="137"/>
      <c r="JFC45" s="137"/>
      <c r="JFD45" s="137"/>
      <c r="JFE45" s="137"/>
      <c r="JFF45" s="137"/>
      <c r="JFG45" s="137"/>
      <c r="JFH45" s="137"/>
      <c r="JFI45" s="137"/>
      <c r="JFJ45" s="137"/>
      <c r="JFK45" s="137"/>
      <c r="JFL45" s="137"/>
      <c r="JFM45" s="137"/>
      <c r="JFN45" s="137"/>
      <c r="JFO45" s="137"/>
      <c r="JFP45" s="137"/>
      <c r="JFQ45" s="137"/>
      <c r="JFR45" s="137"/>
      <c r="JFS45" s="137"/>
      <c r="JFT45" s="137"/>
      <c r="JFU45" s="137"/>
      <c r="JFV45" s="137"/>
      <c r="JFW45" s="137"/>
      <c r="JFX45" s="137"/>
      <c r="JFY45" s="137"/>
      <c r="JFZ45" s="137"/>
      <c r="JGA45" s="137"/>
      <c r="JGB45" s="137"/>
      <c r="JGC45" s="137"/>
      <c r="JGD45" s="137"/>
      <c r="JGE45" s="137"/>
      <c r="JGF45" s="137"/>
      <c r="JGG45" s="137"/>
      <c r="JGH45" s="137"/>
      <c r="JGI45" s="137"/>
      <c r="JGJ45" s="137"/>
      <c r="JGK45" s="137"/>
      <c r="JGL45" s="137"/>
      <c r="JGM45" s="137"/>
      <c r="JGN45" s="137"/>
      <c r="JGO45" s="137"/>
      <c r="JGP45" s="137"/>
      <c r="JGQ45" s="137"/>
      <c r="JGR45" s="137"/>
      <c r="JGS45" s="137"/>
      <c r="JGT45" s="137"/>
      <c r="JGU45" s="137"/>
      <c r="JGV45" s="137"/>
      <c r="JGW45" s="137"/>
      <c r="JGX45" s="137"/>
      <c r="JGY45" s="137"/>
      <c r="JGZ45" s="137"/>
      <c r="JHA45" s="137"/>
      <c r="JHB45" s="137"/>
      <c r="JHC45" s="137"/>
      <c r="JHD45" s="137"/>
      <c r="JHE45" s="137"/>
      <c r="JHF45" s="137"/>
      <c r="JHG45" s="137"/>
      <c r="JHH45" s="137"/>
      <c r="JHI45" s="137"/>
      <c r="JHJ45" s="137"/>
      <c r="JHK45" s="137"/>
      <c r="JHL45" s="137"/>
      <c r="JHM45" s="137"/>
      <c r="JHN45" s="137"/>
      <c r="JHO45" s="137"/>
      <c r="JHP45" s="137"/>
      <c r="JHQ45" s="137"/>
      <c r="JHR45" s="137"/>
      <c r="JHS45" s="137"/>
      <c r="JHT45" s="137"/>
      <c r="JHU45" s="137"/>
      <c r="JHV45" s="137"/>
      <c r="JHW45" s="137"/>
      <c r="JHX45" s="137"/>
      <c r="JHY45" s="137"/>
      <c r="JHZ45" s="137"/>
      <c r="JIA45" s="137"/>
      <c r="JIB45" s="137"/>
      <c r="JIC45" s="137"/>
      <c r="JID45" s="137"/>
      <c r="JIE45" s="137"/>
      <c r="JIF45" s="137"/>
      <c r="JIG45" s="137"/>
      <c r="JIH45" s="137"/>
      <c r="JII45" s="137"/>
      <c r="JIJ45" s="137"/>
      <c r="JIK45" s="137"/>
      <c r="JIL45" s="137"/>
      <c r="JIM45" s="137"/>
      <c r="JIN45" s="137"/>
      <c r="JIO45" s="137"/>
      <c r="JIP45" s="137"/>
      <c r="JIQ45" s="137"/>
      <c r="JIR45" s="137"/>
      <c r="JIS45" s="137"/>
      <c r="JIT45" s="137"/>
      <c r="JIU45" s="137"/>
      <c r="JIV45" s="137"/>
      <c r="JIW45" s="137"/>
      <c r="JIX45" s="137"/>
      <c r="JIY45" s="137"/>
      <c r="JIZ45" s="137"/>
      <c r="JJA45" s="137"/>
      <c r="JJB45" s="137"/>
      <c r="JJC45" s="137"/>
      <c r="JJD45" s="137"/>
      <c r="JJE45" s="137"/>
      <c r="JJF45" s="137"/>
      <c r="JJG45" s="137"/>
      <c r="JJH45" s="137"/>
      <c r="JJI45" s="137"/>
      <c r="JJJ45" s="137"/>
      <c r="JJK45" s="137"/>
      <c r="JJL45" s="137"/>
      <c r="JJM45" s="137"/>
      <c r="JJN45" s="137"/>
      <c r="JJO45" s="137"/>
      <c r="JJP45" s="137"/>
      <c r="JJQ45" s="137"/>
      <c r="JJR45" s="137"/>
      <c r="JJS45" s="137"/>
      <c r="JJT45" s="137"/>
      <c r="JJU45" s="137"/>
      <c r="JJV45" s="137"/>
      <c r="JJW45" s="137"/>
      <c r="JJX45" s="137"/>
      <c r="JJY45" s="137"/>
      <c r="JJZ45" s="137"/>
      <c r="JKA45" s="137"/>
      <c r="JKB45" s="137"/>
      <c r="JKC45" s="137"/>
      <c r="JKD45" s="137"/>
      <c r="JKE45" s="137"/>
      <c r="JKF45" s="137"/>
      <c r="JKG45" s="137"/>
      <c r="JKH45" s="137"/>
      <c r="JKI45" s="137"/>
      <c r="JKJ45" s="137"/>
      <c r="JKK45" s="137"/>
      <c r="JKL45" s="137"/>
      <c r="JKM45" s="137"/>
      <c r="JKN45" s="137"/>
      <c r="JKO45" s="137"/>
      <c r="JKP45" s="137"/>
      <c r="JKQ45" s="137"/>
      <c r="JKR45" s="137"/>
      <c r="JKS45" s="137"/>
      <c r="JKT45" s="137"/>
      <c r="JKU45" s="137"/>
      <c r="JKV45" s="137"/>
      <c r="JKW45" s="137"/>
      <c r="JKX45" s="137"/>
      <c r="JKY45" s="137"/>
      <c r="JKZ45" s="137"/>
      <c r="JLA45" s="137"/>
      <c r="JLB45" s="137"/>
      <c r="JLC45" s="137"/>
      <c r="JLD45" s="137"/>
      <c r="JLE45" s="137"/>
      <c r="JLF45" s="137"/>
      <c r="JLG45" s="137"/>
      <c r="JLH45" s="137"/>
      <c r="JLI45" s="137"/>
      <c r="JLJ45" s="137"/>
      <c r="JLK45" s="137"/>
      <c r="JLL45" s="137"/>
      <c r="JLM45" s="137"/>
      <c r="JLN45" s="137"/>
      <c r="JLO45" s="137"/>
      <c r="JLP45" s="137"/>
      <c r="JLQ45" s="137"/>
      <c r="JLR45" s="137"/>
      <c r="JLS45" s="137"/>
      <c r="JLT45" s="137"/>
      <c r="JLU45" s="137"/>
      <c r="JLV45" s="137"/>
      <c r="JLW45" s="137"/>
      <c r="JLX45" s="137"/>
      <c r="JLY45" s="137"/>
      <c r="JLZ45" s="137"/>
      <c r="JMA45" s="137"/>
      <c r="JMB45" s="137"/>
      <c r="JMC45" s="137"/>
      <c r="JMD45" s="137"/>
      <c r="JME45" s="137"/>
      <c r="JMF45" s="137"/>
      <c r="JMG45" s="137"/>
      <c r="JMH45" s="137"/>
      <c r="JMI45" s="137"/>
      <c r="JMJ45" s="137"/>
      <c r="JMK45" s="137"/>
      <c r="JML45" s="137"/>
      <c r="JMM45" s="137"/>
      <c r="JMN45" s="137"/>
      <c r="JMO45" s="137"/>
      <c r="JMP45" s="137"/>
      <c r="JMQ45" s="137"/>
      <c r="JMR45" s="137"/>
      <c r="JMS45" s="137"/>
      <c r="JMT45" s="137"/>
      <c r="JMU45" s="137"/>
      <c r="JMV45" s="137"/>
      <c r="JMW45" s="137"/>
      <c r="JMX45" s="137"/>
      <c r="JMY45" s="137"/>
      <c r="JMZ45" s="137"/>
      <c r="JNA45" s="137"/>
      <c r="JNB45" s="137"/>
      <c r="JNC45" s="137"/>
      <c r="JND45" s="137"/>
      <c r="JNE45" s="137"/>
      <c r="JNF45" s="137"/>
      <c r="JNG45" s="137"/>
      <c r="JNH45" s="137"/>
      <c r="JNI45" s="137"/>
      <c r="JNJ45" s="137"/>
      <c r="JNK45" s="137"/>
      <c r="JNL45" s="137"/>
      <c r="JNM45" s="137"/>
      <c r="JNN45" s="137"/>
      <c r="JNO45" s="137"/>
      <c r="JNP45" s="137"/>
      <c r="JNQ45" s="137"/>
      <c r="JNR45" s="137"/>
      <c r="JNS45" s="137"/>
      <c r="JNT45" s="137"/>
      <c r="JNU45" s="137"/>
      <c r="JNV45" s="137"/>
      <c r="JNW45" s="137"/>
      <c r="JNX45" s="137"/>
      <c r="JNY45" s="137"/>
      <c r="JNZ45" s="137"/>
      <c r="JOA45" s="137"/>
      <c r="JOB45" s="137"/>
      <c r="JOC45" s="137"/>
      <c r="JOD45" s="137"/>
      <c r="JOE45" s="137"/>
      <c r="JOF45" s="137"/>
      <c r="JOG45" s="137"/>
      <c r="JOH45" s="137"/>
      <c r="JOI45" s="137"/>
      <c r="JOJ45" s="137"/>
      <c r="JOK45" s="137"/>
      <c r="JOL45" s="137"/>
      <c r="JOM45" s="137"/>
      <c r="JON45" s="137"/>
      <c r="JOO45" s="137"/>
      <c r="JOP45" s="137"/>
      <c r="JOQ45" s="137"/>
      <c r="JOR45" s="137"/>
      <c r="JOS45" s="137"/>
      <c r="JOT45" s="137"/>
      <c r="JOU45" s="137"/>
      <c r="JOV45" s="137"/>
      <c r="JOW45" s="137"/>
      <c r="JOX45" s="137"/>
      <c r="JOY45" s="137"/>
      <c r="JOZ45" s="137"/>
      <c r="JPA45" s="137"/>
      <c r="JPB45" s="137"/>
      <c r="JPC45" s="137"/>
      <c r="JPD45" s="137"/>
      <c r="JPE45" s="137"/>
      <c r="JPF45" s="137"/>
      <c r="JPG45" s="137"/>
      <c r="JPH45" s="137"/>
      <c r="JPI45" s="137"/>
      <c r="JPJ45" s="137"/>
      <c r="JPK45" s="137"/>
      <c r="JPL45" s="137"/>
      <c r="JPM45" s="137"/>
      <c r="JPN45" s="137"/>
      <c r="JPO45" s="137"/>
      <c r="JPP45" s="137"/>
      <c r="JPQ45" s="137"/>
      <c r="JPR45" s="137"/>
      <c r="JPS45" s="137"/>
      <c r="JPT45" s="137"/>
      <c r="JPU45" s="137"/>
      <c r="JPV45" s="137"/>
      <c r="JPW45" s="137"/>
      <c r="JPX45" s="137"/>
      <c r="JPY45" s="137"/>
      <c r="JPZ45" s="137"/>
      <c r="JQA45" s="137"/>
      <c r="JQB45" s="137"/>
      <c r="JQC45" s="137"/>
      <c r="JQD45" s="137"/>
      <c r="JQE45" s="137"/>
      <c r="JQF45" s="137"/>
      <c r="JQG45" s="137"/>
      <c r="JQH45" s="137"/>
      <c r="JQI45" s="137"/>
      <c r="JQJ45" s="137"/>
      <c r="JQK45" s="137"/>
      <c r="JQL45" s="137"/>
      <c r="JQM45" s="137"/>
      <c r="JQN45" s="137"/>
      <c r="JQO45" s="137"/>
      <c r="JQP45" s="137"/>
      <c r="JQQ45" s="137"/>
      <c r="JQR45" s="137"/>
      <c r="JQS45" s="137"/>
      <c r="JQT45" s="137"/>
      <c r="JQU45" s="137"/>
      <c r="JQV45" s="137"/>
      <c r="JQW45" s="137"/>
      <c r="JQX45" s="137"/>
      <c r="JQY45" s="137"/>
      <c r="JQZ45" s="137"/>
      <c r="JRA45" s="137"/>
      <c r="JRB45" s="137"/>
      <c r="JRC45" s="137"/>
      <c r="JRD45" s="137"/>
      <c r="JRE45" s="137"/>
      <c r="JRF45" s="137"/>
      <c r="JRG45" s="137"/>
      <c r="JRH45" s="137"/>
      <c r="JRI45" s="137"/>
      <c r="JRJ45" s="137"/>
      <c r="JRK45" s="137"/>
      <c r="JRL45" s="137"/>
      <c r="JRM45" s="137"/>
      <c r="JRN45" s="137"/>
      <c r="JRO45" s="137"/>
      <c r="JRP45" s="137"/>
      <c r="JRQ45" s="137"/>
      <c r="JRR45" s="137"/>
      <c r="JRS45" s="137"/>
      <c r="JRT45" s="137"/>
      <c r="JRU45" s="137"/>
      <c r="JRV45" s="137"/>
      <c r="JRW45" s="137"/>
      <c r="JRX45" s="137"/>
      <c r="JRY45" s="137"/>
      <c r="JRZ45" s="137"/>
      <c r="JSA45" s="137"/>
      <c r="JSB45" s="137"/>
      <c r="JSC45" s="137"/>
      <c r="JSD45" s="137"/>
      <c r="JSE45" s="137"/>
      <c r="JSF45" s="137"/>
      <c r="JSG45" s="137"/>
      <c r="JSH45" s="137"/>
      <c r="JSI45" s="137"/>
      <c r="JSJ45" s="137"/>
      <c r="JSK45" s="137"/>
      <c r="JSL45" s="137"/>
      <c r="JSM45" s="137"/>
      <c r="JSN45" s="137"/>
      <c r="JSO45" s="137"/>
      <c r="JSP45" s="137"/>
      <c r="JSQ45" s="137"/>
      <c r="JSR45" s="137"/>
      <c r="JSS45" s="137"/>
      <c r="JST45" s="137"/>
      <c r="JSU45" s="137"/>
      <c r="JSV45" s="137"/>
      <c r="JSW45" s="137"/>
      <c r="JSX45" s="137"/>
      <c r="JSY45" s="137"/>
      <c r="JSZ45" s="137"/>
      <c r="JTA45" s="137"/>
      <c r="JTB45" s="137"/>
      <c r="JTC45" s="137"/>
      <c r="JTD45" s="137"/>
      <c r="JTE45" s="137"/>
      <c r="JTF45" s="137"/>
      <c r="JTG45" s="137"/>
      <c r="JTH45" s="137"/>
      <c r="JTI45" s="137"/>
      <c r="JTJ45" s="137"/>
      <c r="JTK45" s="137"/>
      <c r="JTL45" s="137"/>
      <c r="JTM45" s="137"/>
      <c r="JTN45" s="137"/>
      <c r="JTO45" s="137"/>
      <c r="JTP45" s="137"/>
      <c r="JTQ45" s="137"/>
      <c r="JTR45" s="137"/>
      <c r="JTS45" s="137"/>
      <c r="JTT45" s="137"/>
      <c r="JTU45" s="137"/>
      <c r="JTV45" s="137"/>
      <c r="JTW45" s="137"/>
      <c r="JTX45" s="137"/>
      <c r="JTY45" s="137"/>
      <c r="JTZ45" s="137"/>
      <c r="JUA45" s="137"/>
      <c r="JUB45" s="137"/>
      <c r="JUC45" s="137"/>
      <c r="JUD45" s="137"/>
      <c r="JUE45" s="137"/>
      <c r="JUF45" s="137"/>
      <c r="JUG45" s="137"/>
      <c r="JUH45" s="137"/>
      <c r="JUI45" s="137"/>
      <c r="JUJ45" s="137"/>
      <c r="JUK45" s="137"/>
      <c r="JUL45" s="137"/>
      <c r="JUM45" s="137"/>
      <c r="JUN45" s="137"/>
      <c r="JUO45" s="137"/>
      <c r="JUP45" s="137"/>
      <c r="JUQ45" s="137"/>
      <c r="JUR45" s="137"/>
      <c r="JUS45" s="137"/>
      <c r="JUT45" s="137"/>
      <c r="JUU45" s="137"/>
      <c r="JUV45" s="137"/>
      <c r="JUW45" s="137"/>
      <c r="JUX45" s="137"/>
      <c r="JUY45" s="137"/>
      <c r="JUZ45" s="137"/>
      <c r="JVA45" s="137"/>
      <c r="JVB45" s="137"/>
      <c r="JVC45" s="137"/>
      <c r="JVD45" s="137"/>
      <c r="JVE45" s="137"/>
      <c r="JVF45" s="137"/>
      <c r="JVG45" s="137"/>
      <c r="JVH45" s="137"/>
      <c r="JVI45" s="137"/>
      <c r="JVJ45" s="137"/>
      <c r="JVK45" s="137"/>
      <c r="JVL45" s="137"/>
      <c r="JVM45" s="137"/>
      <c r="JVN45" s="137"/>
      <c r="JVO45" s="137"/>
      <c r="JVP45" s="137"/>
      <c r="JVQ45" s="137"/>
      <c r="JVR45" s="137"/>
      <c r="JVS45" s="137"/>
      <c r="JVT45" s="137"/>
      <c r="JVU45" s="137"/>
      <c r="JVV45" s="137"/>
      <c r="JVW45" s="137"/>
      <c r="JVX45" s="137"/>
      <c r="JVY45" s="137"/>
      <c r="JVZ45" s="137"/>
      <c r="JWA45" s="137"/>
      <c r="JWB45" s="137"/>
      <c r="JWC45" s="137"/>
      <c r="JWD45" s="137"/>
      <c r="JWE45" s="137"/>
      <c r="JWF45" s="137"/>
      <c r="JWG45" s="137"/>
      <c r="JWH45" s="137"/>
      <c r="JWI45" s="137"/>
      <c r="JWJ45" s="137"/>
      <c r="JWK45" s="137"/>
      <c r="JWL45" s="137"/>
      <c r="JWM45" s="137"/>
      <c r="JWN45" s="137"/>
      <c r="JWO45" s="137"/>
      <c r="JWP45" s="137"/>
      <c r="JWQ45" s="137"/>
      <c r="JWR45" s="137"/>
      <c r="JWS45" s="137"/>
      <c r="JWT45" s="137"/>
      <c r="JWU45" s="137"/>
      <c r="JWV45" s="137"/>
      <c r="JWW45" s="137"/>
      <c r="JWX45" s="137"/>
      <c r="JWY45" s="137"/>
      <c r="JWZ45" s="137"/>
      <c r="JXA45" s="137"/>
      <c r="JXB45" s="137"/>
      <c r="JXC45" s="137"/>
      <c r="JXD45" s="137"/>
      <c r="JXE45" s="137"/>
      <c r="JXF45" s="137"/>
      <c r="JXG45" s="137"/>
      <c r="JXH45" s="137"/>
      <c r="JXI45" s="137"/>
      <c r="JXJ45" s="137"/>
      <c r="JXK45" s="137"/>
      <c r="JXL45" s="137"/>
      <c r="JXM45" s="137"/>
      <c r="JXN45" s="137"/>
      <c r="JXO45" s="137"/>
      <c r="JXP45" s="137"/>
      <c r="JXQ45" s="137"/>
      <c r="JXR45" s="137"/>
      <c r="JXS45" s="137"/>
      <c r="JXT45" s="137"/>
      <c r="JXU45" s="137"/>
      <c r="JXV45" s="137"/>
      <c r="JXW45" s="137"/>
      <c r="JXX45" s="137"/>
      <c r="JXY45" s="137"/>
      <c r="JXZ45" s="137"/>
      <c r="JYA45" s="137"/>
      <c r="JYB45" s="137"/>
      <c r="JYC45" s="137"/>
      <c r="JYD45" s="137"/>
      <c r="JYE45" s="137"/>
      <c r="JYF45" s="137"/>
      <c r="JYG45" s="137"/>
      <c r="JYH45" s="137"/>
      <c r="JYI45" s="137"/>
      <c r="JYJ45" s="137"/>
      <c r="JYK45" s="137"/>
      <c r="JYL45" s="137"/>
      <c r="JYM45" s="137"/>
      <c r="JYN45" s="137"/>
      <c r="JYO45" s="137"/>
      <c r="JYP45" s="137"/>
      <c r="JYQ45" s="137"/>
      <c r="JYR45" s="137"/>
      <c r="JYS45" s="137"/>
      <c r="JYT45" s="137"/>
      <c r="JYU45" s="137"/>
      <c r="JYV45" s="137"/>
      <c r="JYW45" s="137"/>
      <c r="JYX45" s="137"/>
      <c r="JYY45" s="137"/>
      <c r="JYZ45" s="137"/>
      <c r="JZA45" s="137"/>
      <c r="JZB45" s="137"/>
      <c r="JZC45" s="137"/>
      <c r="JZD45" s="137"/>
      <c r="JZE45" s="137"/>
      <c r="JZF45" s="137"/>
      <c r="JZG45" s="137"/>
      <c r="JZH45" s="137"/>
      <c r="JZI45" s="137"/>
      <c r="JZJ45" s="137"/>
      <c r="JZK45" s="137"/>
      <c r="JZL45" s="137"/>
      <c r="JZM45" s="137"/>
      <c r="JZN45" s="137"/>
      <c r="JZO45" s="137"/>
      <c r="JZP45" s="137"/>
      <c r="JZQ45" s="137"/>
      <c r="JZR45" s="137"/>
      <c r="JZS45" s="137"/>
      <c r="JZT45" s="137"/>
      <c r="JZU45" s="137"/>
      <c r="JZV45" s="137"/>
      <c r="JZW45" s="137"/>
      <c r="JZX45" s="137"/>
      <c r="JZY45" s="137"/>
      <c r="JZZ45" s="137"/>
      <c r="KAA45" s="137"/>
      <c r="KAB45" s="137"/>
      <c r="KAC45" s="137"/>
      <c r="KAD45" s="137"/>
      <c r="KAE45" s="137"/>
      <c r="KAF45" s="137"/>
      <c r="KAG45" s="137"/>
      <c r="KAH45" s="137"/>
      <c r="KAI45" s="137"/>
      <c r="KAJ45" s="137"/>
      <c r="KAK45" s="137"/>
      <c r="KAL45" s="137"/>
      <c r="KAM45" s="137"/>
      <c r="KAN45" s="137"/>
      <c r="KAO45" s="137"/>
      <c r="KAP45" s="137"/>
      <c r="KAQ45" s="137"/>
      <c r="KAR45" s="137"/>
      <c r="KAS45" s="137"/>
      <c r="KAT45" s="137"/>
      <c r="KAU45" s="137"/>
      <c r="KAV45" s="137"/>
      <c r="KAW45" s="137"/>
      <c r="KAX45" s="137"/>
      <c r="KAY45" s="137"/>
      <c r="KAZ45" s="137"/>
      <c r="KBA45" s="137"/>
      <c r="KBB45" s="137"/>
      <c r="KBC45" s="137"/>
      <c r="KBD45" s="137"/>
      <c r="KBE45" s="137"/>
      <c r="KBF45" s="137"/>
      <c r="KBG45" s="137"/>
      <c r="KBH45" s="137"/>
      <c r="KBI45" s="137"/>
      <c r="KBJ45" s="137"/>
      <c r="KBK45" s="137"/>
      <c r="KBL45" s="137"/>
      <c r="KBM45" s="137"/>
      <c r="KBN45" s="137"/>
      <c r="KBO45" s="137"/>
      <c r="KBP45" s="137"/>
      <c r="KBQ45" s="137"/>
      <c r="KBR45" s="137"/>
      <c r="KBS45" s="137"/>
      <c r="KBT45" s="137"/>
      <c r="KBU45" s="137"/>
      <c r="KBV45" s="137"/>
      <c r="KBW45" s="137"/>
      <c r="KBX45" s="137"/>
      <c r="KBY45" s="137"/>
      <c r="KBZ45" s="137"/>
      <c r="KCA45" s="137"/>
      <c r="KCB45" s="137"/>
      <c r="KCC45" s="137"/>
      <c r="KCD45" s="137"/>
      <c r="KCE45" s="137"/>
      <c r="KCF45" s="137"/>
      <c r="KCG45" s="137"/>
      <c r="KCH45" s="137"/>
      <c r="KCI45" s="137"/>
      <c r="KCJ45" s="137"/>
      <c r="KCK45" s="137"/>
      <c r="KCL45" s="137"/>
      <c r="KCM45" s="137"/>
      <c r="KCN45" s="137"/>
      <c r="KCO45" s="137"/>
      <c r="KCP45" s="137"/>
      <c r="KCQ45" s="137"/>
      <c r="KCR45" s="137"/>
      <c r="KCS45" s="137"/>
      <c r="KCT45" s="137"/>
      <c r="KCU45" s="137"/>
      <c r="KCV45" s="137"/>
      <c r="KCW45" s="137"/>
      <c r="KCX45" s="137"/>
      <c r="KCY45" s="137"/>
      <c r="KCZ45" s="137"/>
      <c r="KDA45" s="137"/>
      <c r="KDB45" s="137"/>
      <c r="KDC45" s="137"/>
      <c r="KDD45" s="137"/>
      <c r="KDE45" s="137"/>
      <c r="KDF45" s="137"/>
      <c r="KDG45" s="137"/>
      <c r="KDH45" s="137"/>
      <c r="KDI45" s="137"/>
      <c r="KDJ45" s="137"/>
      <c r="KDK45" s="137"/>
      <c r="KDL45" s="137"/>
      <c r="KDM45" s="137"/>
      <c r="KDN45" s="137"/>
      <c r="KDO45" s="137"/>
      <c r="KDP45" s="137"/>
      <c r="KDQ45" s="137"/>
      <c r="KDR45" s="137"/>
      <c r="KDS45" s="137"/>
      <c r="KDT45" s="137"/>
      <c r="KDU45" s="137"/>
      <c r="KDV45" s="137"/>
      <c r="KDW45" s="137"/>
      <c r="KDX45" s="137"/>
      <c r="KDY45" s="137"/>
      <c r="KDZ45" s="137"/>
      <c r="KEA45" s="137"/>
      <c r="KEB45" s="137"/>
      <c r="KEC45" s="137"/>
      <c r="KED45" s="137"/>
      <c r="KEE45" s="137"/>
      <c r="KEF45" s="137"/>
      <c r="KEG45" s="137"/>
      <c r="KEH45" s="137"/>
      <c r="KEI45" s="137"/>
      <c r="KEJ45" s="137"/>
      <c r="KEK45" s="137"/>
      <c r="KEL45" s="137"/>
      <c r="KEM45" s="137"/>
      <c r="KEN45" s="137"/>
      <c r="KEO45" s="137"/>
      <c r="KEP45" s="137"/>
      <c r="KEQ45" s="137"/>
      <c r="KER45" s="137"/>
      <c r="KES45" s="137"/>
      <c r="KET45" s="137"/>
      <c r="KEU45" s="137"/>
      <c r="KEV45" s="137"/>
      <c r="KEW45" s="137"/>
      <c r="KEX45" s="137"/>
      <c r="KEY45" s="137"/>
      <c r="KEZ45" s="137"/>
      <c r="KFA45" s="137"/>
      <c r="KFB45" s="137"/>
      <c r="KFC45" s="137"/>
      <c r="KFD45" s="137"/>
      <c r="KFE45" s="137"/>
      <c r="KFF45" s="137"/>
      <c r="KFG45" s="137"/>
      <c r="KFH45" s="137"/>
      <c r="KFI45" s="137"/>
      <c r="KFJ45" s="137"/>
      <c r="KFK45" s="137"/>
      <c r="KFL45" s="137"/>
      <c r="KFM45" s="137"/>
      <c r="KFN45" s="137"/>
      <c r="KFO45" s="137"/>
      <c r="KFP45" s="137"/>
      <c r="KFQ45" s="137"/>
      <c r="KFR45" s="137"/>
      <c r="KFS45" s="137"/>
      <c r="KFT45" s="137"/>
      <c r="KFU45" s="137"/>
      <c r="KFV45" s="137"/>
      <c r="KFW45" s="137"/>
      <c r="KFX45" s="137"/>
      <c r="KFY45" s="137"/>
      <c r="KFZ45" s="137"/>
      <c r="KGA45" s="137"/>
      <c r="KGB45" s="137"/>
      <c r="KGC45" s="137"/>
      <c r="KGD45" s="137"/>
      <c r="KGE45" s="137"/>
      <c r="KGF45" s="137"/>
      <c r="KGG45" s="137"/>
      <c r="KGH45" s="137"/>
      <c r="KGI45" s="137"/>
      <c r="KGJ45" s="137"/>
      <c r="KGK45" s="137"/>
      <c r="KGL45" s="137"/>
      <c r="KGM45" s="137"/>
      <c r="KGN45" s="137"/>
      <c r="KGO45" s="137"/>
      <c r="KGP45" s="137"/>
      <c r="KGQ45" s="137"/>
      <c r="KGR45" s="137"/>
      <c r="KGS45" s="137"/>
      <c r="KGT45" s="137"/>
      <c r="KGU45" s="137"/>
      <c r="KGV45" s="137"/>
      <c r="KGW45" s="137"/>
      <c r="KGX45" s="137"/>
      <c r="KGY45" s="137"/>
      <c r="KGZ45" s="137"/>
      <c r="KHA45" s="137"/>
      <c r="KHB45" s="137"/>
      <c r="KHC45" s="137"/>
      <c r="KHD45" s="137"/>
      <c r="KHE45" s="137"/>
      <c r="KHF45" s="137"/>
      <c r="KHG45" s="137"/>
      <c r="KHH45" s="137"/>
      <c r="KHI45" s="137"/>
      <c r="KHJ45" s="137"/>
      <c r="KHK45" s="137"/>
      <c r="KHL45" s="137"/>
      <c r="KHM45" s="137"/>
      <c r="KHN45" s="137"/>
      <c r="KHO45" s="137"/>
      <c r="KHP45" s="137"/>
      <c r="KHQ45" s="137"/>
      <c r="KHR45" s="137"/>
      <c r="KHS45" s="137"/>
      <c r="KHT45" s="137"/>
      <c r="KHU45" s="137"/>
      <c r="KHV45" s="137"/>
      <c r="KHW45" s="137"/>
      <c r="KHX45" s="137"/>
      <c r="KHY45" s="137"/>
      <c r="KHZ45" s="137"/>
      <c r="KIA45" s="137"/>
      <c r="KIB45" s="137"/>
      <c r="KIC45" s="137"/>
      <c r="KID45" s="137"/>
      <c r="KIE45" s="137"/>
      <c r="KIF45" s="137"/>
      <c r="KIG45" s="137"/>
      <c r="KIH45" s="137"/>
      <c r="KII45" s="137"/>
      <c r="KIJ45" s="137"/>
      <c r="KIK45" s="137"/>
      <c r="KIL45" s="137"/>
      <c r="KIM45" s="137"/>
      <c r="KIN45" s="137"/>
      <c r="KIO45" s="137"/>
      <c r="KIP45" s="137"/>
      <c r="KIQ45" s="137"/>
      <c r="KIR45" s="137"/>
      <c r="KIS45" s="137"/>
      <c r="KIT45" s="137"/>
      <c r="KIU45" s="137"/>
      <c r="KIV45" s="137"/>
      <c r="KIW45" s="137"/>
      <c r="KIX45" s="137"/>
      <c r="KIY45" s="137"/>
      <c r="KIZ45" s="137"/>
      <c r="KJA45" s="137"/>
      <c r="KJB45" s="137"/>
      <c r="KJC45" s="137"/>
      <c r="KJD45" s="137"/>
      <c r="KJE45" s="137"/>
      <c r="KJF45" s="137"/>
      <c r="KJG45" s="137"/>
      <c r="KJH45" s="137"/>
      <c r="KJI45" s="137"/>
      <c r="KJJ45" s="137"/>
      <c r="KJK45" s="137"/>
      <c r="KJL45" s="137"/>
      <c r="KJM45" s="137"/>
      <c r="KJN45" s="137"/>
      <c r="KJO45" s="137"/>
      <c r="KJP45" s="137"/>
      <c r="KJQ45" s="137"/>
      <c r="KJR45" s="137"/>
      <c r="KJS45" s="137"/>
      <c r="KJT45" s="137"/>
      <c r="KJU45" s="137"/>
      <c r="KJV45" s="137"/>
      <c r="KJW45" s="137"/>
      <c r="KJX45" s="137"/>
      <c r="KJY45" s="137"/>
      <c r="KJZ45" s="137"/>
      <c r="KKA45" s="137"/>
      <c r="KKB45" s="137"/>
      <c r="KKC45" s="137"/>
      <c r="KKD45" s="137"/>
      <c r="KKE45" s="137"/>
      <c r="KKF45" s="137"/>
      <c r="KKG45" s="137"/>
      <c r="KKH45" s="137"/>
      <c r="KKI45" s="137"/>
      <c r="KKJ45" s="137"/>
      <c r="KKK45" s="137"/>
      <c r="KKL45" s="137"/>
      <c r="KKM45" s="137"/>
      <c r="KKN45" s="137"/>
      <c r="KKO45" s="137"/>
      <c r="KKP45" s="137"/>
      <c r="KKQ45" s="137"/>
      <c r="KKR45" s="137"/>
      <c r="KKS45" s="137"/>
      <c r="KKT45" s="137"/>
      <c r="KKU45" s="137"/>
      <c r="KKV45" s="137"/>
      <c r="KKW45" s="137"/>
      <c r="KKX45" s="137"/>
      <c r="KKY45" s="137"/>
      <c r="KKZ45" s="137"/>
      <c r="KLA45" s="137"/>
      <c r="KLB45" s="137"/>
      <c r="KLC45" s="137"/>
      <c r="KLD45" s="137"/>
      <c r="KLE45" s="137"/>
      <c r="KLF45" s="137"/>
      <c r="KLG45" s="137"/>
      <c r="KLH45" s="137"/>
      <c r="KLI45" s="137"/>
      <c r="KLJ45" s="137"/>
      <c r="KLK45" s="137"/>
      <c r="KLL45" s="137"/>
      <c r="KLM45" s="137"/>
      <c r="KLN45" s="137"/>
      <c r="KLO45" s="137"/>
      <c r="KLP45" s="137"/>
      <c r="KLQ45" s="137"/>
      <c r="KLR45" s="137"/>
      <c r="KLS45" s="137"/>
      <c r="KLT45" s="137"/>
      <c r="KLU45" s="137"/>
      <c r="KLV45" s="137"/>
      <c r="KLW45" s="137"/>
      <c r="KLX45" s="137"/>
      <c r="KLY45" s="137"/>
      <c r="KLZ45" s="137"/>
      <c r="KMA45" s="137"/>
      <c r="KMB45" s="137"/>
      <c r="KMC45" s="137"/>
      <c r="KMD45" s="137"/>
      <c r="KME45" s="137"/>
      <c r="KMF45" s="137"/>
      <c r="KMG45" s="137"/>
      <c r="KMH45" s="137"/>
      <c r="KMI45" s="137"/>
      <c r="KMJ45" s="137"/>
      <c r="KMK45" s="137"/>
      <c r="KML45" s="137"/>
      <c r="KMM45" s="137"/>
      <c r="KMN45" s="137"/>
      <c r="KMO45" s="137"/>
      <c r="KMP45" s="137"/>
      <c r="KMQ45" s="137"/>
      <c r="KMR45" s="137"/>
      <c r="KMS45" s="137"/>
      <c r="KMT45" s="137"/>
      <c r="KMU45" s="137"/>
      <c r="KMV45" s="137"/>
      <c r="KMW45" s="137"/>
      <c r="KMX45" s="137"/>
      <c r="KMY45" s="137"/>
      <c r="KMZ45" s="137"/>
      <c r="KNA45" s="137"/>
      <c r="KNB45" s="137"/>
      <c r="KNC45" s="137"/>
      <c r="KND45" s="137"/>
      <c r="KNE45" s="137"/>
      <c r="KNF45" s="137"/>
      <c r="KNG45" s="137"/>
      <c r="KNH45" s="137"/>
      <c r="KNI45" s="137"/>
      <c r="KNJ45" s="137"/>
      <c r="KNK45" s="137"/>
      <c r="KNL45" s="137"/>
      <c r="KNM45" s="137"/>
      <c r="KNN45" s="137"/>
      <c r="KNO45" s="137"/>
      <c r="KNP45" s="137"/>
      <c r="KNQ45" s="137"/>
      <c r="KNR45" s="137"/>
      <c r="KNS45" s="137"/>
      <c r="KNT45" s="137"/>
      <c r="KNU45" s="137"/>
      <c r="KNV45" s="137"/>
      <c r="KNW45" s="137"/>
      <c r="KNX45" s="137"/>
      <c r="KNY45" s="137"/>
      <c r="KNZ45" s="137"/>
      <c r="KOA45" s="137"/>
      <c r="KOB45" s="137"/>
      <c r="KOC45" s="137"/>
      <c r="KOD45" s="137"/>
      <c r="KOE45" s="137"/>
      <c r="KOF45" s="137"/>
      <c r="KOG45" s="137"/>
      <c r="KOH45" s="137"/>
      <c r="KOI45" s="137"/>
      <c r="KOJ45" s="137"/>
      <c r="KOK45" s="137"/>
      <c r="KOL45" s="137"/>
      <c r="KOM45" s="137"/>
      <c r="KON45" s="137"/>
      <c r="KOO45" s="137"/>
      <c r="KOP45" s="137"/>
      <c r="KOQ45" s="137"/>
      <c r="KOR45" s="137"/>
      <c r="KOS45" s="137"/>
      <c r="KOT45" s="137"/>
      <c r="KOU45" s="137"/>
      <c r="KOV45" s="137"/>
      <c r="KOW45" s="137"/>
      <c r="KOX45" s="137"/>
      <c r="KOY45" s="137"/>
      <c r="KOZ45" s="137"/>
      <c r="KPA45" s="137"/>
      <c r="KPB45" s="137"/>
      <c r="KPC45" s="137"/>
      <c r="KPD45" s="137"/>
      <c r="KPE45" s="137"/>
      <c r="KPF45" s="137"/>
      <c r="KPG45" s="137"/>
      <c r="KPH45" s="137"/>
      <c r="KPI45" s="137"/>
      <c r="KPJ45" s="137"/>
      <c r="KPK45" s="137"/>
      <c r="KPL45" s="137"/>
      <c r="KPM45" s="137"/>
      <c r="KPN45" s="137"/>
      <c r="KPO45" s="137"/>
      <c r="KPP45" s="137"/>
      <c r="KPQ45" s="137"/>
      <c r="KPR45" s="137"/>
      <c r="KPS45" s="137"/>
      <c r="KPT45" s="137"/>
      <c r="KPU45" s="137"/>
      <c r="KPV45" s="137"/>
      <c r="KPW45" s="137"/>
      <c r="KPX45" s="137"/>
      <c r="KPY45" s="137"/>
      <c r="KPZ45" s="137"/>
      <c r="KQA45" s="137"/>
      <c r="KQB45" s="137"/>
      <c r="KQC45" s="137"/>
      <c r="KQD45" s="137"/>
      <c r="KQE45" s="137"/>
      <c r="KQF45" s="137"/>
      <c r="KQG45" s="137"/>
      <c r="KQH45" s="137"/>
      <c r="KQI45" s="137"/>
      <c r="KQJ45" s="137"/>
      <c r="KQK45" s="137"/>
      <c r="KQL45" s="137"/>
      <c r="KQM45" s="137"/>
      <c r="KQN45" s="137"/>
      <c r="KQO45" s="137"/>
      <c r="KQP45" s="137"/>
      <c r="KQQ45" s="137"/>
      <c r="KQR45" s="137"/>
      <c r="KQS45" s="137"/>
      <c r="KQT45" s="137"/>
      <c r="KQU45" s="137"/>
      <c r="KQV45" s="137"/>
      <c r="KQW45" s="137"/>
      <c r="KQX45" s="137"/>
      <c r="KQY45" s="137"/>
      <c r="KQZ45" s="137"/>
      <c r="KRA45" s="137"/>
      <c r="KRB45" s="137"/>
      <c r="KRC45" s="137"/>
      <c r="KRD45" s="137"/>
      <c r="KRE45" s="137"/>
      <c r="KRF45" s="137"/>
      <c r="KRG45" s="137"/>
      <c r="KRH45" s="137"/>
      <c r="KRI45" s="137"/>
      <c r="KRJ45" s="137"/>
      <c r="KRK45" s="137"/>
      <c r="KRL45" s="137"/>
      <c r="KRM45" s="137"/>
      <c r="KRN45" s="137"/>
      <c r="KRO45" s="137"/>
      <c r="KRP45" s="137"/>
      <c r="KRQ45" s="137"/>
      <c r="KRR45" s="137"/>
      <c r="KRS45" s="137"/>
      <c r="KRT45" s="137"/>
      <c r="KRU45" s="137"/>
      <c r="KRV45" s="137"/>
      <c r="KRW45" s="137"/>
      <c r="KRX45" s="137"/>
      <c r="KRY45" s="137"/>
      <c r="KRZ45" s="137"/>
      <c r="KSA45" s="137"/>
      <c r="KSB45" s="137"/>
      <c r="KSC45" s="137"/>
      <c r="KSD45" s="137"/>
      <c r="KSE45" s="137"/>
      <c r="KSF45" s="137"/>
      <c r="KSG45" s="137"/>
      <c r="KSH45" s="137"/>
      <c r="KSI45" s="137"/>
      <c r="KSJ45" s="137"/>
      <c r="KSK45" s="137"/>
      <c r="KSL45" s="137"/>
      <c r="KSM45" s="137"/>
      <c r="KSN45" s="137"/>
      <c r="KSO45" s="137"/>
      <c r="KSP45" s="137"/>
      <c r="KSQ45" s="137"/>
      <c r="KSR45" s="137"/>
      <c r="KSS45" s="137"/>
      <c r="KST45" s="137"/>
      <c r="KSU45" s="137"/>
      <c r="KSV45" s="137"/>
      <c r="KSW45" s="137"/>
      <c r="KSX45" s="137"/>
      <c r="KSY45" s="137"/>
      <c r="KSZ45" s="137"/>
      <c r="KTA45" s="137"/>
      <c r="KTB45" s="137"/>
      <c r="KTC45" s="137"/>
      <c r="KTD45" s="137"/>
      <c r="KTE45" s="137"/>
      <c r="KTF45" s="137"/>
      <c r="KTG45" s="137"/>
      <c r="KTH45" s="137"/>
      <c r="KTI45" s="137"/>
      <c r="KTJ45" s="137"/>
      <c r="KTK45" s="137"/>
      <c r="KTL45" s="137"/>
      <c r="KTM45" s="137"/>
      <c r="KTN45" s="137"/>
      <c r="KTO45" s="137"/>
      <c r="KTP45" s="137"/>
      <c r="KTQ45" s="137"/>
      <c r="KTR45" s="137"/>
      <c r="KTS45" s="137"/>
      <c r="KTT45" s="137"/>
      <c r="KTU45" s="137"/>
      <c r="KTV45" s="137"/>
      <c r="KTW45" s="137"/>
      <c r="KTX45" s="137"/>
      <c r="KTY45" s="137"/>
      <c r="KTZ45" s="137"/>
      <c r="KUA45" s="137"/>
      <c r="KUB45" s="137"/>
      <c r="KUC45" s="137"/>
      <c r="KUD45" s="137"/>
      <c r="KUE45" s="137"/>
      <c r="KUF45" s="137"/>
      <c r="KUG45" s="137"/>
      <c r="KUH45" s="137"/>
      <c r="KUI45" s="137"/>
      <c r="KUJ45" s="137"/>
      <c r="KUK45" s="137"/>
      <c r="KUL45" s="137"/>
      <c r="KUM45" s="137"/>
      <c r="KUN45" s="137"/>
      <c r="KUO45" s="137"/>
      <c r="KUP45" s="137"/>
      <c r="KUQ45" s="137"/>
      <c r="KUR45" s="137"/>
      <c r="KUS45" s="137"/>
      <c r="KUT45" s="137"/>
      <c r="KUU45" s="137"/>
      <c r="KUV45" s="137"/>
      <c r="KUW45" s="137"/>
      <c r="KUX45" s="137"/>
      <c r="KUY45" s="137"/>
      <c r="KUZ45" s="137"/>
      <c r="KVA45" s="137"/>
      <c r="KVB45" s="137"/>
      <c r="KVC45" s="137"/>
      <c r="KVD45" s="137"/>
      <c r="KVE45" s="137"/>
      <c r="KVF45" s="137"/>
      <c r="KVG45" s="137"/>
      <c r="KVH45" s="137"/>
      <c r="KVI45" s="137"/>
      <c r="KVJ45" s="137"/>
      <c r="KVK45" s="137"/>
      <c r="KVL45" s="137"/>
      <c r="KVM45" s="137"/>
      <c r="KVN45" s="137"/>
      <c r="KVO45" s="137"/>
      <c r="KVP45" s="137"/>
      <c r="KVQ45" s="137"/>
      <c r="KVR45" s="137"/>
      <c r="KVS45" s="137"/>
      <c r="KVT45" s="137"/>
      <c r="KVU45" s="137"/>
      <c r="KVV45" s="137"/>
      <c r="KVW45" s="137"/>
      <c r="KVX45" s="137"/>
      <c r="KVY45" s="137"/>
      <c r="KVZ45" s="137"/>
      <c r="KWA45" s="137"/>
      <c r="KWB45" s="137"/>
      <c r="KWC45" s="137"/>
      <c r="KWD45" s="137"/>
      <c r="KWE45" s="137"/>
      <c r="KWF45" s="137"/>
      <c r="KWG45" s="137"/>
      <c r="KWH45" s="137"/>
      <c r="KWI45" s="137"/>
      <c r="KWJ45" s="137"/>
      <c r="KWK45" s="137"/>
      <c r="KWL45" s="137"/>
      <c r="KWM45" s="137"/>
      <c r="KWN45" s="137"/>
      <c r="KWO45" s="137"/>
      <c r="KWP45" s="137"/>
      <c r="KWQ45" s="137"/>
      <c r="KWR45" s="137"/>
      <c r="KWS45" s="137"/>
      <c r="KWT45" s="137"/>
      <c r="KWU45" s="137"/>
      <c r="KWV45" s="137"/>
      <c r="KWW45" s="137"/>
      <c r="KWX45" s="137"/>
      <c r="KWY45" s="137"/>
      <c r="KWZ45" s="137"/>
      <c r="KXA45" s="137"/>
      <c r="KXB45" s="137"/>
      <c r="KXC45" s="137"/>
      <c r="KXD45" s="137"/>
      <c r="KXE45" s="137"/>
      <c r="KXF45" s="137"/>
      <c r="KXG45" s="137"/>
      <c r="KXH45" s="137"/>
      <c r="KXI45" s="137"/>
      <c r="KXJ45" s="137"/>
      <c r="KXK45" s="137"/>
      <c r="KXL45" s="137"/>
      <c r="KXM45" s="137"/>
      <c r="KXN45" s="137"/>
      <c r="KXO45" s="137"/>
      <c r="KXP45" s="137"/>
      <c r="KXQ45" s="137"/>
      <c r="KXR45" s="137"/>
      <c r="KXS45" s="137"/>
      <c r="KXT45" s="137"/>
      <c r="KXU45" s="137"/>
      <c r="KXV45" s="137"/>
      <c r="KXW45" s="137"/>
      <c r="KXX45" s="137"/>
      <c r="KXY45" s="137"/>
      <c r="KXZ45" s="137"/>
      <c r="KYA45" s="137"/>
      <c r="KYB45" s="137"/>
      <c r="KYC45" s="137"/>
      <c r="KYD45" s="137"/>
      <c r="KYE45" s="137"/>
      <c r="KYF45" s="137"/>
      <c r="KYG45" s="137"/>
      <c r="KYH45" s="137"/>
      <c r="KYI45" s="137"/>
      <c r="KYJ45" s="137"/>
      <c r="KYK45" s="137"/>
      <c r="KYL45" s="137"/>
      <c r="KYM45" s="137"/>
      <c r="KYN45" s="137"/>
      <c r="KYO45" s="137"/>
      <c r="KYP45" s="137"/>
      <c r="KYQ45" s="137"/>
      <c r="KYR45" s="137"/>
      <c r="KYS45" s="137"/>
      <c r="KYT45" s="137"/>
      <c r="KYU45" s="137"/>
      <c r="KYV45" s="137"/>
      <c r="KYW45" s="137"/>
      <c r="KYX45" s="137"/>
      <c r="KYY45" s="137"/>
      <c r="KYZ45" s="137"/>
      <c r="KZA45" s="137"/>
      <c r="KZB45" s="137"/>
      <c r="KZC45" s="137"/>
      <c r="KZD45" s="137"/>
      <c r="KZE45" s="137"/>
      <c r="KZF45" s="137"/>
      <c r="KZG45" s="137"/>
      <c r="KZH45" s="137"/>
      <c r="KZI45" s="137"/>
      <c r="KZJ45" s="137"/>
      <c r="KZK45" s="137"/>
      <c r="KZL45" s="137"/>
      <c r="KZM45" s="137"/>
      <c r="KZN45" s="137"/>
      <c r="KZO45" s="137"/>
      <c r="KZP45" s="137"/>
      <c r="KZQ45" s="137"/>
      <c r="KZR45" s="137"/>
      <c r="KZS45" s="137"/>
      <c r="KZT45" s="137"/>
      <c r="KZU45" s="137"/>
      <c r="KZV45" s="137"/>
      <c r="KZW45" s="137"/>
      <c r="KZX45" s="137"/>
      <c r="KZY45" s="137"/>
      <c r="KZZ45" s="137"/>
      <c r="LAA45" s="137"/>
      <c r="LAB45" s="137"/>
      <c r="LAC45" s="137"/>
      <c r="LAD45" s="137"/>
      <c r="LAE45" s="137"/>
      <c r="LAF45" s="137"/>
      <c r="LAG45" s="137"/>
      <c r="LAH45" s="137"/>
      <c r="LAI45" s="137"/>
      <c r="LAJ45" s="137"/>
      <c r="LAK45" s="137"/>
      <c r="LAL45" s="137"/>
      <c r="LAM45" s="137"/>
      <c r="LAN45" s="137"/>
      <c r="LAO45" s="137"/>
      <c r="LAP45" s="137"/>
      <c r="LAQ45" s="137"/>
      <c r="LAR45" s="137"/>
      <c r="LAS45" s="137"/>
      <c r="LAT45" s="137"/>
      <c r="LAU45" s="137"/>
      <c r="LAV45" s="137"/>
      <c r="LAW45" s="137"/>
      <c r="LAX45" s="137"/>
      <c r="LAY45" s="137"/>
      <c r="LAZ45" s="137"/>
      <c r="LBA45" s="137"/>
      <c r="LBB45" s="137"/>
      <c r="LBC45" s="137"/>
      <c r="LBD45" s="137"/>
      <c r="LBE45" s="137"/>
      <c r="LBF45" s="137"/>
      <c r="LBG45" s="137"/>
      <c r="LBH45" s="137"/>
      <c r="LBI45" s="137"/>
      <c r="LBJ45" s="137"/>
      <c r="LBK45" s="137"/>
      <c r="LBL45" s="137"/>
      <c r="LBM45" s="137"/>
      <c r="LBN45" s="137"/>
      <c r="LBO45" s="137"/>
      <c r="LBP45" s="137"/>
      <c r="LBQ45" s="137"/>
      <c r="LBR45" s="137"/>
      <c r="LBS45" s="137"/>
      <c r="LBT45" s="137"/>
      <c r="LBU45" s="137"/>
      <c r="LBV45" s="137"/>
      <c r="LBW45" s="137"/>
      <c r="LBX45" s="137"/>
      <c r="LBY45" s="137"/>
      <c r="LBZ45" s="137"/>
      <c r="LCA45" s="137"/>
      <c r="LCB45" s="137"/>
      <c r="LCC45" s="137"/>
      <c r="LCD45" s="137"/>
      <c r="LCE45" s="137"/>
      <c r="LCF45" s="137"/>
      <c r="LCG45" s="137"/>
      <c r="LCH45" s="137"/>
      <c r="LCI45" s="137"/>
      <c r="LCJ45" s="137"/>
      <c r="LCK45" s="137"/>
      <c r="LCL45" s="137"/>
      <c r="LCM45" s="137"/>
      <c r="LCN45" s="137"/>
      <c r="LCO45" s="137"/>
      <c r="LCP45" s="137"/>
      <c r="LCQ45" s="137"/>
      <c r="LCR45" s="137"/>
      <c r="LCS45" s="137"/>
      <c r="LCT45" s="137"/>
      <c r="LCU45" s="137"/>
      <c r="LCV45" s="137"/>
      <c r="LCW45" s="137"/>
      <c r="LCX45" s="137"/>
      <c r="LCY45" s="137"/>
      <c r="LCZ45" s="137"/>
      <c r="LDA45" s="137"/>
      <c r="LDB45" s="137"/>
      <c r="LDC45" s="137"/>
      <c r="LDD45" s="137"/>
      <c r="LDE45" s="137"/>
      <c r="LDF45" s="137"/>
      <c r="LDG45" s="137"/>
      <c r="LDH45" s="137"/>
      <c r="LDI45" s="137"/>
      <c r="LDJ45" s="137"/>
      <c r="LDK45" s="137"/>
      <c r="LDL45" s="137"/>
      <c r="LDM45" s="137"/>
      <c r="LDN45" s="137"/>
      <c r="LDO45" s="137"/>
      <c r="LDP45" s="137"/>
      <c r="LDQ45" s="137"/>
      <c r="LDR45" s="137"/>
      <c r="LDS45" s="137"/>
      <c r="LDT45" s="137"/>
      <c r="LDU45" s="137"/>
      <c r="LDV45" s="137"/>
      <c r="LDW45" s="137"/>
      <c r="LDX45" s="137"/>
      <c r="LDY45" s="137"/>
      <c r="LDZ45" s="137"/>
      <c r="LEA45" s="137"/>
      <c r="LEB45" s="137"/>
      <c r="LEC45" s="137"/>
      <c r="LED45" s="137"/>
      <c r="LEE45" s="137"/>
      <c r="LEF45" s="137"/>
      <c r="LEG45" s="137"/>
      <c r="LEH45" s="137"/>
      <c r="LEI45" s="137"/>
      <c r="LEJ45" s="137"/>
      <c r="LEK45" s="137"/>
      <c r="LEL45" s="137"/>
      <c r="LEM45" s="137"/>
      <c r="LEN45" s="137"/>
      <c r="LEO45" s="137"/>
      <c r="LEP45" s="137"/>
      <c r="LEQ45" s="137"/>
      <c r="LER45" s="137"/>
      <c r="LES45" s="137"/>
      <c r="LET45" s="137"/>
      <c r="LEU45" s="137"/>
      <c r="LEV45" s="137"/>
      <c r="LEW45" s="137"/>
      <c r="LEX45" s="137"/>
      <c r="LEY45" s="137"/>
      <c r="LEZ45" s="137"/>
      <c r="LFA45" s="137"/>
      <c r="LFB45" s="137"/>
      <c r="LFC45" s="137"/>
      <c r="LFD45" s="137"/>
      <c r="LFE45" s="137"/>
      <c r="LFF45" s="137"/>
      <c r="LFG45" s="137"/>
      <c r="LFH45" s="137"/>
      <c r="LFI45" s="137"/>
      <c r="LFJ45" s="137"/>
      <c r="LFK45" s="137"/>
      <c r="LFL45" s="137"/>
      <c r="LFM45" s="137"/>
      <c r="LFN45" s="137"/>
      <c r="LFO45" s="137"/>
      <c r="LFP45" s="137"/>
      <c r="LFQ45" s="137"/>
      <c r="LFR45" s="137"/>
      <c r="LFS45" s="137"/>
      <c r="LFT45" s="137"/>
      <c r="LFU45" s="137"/>
      <c r="LFV45" s="137"/>
      <c r="LFW45" s="137"/>
      <c r="LFX45" s="137"/>
      <c r="LFY45" s="137"/>
      <c r="LFZ45" s="137"/>
      <c r="LGA45" s="137"/>
      <c r="LGB45" s="137"/>
      <c r="LGC45" s="137"/>
      <c r="LGD45" s="137"/>
      <c r="LGE45" s="137"/>
      <c r="LGF45" s="137"/>
      <c r="LGG45" s="137"/>
      <c r="LGH45" s="137"/>
      <c r="LGI45" s="137"/>
      <c r="LGJ45" s="137"/>
      <c r="LGK45" s="137"/>
      <c r="LGL45" s="137"/>
      <c r="LGM45" s="137"/>
      <c r="LGN45" s="137"/>
      <c r="LGO45" s="137"/>
      <c r="LGP45" s="137"/>
      <c r="LGQ45" s="137"/>
      <c r="LGR45" s="137"/>
      <c r="LGS45" s="137"/>
      <c r="LGT45" s="137"/>
      <c r="LGU45" s="137"/>
      <c r="LGV45" s="137"/>
      <c r="LGW45" s="137"/>
      <c r="LGX45" s="137"/>
      <c r="LGY45" s="137"/>
      <c r="LGZ45" s="137"/>
      <c r="LHA45" s="137"/>
      <c r="LHB45" s="137"/>
      <c r="LHC45" s="137"/>
      <c r="LHD45" s="137"/>
      <c r="LHE45" s="137"/>
      <c r="LHF45" s="137"/>
      <c r="LHG45" s="137"/>
      <c r="LHH45" s="137"/>
      <c r="LHI45" s="137"/>
      <c r="LHJ45" s="137"/>
      <c r="LHK45" s="137"/>
      <c r="LHL45" s="137"/>
      <c r="LHM45" s="137"/>
      <c r="LHN45" s="137"/>
      <c r="LHO45" s="137"/>
      <c r="LHP45" s="137"/>
      <c r="LHQ45" s="137"/>
      <c r="LHR45" s="137"/>
      <c r="LHS45" s="137"/>
      <c r="LHT45" s="137"/>
      <c r="LHU45" s="137"/>
      <c r="LHV45" s="137"/>
      <c r="LHW45" s="137"/>
      <c r="LHX45" s="137"/>
      <c r="LHY45" s="137"/>
      <c r="LHZ45" s="137"/>
      <c r="LIA45" s="137"/>
      <c r="LIB45" s="137"/>
      <c r="LIC45" s="137"/>
      <c r="LID45" s="137"/>
      <c r="LIE45" s="137"/>
      <c r="LIF45" s="137"/>
      <c r="LIG45" s="137"/>
      <c r="LIH45" s="137"/>
      <c r="LII45" s="137"/>
      <c r="LIJ45" s="137"/>
      <c r="LIK45" s="137"/>
      <c r="LIL45" s="137"/>
      <c r="LIM45" s="137"/>
      <c r="LIN45" s="137"/>
      <c r="LIO45" s="137"/>
      <c r="LIP45" s="137"/>
      <c r="LIQ45" s="137"/>
      <c r="LIR45" s="137"/>
      <c r="LIS45" s="137"/>
      <c r="LIT45" s="137"/>
      <c r="LIU45" s="137"/>
      <c r="LIV45" s="137"/>
      <c r="LIW45" s="137"/>
      <c r="LIX45" s="137"/>
      <c r="LIY45" s="137"/>
      <c r="LIZ45" s="137"/>
      <c r="LJA45" s="137"/>
      <c r="LJB45" s="137"/>
      <c r="LJC45" s="137"/>
      <c r="LJD45" s="137"/>
      <c r="LJE45" s="137"/>
      <c r="LJF45" s="137"/>
      <c r="LJG45" s="137"/>
      <c r="LJH45" s="137"/>
      <c r="LJI45" s="137"/>
      <c r="LJJ45" s="137"/>
      <c r="LJK45" s="137"/>
      <c r="LJL45" s="137"/>
      <c r="LJM45" s="137"/>
      <c r="LJN45" s="137"/>
      <c r="LJO45" s="137"/>
      <c r="LJP45" s="137"/>
      <c r="LJQ45" s="137"/>
      <c r="LJR45" s="137"/>
      <c r="LJS45" s="137"/>
      <c r="LJT45" s="137"/>
      <c r="LJU45" s="137"/>
      <c r="LJV45" s="137"/>
      <c r="LJW45" s="137"/>
      <c r="LJX45" s="137"/>
      <c r="LJY45" s="137"/>
      <c r="LJZ45" s="137"/>
      <c r="LKA45" s="137"/>
      <c r="LKB45" s="137"/>
      <c r="LKC45" s="137"/>
      <c r="LKD45" s="137"/>
      <c r="LKE45" s="137"/>
      <c r="LKF45" s="137"/>
      <c r="LKG45" s="137"/>
      <c r="LKH45" s="137"/>
      <c r="LKI45" s="137"/>
      <c r="LKJ45" s="137"/>
      <c r="LKK45" s="137"/>
      <c r="LKL45" s="137"/>
      <c r="LKM45" s="137"/>
      <c r="LKN45" s="137"/>
      <c r="LKO45" s="137"/>
      <c r="LKP45" s="137"/>
      <c r="LKQ45" s="137"/>
      <c r="LKR45" s="137"/>
      <c r="LKS45" s="137"/>
      <c r="LKT45" s="137"/>
      <c r="LKU45" s="137"/>
      <c r="LKV45" s="137"/>
      <c r="LKW45" s="137"/>
      <c r="LKX45" s="137"/>
      <c r="LKY45" s="137"/>
      <c r="LKZ45" s="137"/>
      <c r="LLA45" s="137"/>
      <c r="LLB45" s="137"/>
      <c r="LLC45" s="137"/>
      <c r="LLD45" s="137"/>
      <c r="LLE45" s="137"/>
      <c r="LLF45" s="137"/>
      <c r="LLG45" s="137"/>
      <c r="LLH45" s="137"/>
      <c r="LLI45" s="137"/>
      <c r="LLJ45" s="137"/>
      <c r="LLK45" s="137"/>
      <c r="LLL45" s="137"/>
      <c r="LLM45" s="137"/>
      <c r="LLN45" s="137"/>
      <c r="LLO45" s="137"/>
      <c r="LLP45" s="137"/>
      <c r="LLQ45" s="137"/>
      <c r="LLR45" s="137"/>
      <c r="LLS45" s="137"/>
      <c r="LLT45" s="137"/>
      <c r="LLU45" s="137"/>
      <c r="LLV45" s="137"/>
      <c r="LLW45" s="137"/>
      <c r="LLX45" s="137"/>
      <c r="LLY45" s="137"/>
      <c r="LLZ45" s="137"/>
      <c r="LMA45" s="137"/>
      <c r="LMB45" s="137"/>
      <c r="LMC45" s="137"/>
      <c r="LMD45" s="137"/>
      <c r="LME45" s="137"/>
      <c r="LMF45" s="137"/>
      <c r="LMG45" s="137"/>
      <c r="LMH45" s="137"/>
      <c r="LMI45" s="137"/>
      <c r="LMJ45" s="137"/>
      <c r="LMK45" s="137"/>
      <c r="LML45" s="137"/>
      <c r="LMM45" s="137"/>
      <c r="LMN45" s="137"/>
      <c r="LMO45" s="137"/>
      <c r="LMP45" s="137"/>
      <c r="LMQ45" s="137"/>
      <c r="LMR45" s="137"/>
      <c r="LMS45" s="137"/>
      <c r="LMT45" s="137"/>
      <c r="LMU45" s="137"/>
      <c r="LMV45" s="137"/>
      <c r="LMW45" s="137"/>
      <c r="LMX45" s="137"/>
      <c r="LMY45" s="137"/>
      <c r="LMZ45" s="137"/>
      <c r="LNA45" s="137"/>
      <c r="LNB45" s="137"/>
      <c r="LNC45" s="137"/>
      <c r="LND45" s="137"/>
      <c r="LNE45" s="137"/>
      <c r="LNF45" s="137"/>
      <c r="LNG45" s="137"/>
      <c r="LNH45" s="137"/>
      <c r="LNI45" s="137"/>
      <c r="LNJ45" s="137"/>
      <c r="LNK45" s="137"/>
      <c r="LNL45" s="137"/>
      <c r="LNM45" s="137"/>
      <c r="LNN45" s="137"/>
      <c r="LNO45" s="137"/>
      <c r="LNP45" s="137"/>
      <c r="LNQ45" s="137"/>
      <c r="LNR45" s="137"/>
      <c r="LNS45" s="137"/>
      <c r="LNT45" s="137"/>
      <c r="LNU45" s="137"/>
      <c r="LNV45" s="137"/>
      <c r="LNW45" s="137"/>
      <c r="LNX45" s="137"/>
      <c r="LNY45" s="137"/>
      <c r="LNZ45" s="137"/>
      <c r="LOA45" s="137"/>
      <c r="LOB45" s="137"/>
      <c r="LOC45" s="137"/>
      <c r="LOD45" s="137"/>
      <c r="LOE45" s="137"/>
      <c r="LOF45" s="137"/>
      <c r="LOG45" s="137"/>
      <c r="LOH45" s="137"/>
      <c r="LOI45" s="137"/>
      <c r="LOJ45" s="137"/>
      <c r="LOK45" s="137"/>
      <c r="LOL45" s="137"/>
      <c r="LOM45" s="137"/>
      <c r="LON45" s="137"/>
      <c r="LOO45" s="137"/>
      <c r="LOP45" s="137"/>
      <c r="LOQ45" s="137"/>
      <c r="LOR45" s="137"/>
      <c r="LOS45" s="137"/>
      <c r="LOT45" s="137"/>
      <c r="LOU45" s="137"/>
      <c r="LOV45" s="137"/>
      <c r="LOW45" s="137"/>
      <c r="LOX45" s="137"/>
      <c r="LOY45" s="137"/>
      <c r="LOZ45" s="137"/>
      <c r="LPA45" s="137"/>
      <c r="LPB45" s="137"/>
      <c r="LPC45" s="137"/>
      <c r="LPD45" s="137"/>
      <c r="LPE45" s="137"/>
      <c r="LPF45" s="137"/>
      <c r="LPG45" s="137"/>
      <c r="LPH45" s="137"/>
      <c r="LPI45" s="137"/>
      <c r="LPJ45" s="137"/>
      <c r="LPK45" s="137"/>
      <c r="LPL45" s="137"/>
      <c r="LPM45" s="137"/>
      <c r="LPN45" s="137"/>
      <c r="LPO45" s="137"/>
      <c r="LPP45" s="137"/>
      <c r="LPQ45" s="137"/>
      <c r="LPR45" s="137"/>
      <c r="LPS45" s="137"/>
      <c r="LPT45" s="137"/>
      <c r="LPU45" s="137"/>
      <c r="LPV45" s="137"/>
      <c r="LPW45" s="137"/>
      <c r="LPX45" s="137"/>
      <c r="LPY45" s="137"/>
      <c r="LPZ45" s="137"/>
      <c r="LQA45" s="137"/>
      <c r="LQB45" s="137"/>
      <c r="LQC45" s="137"/>
      <c r="LQD45" s="137"/>
      <c r="LQE45" s="137"/>
      <c r="LQF45" s="137"/>
      <c r="LQG45" s="137"/>
      <c r="LQH45" s="137"/>
      <c r="LQI45" s="137"/>
      <c r="LQJ45" s="137"/>
      <c r="LQK45" s="137"/>
      <c r="LQL45" s="137"/>
      <c r="LQM45" s="137"/>
      <c r="LQN45" s="137"/>
      <c r="LQO45" s="137"/>
      <c r="LQP45" s="137"/>
      <c r="LQQ45" s="137"/>
      <c r="LQR45" s="137"/>
      <c r="LQS45" s="137"/>
      <c r="LQT45" s="137"/>
      <c r="LQU45" s="137"/>
      <c r="LQV45" s="137"/>
      <c r="LQW45" s="137"/>
      <c r="LQX45" s="137"/>
      <c r="LQY45" s="137"/>
      <c r="LQZ45" s="137"/>
      <c r="LRA45" s="137"/>
      <c r="LRB45" s="137"/>
      <c r="LRC45" s="137"/>
      <c r="LRD45" s="137"/>
      <c r="LRE45" s="137"/>
      <c r="LRF45" s="137"/>
      <c r="LRG45" s="137"/>
      <c r="LRH45" s="137"/>
      <c r="LRI45" s="137"/>
      <c r="LRJ45" s="137"/>
      <c r="LRK45" s="137"/>
      <c r="LRL45" s="137"/>
      <c r="LRM45" s="137"/>
      <c r="LRN45" s="137"/>
      <c r="LRO45" s="137"/>
      <c r="LRP45" s="137"/>
      <c r="LRQ45" s="137"/>
      <c r="LRR45" s="137"/>
      <c r="LRS45" s="137"/>
      <c r="LRT45" s="137"/>
      <c r="LRU45" s="137"/>
      <c r="LRV45" s="137"/>
      <c r="LRW45" s="137"/>
      <c r="LRX45" s="137"/>
      <c r="LRY45" s="137"/>
      <c r="LRZ45" s="137"/>
      <c r="LSA45" s="137"/>
      <c r="LSB45" s="137"/>
      <c r="LSC45" s="137"/>
      <c r="LSD45" s="137"/>
      <c r="LSE45" s="137"/>
      <c r="LSF45" s="137"/>
      <c r="LSG45" s="137"/>
      <c r="LSH45" s="137"/>
      <c r="LSI45" s="137"/>
      <c r="LSJ45" s="137"/>
      <c r="LSK45" s="137"/>
      <c r="LSL45" s="137"/>
      <c r="LSM45" s="137"/>
      <c r="LSN45" s="137"/>
      <c r="LSO45" s="137"/>
      <c r="LSP45" s="137"/>
      <c r="LSQ45" s="137"/>
      <c r="LSR45" s="137"/>
      <c r="LSS45" s="137"/>
      <c r="LST45" s="137"/>
      <c r="LSU45" s="137"/>
      <c r="LSV45" s="137"/>
      <c r="LSW45" s="137"/>
      <c r="LSX45" s="137"/>
      <c r="LSY45" s="137"/>
      <c r="LSZ45" s="137"/>
      <c r="LTA45" s="137"/>
      <c r="LTB45" s="137"/>
      <c r="LTC45" s="137"/>
      <c r="LTD45" s="137"/>
      <c r="LTE45" s="137"/>
      <c r="LTF45" s="137"/>
      <c r="LTG45" s="137"/>
      <c r="LTH45" s="137"/>
      <c r="LTI45" s="137"/>
      <c r="LTJ45" s="137"/>
      <c r="LTK45" s="137"/>
      <c r="LTL45" s="137"/>
      <c r="LTM45" s="137"/>
      <c r="LTN45" s="137"/>
      <c r="LTO45" s="137"/>
      <c r="LTP45" s="137"/>
      <c r="LTQ45" s="137"/>
      <c r="LTR45" s="137"/>
      <c r="LTS45" s="137"/>
      <c r="LTT45" s="137"/>
      <c r="LTU45" s="137"/>
      <c r="LTV45" s="137"/>
      <c r="LTW45" s="137"/>
      <c r="LTX45" s="137"/>
      <c r="LTY45" s="137"/>
      <c r="LTZ45" s="137"/>
      <c r="LUA45" s="137"/>
      <c r="LUB45" s="137"/>
      <c r="LUC45" s="137"/>
      <c r="LUD45" s="137"/>
      <c r="LUE45" s="137"/>
      <c r="LUF45" s="137"/>
      <c r="LUG45" s="137"/>
      <c r="LUH45" s="137"/>
      <c r="LUI45" s="137"/>
      <c r="LUJ45" s="137"/>
      <c r="LUK45" s="137"/>
      <c r="LUL45" s="137"/>
      <c r="LUM45" s="137"/>
      <c r="LUN45" s="137"/>
      <c r="LUO45" s="137"/>
      <c r="LUP45" s="137"/>
      <c r="LUQ45" s="137"/>
      <c r="LUR45" s="137"/>
      <c r="LUS45" s="137"/>
      <c r="LUT45" s="137"/>
      <c r="LUU45" s="137"/>
      <c r="LUV45" s="137"/>
      <c r="LUW45" s="137"/>
      <c r="LUX45" s="137"/>
      <c r="LUY45" s="137"/>
      <c r="LUZ45" s="137"/>
      <c r="LVA45" s="137"/>
      <c r="LVB45" s="137"/>
      <c r="LVC45" s="137"/>
      <c r="LVD45" s="137"/>
      <c r="LVE45" s="137"/>
      <c r="LVF45" s="137"/>
      <c r="LVG45" s="137"/>
      <c r="LVH45" s="137"/>
      <c r="LVI45" s="137"/>
      <c r="LVJ45" s="137"/>
      <c r="LVK45" s="137"/>
      <c r="LVL45" s="137"/>
      <c r="LVM45" s="137"/>
      <c r="LVN45" s="137"/>
      <c r="LVO45" s="137"/>
      <c r="LVP45" s="137"/>
      <c r="LVQ45" s="137"/>
      <c r="LVR45" s="137"/>
      <c r="LVS45" s="137"/>
      <c r="LVT45" s="137"/>
      <c r="LVU45" s="137"/>
      <c r="LVV45" s="137"/>
      <c r="LVW45" s="137"/>
      <c r="LVX45" s="137"/>
      <c r="LVY45" s="137"/>
      <c r="LVZ45" s="137"/>
      <c r="LWA45" s="137"/>
      <c r="LWB45" s="137"/>
      <c r="LWC45" s="137"/>
      <c r="LWD45" s="137"/>
      <c r="LWE45" s="137"/>
      <c r="LWF45" s="137"/>
      <c r="LWG45" s="137"/>
      <c r="LWH45" s="137"/>
      <c r="LWI45" s="137"/>
      <c r="LWJ45" s="137"/>
      <c r="LWK45" s="137"/>
      <c r="LWL45" s="137"/>
      <c r="LWM45" s="137"/>
      <c r="LWN45" s="137"/>
      <c r="LWO45" s="137"/>
      <c r="LWP45" s="137"/>
      <c r="LWQ45" s="137"/>
      <c r="LWR45" s="137"/>
      <c r="LWS45" s="137"/>
      <c r="LWT45" s="137"/>
      <c r="LWU45" s="137"/>
      <c r="LWV45" s="137"/>
      <c r="LWW45" s="137"/>
      <c r="LWX45" s="137"/>
      <c r="LWY45" s="137"/>
      <c r="LWZ45" s="137"/>
      <c r="LXA45" s="137"/>
      <c r="LXB45" s="137"/>
      <c r="LXC45" s="137"/>
      <c r="LXD45" s="137"/>
      <c r="LXE45" s="137"/>
      <c r="LXF45" s="137"/>
      <c r="LXG45" s="137"/>
      <c r="LXH45" s="137"/>
      <c r="LXI45" s="137"/>
      <c r="LXJ45" s="137"/>
      <c r="LXK45" s="137"/>
      <c r="LXL45" s="137"/>
      <c r="LXM45" s="137"/>
      <c r="LXN45" s="137"/>
      <c r="LXO45" s="137"/>
      <c r="LXP45" s="137"/>
      <c r="LXQ45" s="137"/>
      <c r="LXR45" s="137"/>
      <c r="LXS45" s="137"/>
      <c r="LXT45" s="137"/>
      <c r="LXU45" s="137"/>
      <c r="LXV45" s="137"/>
      <c r="LXW45" s="137"/>
      <c r="LXX45" s="137"/>
      <c r="LXY45" s="137"/>
      <c r="LXZ45" s="137"/>
      <c r="LYA45" s="137"/>
      <c r="LYB45" s="137"/>
      <c r="LYC45" s="137"/>
      <c r="LYD45" s="137"/>
      <c r="LYE45" s="137"/>
      <c r="LYF45" s="137"/>
      <c r="LYG45" s="137"/>
      <c r="LYH45" s="137"/>
      <c r="LYI45" s="137"/>
      <c r="LYJ45" s="137"/>
      <c r="LYK45" s="137"/>
      <c r="LYL45" s="137"/>
      <c r="LYM45" s="137"/>
      <c r="LYN45" s="137"/>
      <c r="LYO45" s="137"/>
      <c r="LYP45" s="137"/>
      <c r="LYQ45" s="137"/>
      <c r="LYR45" s="137"/>
      <c r="LYS45" s="137"/>
      <c r="LYT45" s="137"/>
      <c r="LYU45" s="137"/>
      <c r="LYV45" s="137"/>
      <c r="LYW45" s="137"/>
      <c r="LYX45" s="137"/>
      <c r="LYY45" s="137"/>
      <c r="LYZ45" s="137"/>
      <c r="LZA45" s="137"/>
      <c r="LZB45" s="137"/>
      <c r="LZC45" s="137"/>
      <c r="LZD45" s="137"/>
      <c r="LZE45" s="137"/>
      <c r="LZF45" s="137"/>
      <c r="LZG45" s="137"/>
      <c r="LZH45" s="137"/>
      <c r="LZI45" s="137"/>
      <c r="LZJ45" s="137"/>
      <c r="LZK45" s="137"/>
      <c r="LZL45" s="137"/>
      <c r="LZM45" s="137"/>
      <c r="LZN45" s="137"/>
      <c r="LZO45" s="137"/>
      <c r="LZP45" s="137"/>
      <c r="LZQ45" s="137"/>
      <c r="LZR45" s="137"/>
      <c r="LZS45" s="137"/>
      <c r="LZT45" s="137"/>
      <c r="LZU45" s="137"/>
      <c r="LZV45" s="137"/>
      <c r="LZW45" s="137"/>
      <c r="LZX45" s="137"/>
      <c r="LZY45" s="137"/>
      <c r="LZZ45" s="137"/>
      <c r="MAA45" s="137"/>
      <c r="MAB45" s="137"/>
      <c r="MAC45" s="137"/>
      <c r="MAD45" s="137"/>
      <c r="MAE45" s="137"/>
      <c r="MAF45" s="137"/>
      <c r="MAG45" s="137"/>
      <c r="MAH45" s="137"/>
      <c r="MAI45" s="137"/>
      <c r="MAJ45" s="137"/>
      <c r="MAK45" s="137"/>
      <c r="MAL45" s="137"/>
      <c r="MAM45" s="137"/>
      <c r="MAN45" s="137"/>
      <c r="MAO45" s="137"/>
      <c r="MAP45" s="137"/>
      <c r="MAQ45" s="137"/>
      <c r="MAR45" s="137"/>
      <c r="MAS45" s="137"/>
      <c r="MAT45" s="137"/>
      <c r="MAU45" s="137"/>
      <c r="MAV45" s="137"/>
      <c r="MAW45" s="137"/>
      <c r="MAX45" s="137"/>
      <c r="MAY45" s="137"/>
      <c r="MAZ45" s="137"/>
      <c r="MBA45" s="137"/>
      <c r="MBB45" s="137"/>
      <c r="MBC45" s="137"/>
      <c r="MBD45" s="137"/>
      <c r="MBE45" s="137"/>
      <c r="MBF45" s="137"/>
      <c r="MBG45" s="137"/>
      <c r="MBH45" s="137"/>
      <c r="MBI45" s="137"/>
      <c r="MBJ45" s="137"/>
      <c r="MBK45" s="137"/>
      <c r="MBL45" s="137"/>
      <c r="MBM45" s="137"/>
      <c r="MBN45" s="137"/>
      <c r="MBO45" s="137"/>
      <c r="MBP45" s="137"/>
      <c r="MBQ45" s="137"/>
      <c r="MBR45" s="137"/>
      <c r="MBS45" s="137"/>
      <c r="MBT45" s="137"/>
      <c r="MBU45" s="137"/>
      <c r="MBV45" s="137"/>
      <c r="MBW45" s="137"/>
      <c r="MBX45" s="137"/>
      <c r="MBY45" s="137"/>
      <c r="MBZ45" s="137"/>
      <c r="MCA45" s="137"/>
      <c r="MCB45" s="137"/>
      <c r="MCC45" s="137"/>
      <c r="MCD45" s="137"/>
      <c r="MCE45" s="137"/>
      <c r="MCF45" s="137"/>
      <c r="MCG45" s="137"/>
      <c r="MCH45" s="137"/>
      <c r="MCI45" s="137"/>
      <c r="MCJ45" s="137"/>
      <c r="MCK45" s="137"/>
      <c r="MCL45" s="137"/>
      <c r="MCM45" s="137"/>
      <c r="MCN45" s="137"/>
      <c r="MCO45" s="137"/>
      <c r="MCP45" s="137"/>
      <c r="MCQ45" s="137"/>
      <c r="MCR45" s="137"/>
      <c r="MCS45" s="137"/>
      <c r="MCT45" s="137"/>
      <c r="MCU45" s="137"/>
      <c r="MCV45" s="137"/>
      <c r="MCW45" s="137"/>
      <c r="MCX45" s="137"/>
      <c r="MCY45" s="137"/>
      <c r="MCZ45" s="137"/>
      <c r="MDA45" s="137"/>
      <c r="MDB45" s="137"/>
      <c r="MDC45" s="137"/>
      <c r="MDD45" s="137"/>
      <c r="MDE45" s="137"/>
      <c r="MDF45" s="137"/>
      <c r="MDG45" s="137"/>
      <c r="MDH45" s="137"/>
      <c r="MDI45" s="137"/>
      <c r="MDJ45" s="137"/>
      <c r="MDK45" s="137"/>
      <c r="MDL45" s="137"/>
      <c r="MDM45" s="137"/>
      <c r="MDN45" s="137"/>
      <c r="MDO45" s="137"/>
      <c r="MDP45" s="137"/>
      <c r="MDQ45" s="137"/>
      <c r="MDR45" s="137"/>
      <c r="MDS45" s="137"/>
      <c r="MDT45" s="137"/>
      <c r="MDU45" s="137"/>
      <c r="MDV45" s="137"/>
      <c r="MDW45" s="137"/>
      <c r="MDX45" s="137"/>
      <c r="MDY45" s="137"/>
      <c r="MDZ45" s="137"/>
      <c r="MEA45" s="137"/>
      <c r="MEB45" s="137"/>
      <c r="MEC45" s="137"/>
      <c r="MED45" s="137"/>
      <c r="MEE45" s="137"/>
      <c r="MEF45" s="137"/>
      <c r="MEG45" s="137"/>
      <c r="MEH45" s="137"/>
      <c r="MEI45" s="137"/>
      <c r="MEJ45" s="137"/>
      <c r="MEK45" s="137"/>
      <c r="MEL45" s="137"/>
      <c r="MEM45" s="137"/>
      <c r="MEN45" s="137"/>
      <c r="MEO45" s="137"/>
      <c r="MEP45" s="137"/>
      <c r="MEQ45" s="137"/>
      <c r="MER45" s="137"/>
      <c r="MES45" s="137"/>
      <c r="MET45" s="137"/>
      <c r="MEU45" s="137"/>
      <c r="MEV45" s="137"/>
      <c r="MEW45" s="137"/>
      <c r="MEX45" s="137"/>
      <c r="MEY45" s="137"/>
      <c r="MEZ45" s="137"/>
      <c r="MFA45" s="137"/>
      <c r="MFB45" s="137"/>
      <c r="MFC45" s="137"/>
      <c r="MFD45" s="137"/>
      <c r="MFE45" s="137"/>
      <c r="MFF45" s="137"/>
      <c r="MFG45" s="137"/>
      <c r="MFH45" s="137"/>
      <c r="MFI45" s="137"/>
      <c r="MFJ45" s="137"/>
      <c r="MFK45" s="137"/>
      <c r="MFL45" s="137"/>
      <c r="MFM45" s="137"/>
      <c r="MFN45" s="137"/>
      <c r="MFO45" s="137"/>
      <c r="MFP45" s="137"/>
      <c r="MFQ45" s="137"/>
      <c r="MFR45" s="137"/>
      <c r="MFS45" s="137"/>
      <c r="MFT45" s="137"/>
      <c r="MFU45" s="137"/>
      <c r="MFV45" s="137"/>
      <c r="MFW45" s="137"/>
      <c r="MFX45" s="137"/>
      <c r="MFY45" s="137"/>
      <c r="MFZ45" s="137"/>
      <c r="MGA45" s="137"/>
      <c r="MGB45" s="137"/>
      <c r="MGC45" s="137"/>
      <c r="MGD45" s="137"/>
      <c r="MGE45" s="137"/>
      <c r="MGF45" s="137"/>
      <c r="MGG45" s="137"/>
      <c r="MGH45" s="137"/>
      <c r="MGI45" s="137"/>
      <c r="MGJ45" s="137"/>
      <c r="MGK45" s="137"/>
      <c r="MGL45" s="137"/>
      <c r="MGM45" s="137"/>
      <c r="MGN45" s="137"/>
      <c r="MGO45" s="137"/>
      <c r="MGP45" s="137"/>
      <c r="MGQ45" s="137"/>
      <c r="MGR45" s="137"/>
      <c r="MGS45" s="137"/>
      <c r="MGT45" s="137"/>
      <c r="MGU45" s="137"/>
      <c r="MGV45" s="137"/>
      <c r="MGW45" s="137"/>
      <c r="MGX45" s="137"/>
      <c r="MGY45" s="137"/>
      <c r="MGZ45" s="137"/>
      <c r="MHA45" s="137"/>
      <c r="MHB45" s="137"/>
      <c r="MHC45" s="137"/>
      <c r="MHD45" s="137"/>
      <c r="MHE45" s="137"/>
      <c r="MHF45" s="137"/>
      <c r="MHG45" s="137"/>
      <c r="MHH45" s="137"/>
      <c r="MHI45" s="137"/>
      <c r="MHJ45" s="137"/>
      <c r="MHK45" s="137"/>
      <c r="MHL45" s="137"/>
      <c r="MHM45" s="137"/>
      <c r="MHN45" s="137"/>
      <c r="MHO45" s="137"/>
      <c r="MHP45" s="137"/>
      <c r="MHQ45" s="137"/>
      <c r="MHR45" s="137"/>
      <c r="MHS45" s="137"/>
      <c r="MHT45" s="137"/>
      <c r="MHU45" s="137"/>
      <c r="MHV45" s="137"/>
      <c r="MHW45" s="137"/>
      <c r="MHX45" s="137"/>
      <c r="MHY45" s="137"/>
      <c r="MHZ45" s="137"/>
      <c r="MIA45" s="137"/>
      <c r="MIB45" s="137"/>
      <c r="MIC45" s="137"/>
      <c r="MID45" s="137"/>
      <c r="MIE45" s="137"/>
      <c r="MIF45" s="137"/>
      <c r="MIG45" s="137"/>
      <c r="MIH45" s="137"/>
      <c r="MII45" s="137"/>
      <c r="MIJ45" s="137"/>
      <c r="MIK45" s="137"/>
      <c r="MIL45" s="137"/>
      <c r="MIM45" s="137"/>
      <c r="MIN45" s="137"/>
      <c r="MIO45" s="137"/>
      <c r="MIP45" s="137"/>
      <c r="MIQ45" s="137"/>
      <c r="MIR45" s="137"/>
      <c r="MIS45" s="137"/>
      <c r="MIT45" s="137"/>
      <c r="MIU45" s="137"/>
      <c r="MIV45" s="137"/>
      <c r="MIW45" s="137"/>
      <c r="MIX45" s="137"/>
      <c r="MIY45" s="137"/>
      <c r="MIZ45" s="137"/>
      <c r="MJA45" s="137"/>
      <c r="MJB45" s="137"/>
      <c r="MJC45" s="137"/>
      <c r="MJD45" s="137"/>
      <c r="MJE45" s="137"/>
      <c r="MJF45" s="137"/>
      <c r="MJG45" s="137"/>
      <c r="MJH45" s="137"/>
      <c r="MJI45" s="137"/>
      <c r="MJJ45" s="137"/>
      <c r="MJK45" s="137"/>
      <c r="MJL45" s="137"/>
      <c r="MJM45" s="137"/>
      <c r="MJN45" s="137"/>
      <c r="MJO45" s="137"/>
      <c r="MJP45" s="137"/>
      <c r="MJQ45" s="137"/>
      <c r="MJR45" s="137"/>
      <c r="MJS45" s="137"/>
      <c r="MJT45" s="137"/>
      <c r="MJU45" s="137"/>
      <c r="MJV45" s="137"/>
      <c r="MJW45" s="137"/>
      <c r="MJX45" s="137"/>
      <c r="MJY45" s="137"/>
      <c r="MJZ45" s="137"/>
      <c r="MKA45" s="137"/>
      <c r="MKB45" s="137"/>
      <c r="MKC45" s="137"/>
      <c r="MKD45" s="137"/>
      <c r="MKE45" s="137"/>
      <c r="MKF45" s="137"/>
      <c r="MKG45" s="137"/>
      <c r="MKH45" s="137"/>
      <c r="MKI45" s="137"/>
      <c r="MKJ45" s="137"/>
      <c r="MKK45" s="137"/>
      <c r="MKL45" s="137"/>
      <c r="MKM45" s="137"/>
      <c r="MKN45" s="137"/>
      <c r="MKO45" s="137"/>
      <c r="MKP45" s="137"/>
      <c r="MKQ45" s="137"/>
      <c r="MKR45" s="137"/>
      <c r="MKS45" s="137"/>
      <c r="MKT45" s="137"/>
      <c r="MKU45" s="137"/>
      <c r="MKV45" s="137"/>
      <c r="MKW45" s="137"/>
      <c r="MKX45" s="137"/>
      <c r="MKY45" s="137"/>
      <c r="MKZ45" s="137"/>
      <c r="MLA45" s="137"/>
      <c r="MLB45" s="137"/>
      <c r="MLC45" s="137"/>
      <c r="MLD45" s="137"/>
      <c r="MLE45" s="137"/>
      <c r="MLF45" s="137"/>
      <c r="MLG45" s="137"/>
      <c r="MLH45" s="137"/>
      <c r="MLI45" s="137"/>
      <c r="MLJ45" s="137"/>
      <c r="MLK45" s="137"/>
      <c r="MLL45" s="137"/>
      <c r="MLM45" s="137"/>
      <c r="MLN45" s="137"/>
      <c r="MLO45" s="137"/>
      <c r="MLP45" s="137"/>
      <c r="MLQ45" s="137"/>
      <c r="MLR45" s="137"/>
      <c r="MLS45" s="137"/>
      <c r="MLT45" s="137"/>
      <c r="MLU45" s="137"/>
      <c r="MLV45" s="137"/>
      <c r="MLW45" s="137"/>
      <c r="MLX45" s="137"/>
      <c r="MLY45" s="137"/>
      <c r="MLZ45" s="137"/>
      <c r="MMA45" s="137"/>
      <c r="MMB45" s="137"/>
      <c r="MMC45" s="137"/>
      <c r="MMD45" s="137"/>
      <c r="MME45" s="137"/>
      <c r="MMF45" s="137"/>
      <c r="MMG45" s="137"/>
      <c r="MMH45" s="137"/>
      <c r="MMI45" s="137"/>
      <c r="MMJ45" s="137"/>
      <c r="MMK45" s="137"/>
      <c r="MML45" s="137"/>
      <c r="MMM45" s="137"/>
      <c r="MMN45" s="137"/>
      <c r="MMO45" s="137"/>
      <c r="MMP45" s="137"/>
      <c r="MMQ45" s="137"/>
      <c r="MMR45" s="137"/>
      <c r="MMS45" s="137"/>
      <c r="MMT45" s="137"/>
      <c r="MMU45" s="137"/>
      <c r="MMV45" s="137"/>
      <c r="MMW45" s="137"/>
      <c r="MMX45" s="137"/>
      <c r="MMY45" s="137"/>
      <c r="MMZ45" s="137"/>
      <c r="MNA45" s="137"/>
      <c r="MNB45" s="137"/>
      <c r="MNC45" s="137"/>
      <c r="MND45" s="137"/>
      <c r="MNE45" s="137"/>
      <c r="MNF45" s="137"/>
      <c r="MNG45" s="137"/>
      <c r="MNH45" s="137"/>
      <c r="MNI45" s="137"/>
      <c r="MNJ45" s="137"/>
      <c r="MNK45" s="137"/>
      <c r="MNL45" s="137"/>
      <c r="MNM45" s="137"/>
      <c r="MNN45" s="137"/>
      <c r="MNO45" s="137"/>
      <c r="MNP45" s="137"/>
      <c r="MNQ45" s="137"/>
      <c r="MNR45" s="137"/>
      <c r="MNS45" s="137"/>
      <c r="MNT45" s="137"/>
      <c r="MNU45" s="137"/>
      <c r="MNV45" s="137"/>
      <c r="MNW45" s="137"/>
      <c r="MNX45" s="137"/>
      <c r="MNY45" s="137"/>
      <c r="MNZ45" s="137"/>
      <c r="MOA45" s="137"/>
      <c r="MOB45" s="137"/>
      <c r="MOC45" s="137"/>
      <c r="MOD45" s="137"/>
      <c r="MOE45" s="137"/>
      <c r="MOF45" s="137"/>
      <c r="MOG45" s="137"/>
      <c r="MOH45" s="137"/>
      <c r="MOI45" s="137"/>
      <c r="MOJ45" s="137"/>
      <c r="MOK45" s="137"/>
      <c r="MOL45" s="137"/>
      <c r="MOM45" s="137"/>
      <c r="MON45" s="137"/>
      <c r="MOO45" s="137"/>
      <c r="MOP45" s="137"/>
      <c r="MOQ45" s="137"/>
      <c r="MOR45" s="137"/>
      <c r="MOS45" s="137"/>
      <c r="MOT45" s="137"/>
      <c r="MOU45" s="137"/>
      <c r="MOV45" s="137"/>
      <c r="MOW45" s="137"/>
      <c r="MOX45" s="137"/>
      <c r="MOY45" s="137"/>
      <c r="MOZ45" s="137"/>
      <c r="MPA45" s="137"/>
      <c r="MPB45" s="137"/>
      <c r="MPC45" s="137"/>
      <c r="MPD45" s="137"/>
      <c r="MPE45" s="137"/>
      <c r="MPF45" s="137"/>
      <c r="MPG45" s="137"/>
      <c r="MPH45" s="137"/>
      <c r="MPI45" s="137"/>
      <c r="MPJ45" s="137"/>
      <c r="MPK45" s="137"/>
      <c r="MPL45" s="137"/>
      <c r="MPM45" s="137"/>
      <c r="MPN45" s="137"/>
      <c r="MPO45" s="137"/>
      <c r="MPP45" s="137"/>
      <c r="MPQ45" s="137"/>
      <c r="MPR45" s="137"/>
      <c r="MPS45" s="137"/>
      <c r="MPT45" s="137"/>
      <c r="MPU45" s="137"/>
      <c r="MPV45" s="137"/>
      <c r="MPW45" s="137"/>
      <c r="MPX45" s="137"/>
      <c r="MPY45" s="137"/>
      <c r="MPZ45" s="137"/>
      <c r="MQA45" s="137"/>
      <c r="MQB45" s="137"/>
      <c r="MQC45" s="137"/>
      <c r="MQD45" s="137"/>
      <c r="MQE45" s="137"/>
      <c r="MQF45" s="137"/>
      <c r="MQG45" s="137"/>
      <c r="MQH45" s="137"/>
      <c r="MQI45" s="137"/>
      <c r="MQJ45" s="137"/>
      <c r="MQK45" s="137"/>
      <c r="MQL45" s="137"/>
      <c r="MQM45" s="137"/>
      <c r="MQN45" s="137"/>
      <c r="MQO45" s="137"/>
      <c r="MQP45" s="137"/>
      <c r="MQQ45" s="137"/>
      <c r="MQR45" s="137"/>
      <c r="MQS45" s="137"/>
      <c r="MQT45" s="137"/>
      <c r="MQU45" s="137"/>
      <c r="MQV45" s="137"/>
      <c r="MQW45" s="137"/>
      <c r="MQX45" s="137"/>
      <c r="MQY45" s="137"/>
      <c r="MQZ45" s="137"/>
      <c r="MRA45" s="137"/>
      <c r="MRB45" s="137"/>
      <c r="MRC45" s="137"/>
      <c r="MRD45" s="137"/>
      <c r="MRE45" s="137"/>
      <c r="MRF45" s="137"/>
      <c r="MRG45" s="137"/>
      <c r="MRH45" s="137"/>
      <c r="MRI45" s="137"/>
      <c r="MRJ45" s="137"/>
      <c r="MRK45" s="137"/>
      <c r="MRL45" s="137"/>
      <c r="MRM45" s="137"/>
      <c r="MRN45" s="137"/>
      <c r="MRO45" s="137"/>
      <c r="MRP45" s="137"/>
      <c r="MRQ45" s="137"/>
      <c r="MRR45" s="137"/>
      <c r="MRS45" s="137"/>
      <c r="MRT45" s="137"/>
      <c r="MRU45" s="137"/>
      <c r="MRV45" s="137"/>
      <c r="MRW45" s="137"/>
      <c r="MRX45" s="137"/>
      <c r="MRY45" s="137"/>
      <c r="MRZ45" s="137"/>
      <c r="MSA45" s="137"/>
      <c r="MSB45" s="137"/>
      <c r="MSC45" s="137"/>
      <c r="MSD45" s="137"/>
      <c r="MSE45" s="137"/>
      <c r="MSF45" s="137"/>
      <c r="MSG45" s="137"/>
      <c r="MSH45" s="137"/>
      <c r="MSI45" s="137"/>
      <c r="MSJ45" s="137"/>
      <c r="MSK45" s="137"/>
      <c r="MSL45" s="137"/>
      <c r="MSM45" s="137"/>
      <c r="MSN45" s="137"/>
      <c r="MSO45" s="137"/>
      <c r="MSP45" s="137"/>
      <c r="MSQ45" s="137"/>
      <c r="MSR45" s="137"/>
      <c r="MSS45" s="137"/>
      <c r="MST45" s="137"/>
      <c r="MSU45" s="137"/>
      <c r="MSV45" s="137"/>
      <c r="MSW45" s="137"/>
      <c r="MSX45" s="137"/>
      <c r="MSY45" s="137"/>
      <c r="MSZ45" s="137"/>
      <c r="MTA45" s="137"/>
      <c r="MTB45" s="137"/>
      <c r="MTC45" s="137"/>
      <c r="MTD45" s="137"/>
      <c r="MTE45" s="137"/>
      <c r="MTF45" s="137"/>
      <c r="MTG45" s="137"/>
      <c r="MTH45" s="137"/>
      <c r="MTI45" s="137"/>
      <c r="MTJ45" s="137"/>
      <c r="MTK45" s="137"/>
      <c r="MTL45" s="137"/>
      <c r="MTM45" s="137"/>
      <c r="MTN45" s="137"/>
      <c r="MTO45" s="137"/>
      <c r="MTP45" s="137"/>
      <c r="MTQ45" s="137"/>
      <c r="MTR45" s="137"/>
      <c r="MTS45" s="137"/>
      <c r="MTT45" s="137"/>
      <c r="MTU45" s="137"/>
      <c r="MTV45" s="137"/>
      <c r="MTW45" s="137"/>
      <c r="MTX45" s="137"/>
      <c r="MTY45" s="137"/>
      <c r="MTZ45" s="137"/>
      <c r="MUA45" s="137"/>
      <c r="MUB45" s="137"/>
      <c r="MUC45" s="137"/>
      <c r="MUD45" s="137"/>
      <c r="MUE45" s="137"/>
      <c r="MUF45" s="137"/>
      <c r="MUG45" s="137"/>
      <c r="MUH45" s="137"/>
      <c r="MUI45" s="137"/>
      <c r="MUJ45" s="137"/>
      <c r="MUK45" s="137"/>
      <c r="MUL45" s="137"/>
      <c r="MUM45" s="137"/>
      <c r="MUN45" s="137"/>
      <c r="MUO45" s="137"/>
      <c r="MUP45" s="137"/>
      <c r="MUQ45" s="137"/>
      <c r="MUR45" s="137"/>
      <c r="MUS45" s="137"/>
      <c r="MUT45" s="137"/>
      <c r="MUU45" s="137"/>
      <c r="MUV45" s="137"/>
      <c r="MUW45" s="137"/>
      <c r="MUX45" s="137"/>
      <c r="MUY45" s="137"/>
      <c r="MUZ45" s="137"/>
      <c r="MVA45" s="137"/>
      <c r="MVB45" s="137"/>
      <c r="MVC45" s="137"/>
      <c r="MVD45" s="137"/>
      <c r="MVE45" s="137"/>
      <c r="MVF45" s="137"/>
      <c r="MVG45" s="137"/>
      <c r="MVH45" s="137"/>
      <c r="MVI45" s="137"/>
      <c r="MVJ45" s="137"/>
      <c r="MVK45" s="137"/>
      <c r="MVL45" s="137"/>
      <c r="MVM45" s="137"/>
      <c r="MVN45" s="137"/>
      <c r="MVO45" s="137"/>
      <c r="MVP45" s="137"/>
      <c r="MVQ45" s="137"/>
      <c r="MVR45" s="137"/>
      <c r="MVS45" s="137"/>
      <c r="MVT45" s="137"/>
      <c r="MVU45" s="137"/>
      <c r="MVV45" s="137"/>
      <c r="MVW45" s="137"/>
      <c r="MVX45" s="137"/>
      <c r="MVY45" s="137"/>
      <c r="MVZ45" s="137"/>
      <c r="MWA45" s="137"/>
      <c r="MWB45" s="137"/>
      <c r="MWC45" s="137"/>
      <c r="MWD45" s="137"/>
      <c r="MWE45" s="137"/>
      <c r="MWF45" s="137"/>
      <c r="MWG45" s="137"/>
      <c r="MWH45" s="137"/>
      <c r="MWI45" s="137"/>
      <c r="MWJ45" s="137"/>
      <c r="MWK45" s="137"/>
      <c r="MWL45" s="137"/>
      <c r="MWM45" s="137"/>
      <c r="MWN45" s="137"/>
      <c r="MWO45" s="137"/>
      <c r="MWP45" s="137"/>
      <c r="MWQ45" s="137"/>
      <c r="MWR45" s="137"/>
      <c r="MWS45" s="137"/>
      <c r="MWT45" s="137"/>
      <c r="MWU45" s="137"/>
      <c r="MWV45" s="137"/>
      <c r="MWW45" s="137"/>
      <c r="MWX45" s="137"/>
      <c r="MWY45" s="137"/>
      <c r="MWZ45" s="137"/>
      <c r="MXA45" s="137"/>
      <c r="MXB45" s="137"/>
      <c r="MXC45" s="137"/>
      <c r="MXD45" s="137"/>
      <c r="MXE45" s="137"/>
      <c r="MXF45" s="137"/>
      <c r="MXG45" s="137"/>
      <c r="MXH45" s="137"/>
      <c r="MXI45" s="137"/>
      <c r="MXJ45" s="137"/>
      <c r="MXK45" s="137"/>
      <c r="MXL45" s="137"/>
      <c r="MXM45" s="137"/>
      <c r="MXN45" s="137"/>
      <c r="MXO45" s="137"/>
      <c r="MXP45" s="137"/>
      <c r="MXQ45" s="137"/>
      <c r="MXR45" s="137"/>
      <c r="MXS45" s="137"/>
      <c r="MXT45" s="137"/>
      <c r="MXU45" s="137"/>
      <c r="MXV45" s="137"/>
      <c r="MXW45" s="137"/>
      <c r="MXX45" s="137"/>
      <c r="MXY45" s="137"/>
      <c r="MXZ45" s="137"/>
      <c r="MYA45" s="137"/>
      <c r="MYB45" s="137"/>
      <c r="MYC45" s="137"/>
      <c r="MYD45" s="137"/>
      <c r="MYE45" s="137"/>
      <c r="MYF45" s="137"/>
      <c r="MYG45" s="137"/>
      <c r="MYH45" s="137"/>
      <c r="MYI45" s="137"/>
      <c r="MYJ45" s="137"/>
      <c r="MYK45" s="137"/>
      <c r="MYL45" s="137"/>
      <c r="MYM45" s="137"/>
      <c r="MYN45" s="137"/>
      <c r="MYO45" s="137"/>
      <c r="MYP45" s="137"/>
      <c r="MYQ45" s="137"/>
      <c r="MYR45" s="137"/>
      <c r="MYS45" s="137"/>
      <c r="MYT45" s="137"/>
      <c r="MYU45" s="137"/>
      <c r="MYV45" s="137"/>
      <c r="MYW45" s="137"/>
      <c r="MYX45" s="137"/>
      <c r="MYY45" s="137"/>
      <c r="MYZ45" s="137"/>
      <c r="MZA45" s="137"/>
      <c r="MZB45" s="137"/>
      <c r="MZC45" s="137"/>
      <c r="MZD45" s="137"/>
      <c r="MZE45" s="137"/>
      <c r="MZF45" s="137"/>
      <c r="MZG45" s="137"/>
      <c r="MZH45" s="137"/>
      <c r="MZI45" s="137"/>
      <c r="MZJ45" s="137"/>
      <c r="MZK45" s="137"/>
      <c r="MZL45" s="137"/>
      <c r="MZM45" s="137"/>
      <c r="MZN45" s="137"/>
      <c r="MZO45" s="137"/>
      <c r="MZP45" s="137"/>
      <c r="MZQ45" s="137"/>
      <c r="MZR45" s="137"/>
      <c r="MZS45" s="137"/>
      <c r="MZT45" s="137"/>
      <c r="MZU45" s="137"/>
      <c r="MZV45" s="137"/>
      <c r="MZW45" s="137"/>
      <c r="MZX45" s="137"/>
      <c r="MZY45" s="137"/>
      <c r="MZZ45" s="137"/>
      <c r="NAA45" s="137"/>
      <c r="NAB45" s="137"/>
      <c r="NAC45" s="137"/>
      <c r="NAD45" s="137"/>
      <c r="NAE45" s="137"/>
      <c r="NAF45" s="137"/>
      <c r="NAG45" s="137"/>
      <c r="NAH45" s="137"/>
      <c r="NAI45" s="137"/>
      <c r="NAJ45" s="137"/>
      <c r="NAK45" s="137"/>
      <c r="NAL45" s="137"/>
      <c r="NAM45" s="137"/>
      <c r="NAN45" s="137"/>
      <c r="NAO45" s="137"/>
      <c r="NAP45" s="137"/>
      <c r="NAQ45" s="137"/>
      <c r="NAR45" s="137"/>
      <c r="NAS45" s="137"/>
      <c r="NAT45" s="137"/>
      <c r="NAU45" s="137"/>
      <c r="NAV45" s="137"/>
      <c r="NAW45" s="137"/>
      <c r="NAX45" s="137"/>
      <c r="NAY45" s="137"/>
      <c r="NAZ45" s="137"/>
      <c r="NBA45" s="137"/>
      <c r="NBB45" s="137"/>
      <c r="NBC45" s="137"/>
      <c r="NBD45" s="137"/>
      <c r="NBE45" s="137"/>
      <c r="NBF45" s="137"/>
      <c r="NBG45" s="137"/>
      <c r="NBH45" s="137"/>
      <c r="NBI45" s="137"/>
      <c r="NBJ45" s="137"/>
      <c r="NBK45" s="137"/>
      <c r="NBL45" s="137"/>
      <c r="NBM45" s="137"/>
      <c r="NBN45" s="137"/>
      <c r="NBO45" s="137"/>
      <c r="NBP45" s="137"/>
      <c r="NBQ45" s="137"/>
      <c r="NBR45" s="137"/>
      <c r="NBS45" s="137"/>
      <c r="NBT45" s="137"/>
      <c r="NBU45" s="137"/>
      <c r="NBV45" s="137"/>
      <c r="NBW45" s="137"/>
      <c r="NBX45" s="137"/>
      <c r="NBY45" s="137"/>
      <c r="NBZ45" s="137"/>
      <c r="NCA45" s="137"/>
      <c r="NCB45" s="137"/>
      <c r="NCC45" s="137"/>
      <c r="NCD45" s="137"/>
      <c r="NCE45" s="137"/>
      <c r="NCF45" s="137"/>
      <c r="NCG45" s="137"/>
      <c r="NCH45" s="137"/>
      <c r="NCI45" s="137"/>
      <c r="NCJ45" s="137"/>
      <c r="NCK45" s="137"/>
      <c r="NCL45" s="137"/>
      <c r="NCM45" s="137"/>
      <c r="NCN45" s="137"/>
      <c r="NCO45" s="137"/>
      <c r="NCP45" s="137"/>
      <c r="NCQ45" s="137"/>
      <c r="NCR45" s="137"/>
      <c r="NCS45" s="137"/>
      <c r="NCT45" s="137"/>
      <c r="NCU45" s="137"/>
      <c r="NCV45" s="137"/>
      <c r="NCW45" s="137"/>
      <c r="NCX45" s="137"/>
      <c r="NCY45" s="137"/>
      <c r="NCZ45" s="137"/>
      <c r="NDA45" s="137"/>
      <c r="NDB45" s="137"/>
      <c r="NDC45" s="137"/>
      <c r="NDD45" s="137"/>
      <c r="NDE45" s="137"/>
      <c r="NDF45" s="137"/>
      <c r="NDG45" s="137"/>
      <c r="NDH45" s="137"/>
      <c r="NDI45" s="137"/>
      <c r="NDJ45" s="137"/>
      <c r="NDK45" s="137"/>
      <c r="NDL45" s="137"/>
      <c r="NDM45" s="137"/>
      <c r="NDN45" s="137"/>
      <c r="NDO45" s="137"/>
      <c r="NDP45" s="137"/>
      <c r="NDQ45" s="137"/>
      <c r="NDR45" s="137"/>
      <c r="NDS45" s="137"/>
      <c r="NDT45" s="137"/>
      <c r="NDU45" s="137"/>
      <c r="NDV45" s="137"/>
      <c r="NDW45" s="137"/>
      <c r="NDX45" s="137"/>
      <c r="NDY45" s="137"/>
      <c r="NDZ45" s="137"/>
      <c r="NEA45" s="137"/>
      <c r="NEB45" s="137"/>
      <c r="NEC45" s="137"/>
      <c r="NED45" s="137"/>
      <c r="NEE45" s="137"/>
      <c r="NEF45" s="137"/>
      <c r="NEG45" s="137"/>
      <c r="NEH45" s="137"/>
      <c r="NEI45" s="137"/>
      <c r="NEJ45" s="137"/>
      <c r="NEK45" s="137"/>
      <c r="NEL45" s="137"/>
      <c r="NEM45" s="137"/>
      <c r="NEN45" s="137"/>
      <c r="NEO45" s="137"/>
      <c r="NEP45" s="137"/>
      <c r="NEQ45" s="137"/>
      <c r="NER45" s="137"/>
      <c r="NES45" s="137"/>
      <c r="NET45" s="137"/>
      <c r="NEU45" s="137"/>
      <c r="NEV45" s="137"/>
      <c r="NEW45" s="137"/>
      <c r="NEX45" s="137"/>
      <c r="NEY45" s="137"/>
      <c r="NEZ45" s="137"/>
      <c r="NFA45" s="137"/>
      <c r="NFB45" s="137"/>
      <c r="NFC45" s="137"/>
      <c r="NFD45" s="137"/>
      <c r="NFE45" s="137"/>
      <c r="NFF45" s="137"/>
      <c r="NFG45" s="137"/>
      <c r="NFH45" s="137"/>
      <c r="NFI45" s="137"/>
      <c r="NFJ45" s="137"/>
      <c r="NFK45" s="137"/>
      <c r="NFL45" s="137"/>
      <c r="NFM45" s="137"/>
      <c r="NFN45" s="137"/>
      <c r="NFO45" s="137"/>
      <c r="NFP45" s="137"/>
      <c r="NFQ45" s="137"/>
      <c r="NFR45" s="137"/>
      <c r="NFS45" s="137"/>
      <c r="NFT45" s="137"/>
      <c r="NFU45" s="137"/>
      <c r="NFV45" s="137"/>
      <c r="NFW45" s="137"/>
      <c r="NFX45" s="137"/>
      <c r="NFY45" s="137"/>
      <c r="NFZ45" s="137"/>
      <c r="NGA45" s="137"/>
      <c r="NGB45" s="137"/>
      <c r="NGC45" s="137"/>
      <c r="NGD45" s="137"/>
      <c r="NGE45" s="137"/>
      <c r="NGF45" s="137"/>
      <c r="NGG45" s="137"/>
      <c r="NGH45" s="137"/>
      <c r="NGI45" s="137"/>
      <c r="NGJ45" s="137"/>
      <c r="NGK45" s="137"/>
      <c r="NGL45" s="137"/>
      <c r="NGM45" s="137"/>
      <c r="NGN45" s="137"/>
      <c r="NGO45" s="137"/>
      <c r="NGP45" s="137"/>
      <c r="NGQ45" s="137"/>
      <c r="NGR45" s="137"/>
      <c r="NGS45" s="137"/>
      <c r="NGT45" s="137"/>
      <c r="NGU45" s="137"/>
      <c r="NGV45" s="137"/>
      <c r="NGW45" s="137"/>
      <c r="NGX45" s="137"/>
      <c r="NGY45" s="137"/>
      <c r="NGZ45" s="137"/>
      <c r="NHA45" s="137"/>
      <c r="NHB45" s="137"/>
      <c r="NHC45" s="137"/>
      <c r="NHD45" s="137"/>
      <c r="NHE45" s="137"/>
      <c r="NHF45" s="137"/>
      <c r="NHG45" s="137"/>
      <c r="NHH45" s="137"/>
      <c r="NHI45" s="137"/>
      <c r="NHJ45" s="137"/>
      <c r="NHK45" s="137"/>
      <c r="NHL45" s="137"/>
      <c r="NHM45" s="137"/>
      <c r="NHN45" s="137"/>
      <c r="NHO45" s="137"/>
      <c r="NHP45" s="137"/>
      <c r="NHQ45" s="137"/>
      <c r="NHR45" s="137"/>
      <c r="NHS45" s="137"/>
      <c r="NHT45" s="137"/>
      <c r="NHU45" s="137"/>
      <c r="NHV45" s="137"/>
      <c r="NHW45" s="137"/>
      <c r="NHX45" s="137"/>
      <c r="NHY45" s="137"/>
      <c r="NHZ45" s="137"/>
      <c r="NIA45" s="137"/>
      <c r="NIB45" s="137"/>
      <c r="NIC45" s="137"/>
      <c r="NID45" s="137"/>
      <c r="NIE45" s="137"/>
      <c r="NIF45" s="137"/>
      <c r="NIG45" s="137"/>
      <c r="NIH45" s="137"/>
      <c r="NII45" s="137"/>
      <c r="NIJ45" s="137"/>
      <c r="NIK45" s="137"/>
      <c r="NIL45" s="137"/>
      <c r="NIM45" s="137"/>
      <c r="NIN45" s="137"/>
      <c r="NIO45" s="137"/>
      <c r="NIP45" s="137"/>
      <c r="NIQ45" s="137"/>
      <c r="NIR45" s="137"/>
      <c r="NIS45" s="137"/>
      <c r="NIT45" s="137"/>
      <c r="NIU45" s="137"/>
      <c r="NIV45" s="137"/>
      <c r="NIW45" s="137"/>
      <c r="NIX45" s="137"/>
      <c r="NIY45" s="137"/>
      <c r="NIZ45" s="137"/>
      <c r="NJA45" s="137"/>
      <c r="NJB45" s="137"/>
      <c r="NJC45" s="137"/>
      <c r="NJD45" s="137"/>
      <c r="NJE45" s="137"/>
      <c r="NJF45" s="137"/>
      <c r="NJG45" s="137"/>
      <c r="NJH45" s="137"/>
      <c r="NJI45" s="137"/>
      <c r="NJJ45" s="137"/>
      <c r="NJK45" s="137"/>
      <c r="NJL45" s="137"/>
      <c r="NJM45" s="137"/>
      <c r="NJN45" s="137"/>
      <c r="NJO45" s="137"/>
      <c r="NJP45" s="137"/>
      <c r="NJQ45" s="137"/>
      <c r="NJR45" s="137"/>
      <c r="NJS45" s="137"/>
      <c r="NJT45" s="137"/>
      <c r="NJU45" s="137"/>
      <c r="NJV45" s="137"/>
      <c r="NJW45" s="137"/>
      <c r="NJX45" s="137"/>
      <c r="NJY45" s="137"/>
      <c r="NJZ45" s="137"/>
      <c r="NKA45" s="137"/>
      <c r="NKB45" s="137"/>
      <c r="NKC45" s="137"/>
      <c r="NKD45" s="137"/>
      <c r="NKE45" s="137"/>
      <c r="NKF45" s="137"/>
      <c r="NKG45" s="137"/>
      <c r="NKH45" s="137"/>
      <c r="NKI45" s="137"/>
      <c r="NKJ45" s="137"/>
      <c r="NKK45" s="137"/>
      <c r="NKL45" s="137"/>
      <c r="NKM45" s="137"/>
      <c r="NKN45" s="137"/>
      <c r="NKO45" s="137"/>
      <c r="NKP45" s="137"/>
      <c r="NKQ45" s="137"/>
      <c r="NKR45" s="137"/>
      <c r="NKS45" s="137"/>
      <c r="NKT45" s="137"/>
      <c r="NKU45" s="137"/>
      <c r="NKV45" s="137"/>
      <c r="NKW45" s="137"/>
      <c r="NKX45" s="137"/>
      <c r="NKY45" s="137"/>
      <c r="NKZ45" s="137"/>
      <c r="NLA45" s="137"/>
      <c r="NLB45" s="137"/>
      <c r="NLC45" s="137"/>
      <c r="NLD45" s="137"/>
      <c r="NLE45" s="137"/>
      <c r="NLF45" s="137"/>
      <c r="NLG45" s="137"/>
      <c r="NLH45" s="137"/>
      <c r="NLI45" s="137"/>
      <c r="NLJ45" s="137"/>
      <c r="NLK45" s="137"/>
      <c r="NLL45" s="137"/>
      <c r="NLM45" s="137"/>
      <c r="NLN45" s="137"/>
      <c r="NLO45" s="137"/>
      <c r="NLP45" s="137"/>
      <c r="NLQ45" s="137"/>
      <c r="NLR45" s="137"/>
      <c r="NLS45" s="137"/>
      <c r="NLT45" s="137"/>
      <c r="NLU45" s="137"/>
      <c r="NLV45" s="137"/>
      <c r="NLW45" s="137"/>
      <c r="NLX45" s="137"/>
      <c r="NLY45" s="137"/>
      <c r="NLZ45" s="137"/>
      <c r="NMA45" s="137"/>
      <c r="NMB45" s="137"/>
      <c r="NMC45" s="137"/>
      <c r="NMD45" s="137"/>
      <c r="NME45" s="137"/>
      <c r="NMF45" s="137"/>
      <c r="NMG45" s="137"/>
      <c r="NMH45" s="137"/>
      <c r="NMI45" s="137"/>
      <c r="NMJ45" s="137"/>
      <c r="NMK45" s="137"/>
      <c r="NML45" s="137"/>
      <c r="NMM45" s="137"/>
      <c r="NMN45" s="137"/>
      <c r="NMO45" s="137"/>
      <c r="NMP45" s="137"/>
      <c r="NMQ45" s="137"/>
      <c r="NMR45" s="137"/>
      <c r="NMS45" s="137"/>
      <c r="NMT45" s="137"/>
      <c r="NMU45" s="137"/>
      <c r="NMV45" s="137"/>
      <c r="NMW45" s="137"/>
      <c r="NMX45" s="137"/>
      <c r="NMY45" s="137"/>
      <c r="NMZ45" s="137"/>
      <c r="NNA45" s="137"/>
      <c r="NNB45" s="137"/>
      <c r="NNC45" s="137"/>
      <c r="NND45" s="137"/>
      <c r="NNE45" s="137"/>
      <c r="NNF45" s="137"/>
      <c r="NNG45" s="137"/>
      <c r="NNH45" s="137"/>
      <c r="NNI45" s="137"/>
      <c r="NNJ45" s="137"/>
      <c r="NNK45" s="137"/>
      <c r="NNL45" s="137"/>
      <c r="NNM45" s="137"/>
      <c r="NNN45" s="137"/>
      <c r="NNO45" s="137"/>
      <c r="NNP45" s="137"/>
      <c r="NNQ45" s="137"/>
      <c r="NNR45" s="137"/>
      <c r="NNS45" s="137"/>
      <c r="NNT45" s="137"/>
      <c r="NNU45" s="137"/>
      <c r="NNV45" s="137"/>
      <c r="NNW45" s="137"/>
      <c r="NNX45" s="137"/>
      <c r="NNY45" s="137"/>
      <c r="NNZ45" s="137"/>
      <c r="NOA45" s="137"/>
      <c r="NOB45" s="137"/>
      <c r="NOC45" s="137"/>
      <c r="NOD45" s="137"/>
      <c r="NOE45" s="137"/>
      <c r="NOF45" s="137"/>
      <c r="NOG45" s="137"/>
      <c r="NOH45" s="137"/>
      <c r="NOI45" s="137"/>
      <c r="NOJ45" s="137"/>
      <c r="NOK45" s="137"/>
      <c r="NOL45" s="137"/>
      <c r="NOM45" s="137"/>
      <c r="NON45" s="137"/>
      <c r="NOO45" s="137"/>
      <c r="NOP45" s="137"/>
      <c r="NOQ45" s="137"/>
      <c r="NOR45" s="137"/>
      <c r="NOS45" s="137"/>
      <c r="NOT45" s="137"/>
      <c r="NOU45" s="137"/>
      <c r="NOV45" s="137"/>
      <c r="NOW45" s="137"/>
      <c r="NOX45" s="137"/>
      <c r="NOY45" s="137"/>
      <c r="NOZ45" s="137"/>
      <c r="NPA45" s="137"/>
      <c r="NPB45" s="137"/>
      <c r="NPC45" s="137"/>
      <c r="NPD45" s="137"/>
      <c r="NPE45" s="137"/>
      <c r="NPF45" s="137"/>
      <c r="NPG45" s="137"/>
      <c r="NPH45" s="137"/>
      <c r="NPI45" s="137"/>
      <c r="NPJ45" s="137"/>
      <c r="NPK45" s="137"/>
      <c r="NPL45" s="137"/>
      <c r="NPM45" s="137"/>
      <c r="NPN45" s="137"/>
      <c r="NPO45" s="137"/>
      <c r="NPP45" s="137"/>
      <c r="NPQ45" s="137"/>
      <c r="NPR45" s="137"/>
      <c r="NPS45" s="137"/>
      <c r="NPT45" s="137"/>
      <c r="NPU45" s="137"/>
      <c r="NPV45" s="137"/>
      <c r="NPW45" s="137"/>
      <c r="NPX45" s="137"/>
      <c r="NPY45" s="137"/>
      <c r="NPZ45" s="137"/>
      <c r="NQA45" s="137"/>
      <c r="NQB45" s="137"/>
      <c r="NQC45" s="137"/>
      <c r="NQD45" s="137"/>
      <c r="NQE45" s="137"/>
      <c r="NQF45" s="137"/>
      <c r="NQG45" s="137"/>
      <c r="NQH45" s="137"/>
      <c r="NQI45" s="137"/>
      <c r="NQJ45" s="137"/>
      <c r="NQK45" s="137"/>
      <c r="NQL45" s="137"/>
      <c r="NQM45" s="137"/>
      <c r="NQN45" s="137"/>
      <c r="NQO45" s="137"/>
      <c r="NQP45" s="137"/>
      <c r="NQQ45" s="137"/>
      <c r="NQR45" s="137"/>
      <c r="NQS45" s="137"/>
      <c r="NQT45" s="137"/>
      <c r="NQU45" s="137"/>
      <c r="NQV45" s="137"/>
      <c r="NQW45" s="137"/>
      <c r="NQX45" s="137"/>
      <c r="NQY45" s="137"/>
      <c r="NQZ45" s="137"/>
      <c r="NRA45" s="137"/>
      <c r="NRB45" s="137"/>
      <c r="NRC45" s="137"/>
      <c r="NRD45" s="137"/>
      <c r="NRE45" s="137"/>
      <c r="NRF45" s="137"/>
      <c r="NRG45" s="137"/>
      <c r="NRH45" s="137"/>
      <c r="NRI45" s="137"/>
      <c r="NRJ45" s="137"/>
      <c r="NRK45" s="137"/>
      <c r="NRL45" s="137"/>
      <c r="NRM45" s="137"/>
      <c r="NRN45" s="137"/>
      <c r="NRO45" s="137"/>
      <c r="NRP45" s="137"/>
      <c r="NRQ45" s="137"/>
      <c r="NRR45" s="137"/>
      <c r="NRS45" s="137"/>
      <c r="NRT45" s="137"/>
      <c r="NRU45" s="137"/>
      <c r="NRV45" s="137"/>
      <c r="NRW45" s="137"/>
      <c r="NRX45" s="137"/>
      <c r="NRY45" s="137"/>
      <c r="NRZ45" s="137"/>
      <c r="NSA45" s="137"/>
      <c r="NSB45" s="137"/>
      <c r="NSC45" s="137"/>
      <c r="NSD45" s="137"/>
      <c r="NSE45" s="137"/>
      <c r="NSF45" s="137"/>
      <c r="NSG45" s="137"/>
      <c r="NSH45" s="137"/>
      <c r="NSI45" s="137"/>
      <c r="NSJ45" s="137"/>
      <c r="NSK45" s="137"/>
      <c r="NSL45" s="137"/>
      <c r="NSM45" s="137"/>
      <c r="NSN45" s="137"/>
      <c r="NSO45" s="137"/>
      <c r="NSP45" s="137"/>
      <c r="NSQ45" s="137"/>
      <c r="NSR45" s="137"/>
      <c r="NSS45" s="137"/>
      <c r="NST45" s="137"/>
      <c r="NSU45" s="137"/>
      <c r="NSV45" s="137"/>
      <c r="NSW45" s="137"/>
      <c r="NSX45" s="137"/>
      <c r="NSY45" s="137"/>
      <c r="NSZ45" s="137"/>
      <c r="NTA45" s="137"/>
      <c r="NTB45" s="137"/>
      <c r="NTC45" s="137"/>
      <c r="NTD45" s="137"/>
      <c r="NTE45" s="137"/>
      <c r="NTF45" s="137"/>
      <c r="NTG45" s="137"/>
      <c r="NTH45" s="137"/>
      <c r="NTI45" s="137"/>
      <c r="NTJ45" s="137"/>
      <c r="NTK45" s="137"/>
      <c r="NTL45" s="137"/>
      <c r="NTM45" s="137"/>
      <c r="NTN45" s="137"/>
      <c r="NTO45" s="137"/>
      <c r="NTP45" s="137"/>
      <c r="NTQ45" s="137"/>
      <c r="NTR45" s="137"/>
      <c r="NTS45" s="137"/>
      <c r="NTT45" s="137"/>
      <c r="NTU45" s="137"/>
      <c r="NTV45" s="137"/>
      <c r="NTW45" s="137"/>
      <c r="NTX45" s="137"/>
      <c r="NTY45" s="137"/>
      <c r="NTZ45" s="137"/>
      <c r="NUA45" s="137"/>
      <c r="NUB45" s="137"/>
      <c r="NUC45" s="137"/>
      <c r="NUD45" s="137"/>
      <c r="NUE45" s="137"/>
      <c r="NUF45" s="137"/>
      <c r="NUG45" s="137"/>
      <c r="NUH45" s="137"/>
      <c r="NUI45" s="137"/>
      <c r="NUJ45" s="137"/>
      <c r="NUK45" s="137"/>
      <c r="NUL45" s="137"/>
      <c r="NUM45" s="137"/>
      <c r="NUN45" s="137"/>
      <c r="NUO45" s="137"/>
      <c r="NUP45" s="137"/>
      <c r="NUQ45" s="137"/>
      <c r="NUR45" s="137"/>
      <c r="NUS45" s="137"/>
      <c r="NUT45" s="137"/>
      <c r="NUU45" s="137"/>
      <c r="NUV45" s="137"/>
      <c r="NUW45" s="137"/>
      <c r="NUX45" s="137"/>
      <c r="NUY45" s="137"/>
      <c r="NUZ45" s="137"/>
      <c r="NVA45" s="137"/>
      <c r="NVB45" s="137"/>
      <c r="NVC45" s="137"/>
      <c r="NVD45" s="137"/>
      <c r="NVE45" s="137"/>
      <c r="NVF45" s="137"/>
      <c r="NVG45" s="137"/>
      <c r="NVH45" s="137"/>
      <c r="NVI45" s="137"/>
      <c r="NVJ45" s="137"/>
      <c r="NVK45" s="137"/>
      <c r="NVL45" s="137"/>
      <c r="NVM45" s="137"/>
      <c r="NVN45" s="137"/>
      <c r="NVO45" s="137"/>
      <c r="NVP45" s="137"/>
      <c r="NVQ45" s="137"/>
      <c r="NVR45" s="137"/>
      <c r="NVS45" s="137"/>
      <c r="NVT45" s="137"/>
      <c r="NVU45" s="137"/>
      <c r="NVV45" s="137"/>
      <c r="NVW45" s="137"/>
      <c r="NVX45" s="137"/>
      <c r="NVY45" s="137"/>
      <c r="NVZ45" s="137"/>
      <c r="NWA45" s="137"/>
      <c r="NWB45" s="137"/>
      <c r="NWC45" s="137"/>
      <c r="NWD45" s="137"/>
      <c r="NWE45" s="137"/>
      <c r="NWF45" s="137"/>
      <c r="NWG45" s="137"/>
      <c r="NWH45" s="137"/>
      <c r="NWI45" s="137"/>
      <c r="NWJ45" s="137"/>
      <c r="NWK45" s="137"/>
      <c r="NWL45" s="137"/>
      <c r="NWM45" s="137"/>
      <c r="NWN45" s="137"/>
      <c r="NWO45" s="137"/>
      <c r="NWP45" s="137"/>
      <c r="NWQ45" s="137"/>
      <c r="NWR45" s="137"/>
      <c r="NWS45" s="137"/>
      <c r="NWT45" s="137"/>
      <c r="NWU45" s="137"/>
      <c r="NWV45" s="137"/>
      <c r="NWW45" s="137"/>
      <c r="NWX45" s="137"/>
      <c r="NWY45" s="137"/>
      <c r="NWZ45" s="137"/>
      <c r="NXA45" s="137"/>
      <c r="NXB45" s="137"/>
      <c r="NXC45" s="137"/>
      <c r="NXD45" s="137"/>
      <c r="NXE45" s="137"/>
      <c r="NXF45" s="137"/>
      <c r="NXG45" s="137"/>
      <c r="NXH45" s="137"/>
      <c r="NXI45" s="137"/>
      <c r="NXJ45" s="137"/>
      <c r="NXK45" s="137"/>
      <c r="NXL45" s="137"/>
      <c r="NXM45" s="137"/>
      <c r="NXN45" s="137"/>
      <c r="NXO45" s="137"/>
      <c r="NXP45" s="137"/>
      <c r="NXQ45" s="137"/>
      <c r="NXR45" s="137"/>
      <c r="NXS45" s="137"/>
      <c r="NXT45" s="137"/>
      <c r="NXU45" s="137"/>
      <c r="NXV45" s="137"/>
      <c r="NXW45" s="137"/>
      <c r="NXX45" s="137"/>
      <c r="NXY45" s="137"/>
      <c r="NXZ45" s="137"/>
      <c r="NYA45" s="137"/>
      <c r="NYB45" s="137"/>
      <c r="NYC45" s="137"/>
      <c r="NYD45" s="137"/>
      <c r="NYE45" s="137"/>
      <c r="NYF45" s="137"/>
      <c r="NYG45" s="137"/>
      <c r="NYH45" s="137"/>
      <c r="NYI45" s="137"/>
      <c r="NYJ45" s="137"/>
      <c r="NYK45" s="137"/>
      <c r="NYL45" s="137"/>
      <c r="NYM45" s="137"/>
      <c r="NYN45" s="137"/>
      <c r="NYO45" s="137"/>
      <c r="NYP45" s="137"/>
      <c r="NYQ45" s="137"/>
      <c r="NYR45" s="137"/>
      <c r="NYS45" s="137"/>
      <c r="NYT45" s="137"/>
      <c r="NYU45" s="137"/>
      <c r="NYV45" s="137"/>
      <c r="NYW45" s="137"/>
      <c r="NYX45" s="137"/>
      <c r="NYY45" s="137"/>
      <c r="NYZ45" s="137"/>
      <c r="NZA45" s="137"/>
      <c r="NZB45" s="137"/>
      <c r="NZC45" s="137"/>
      <c r="NZD45" s="137"/>
      <c r="NZE45" s="137"/>
      <c r="NZF45" s="137"/>
      <c r="NZG45" s="137"/>
      <c r="NZH45" s="137"/>
      <c r="NZI45" s="137"/>
      <c r="NZJ45" s="137"/>
      <c r="NZK45" s="137"/>
      <c r="NZL45" s="137"/>
      <c r="NZM45" s="137"/>
      <c r="NZN45" s="137"/>
      <c r="NZO45" s="137"/>
      <c r="NZP45" s="137"/>
      <c r="NZQ45" s="137"/>
      <c r="NZR45" s="137"/>
      <c r="NZS45" s="137"/>
      <c r="NZT45" s="137"/>
      <c r="NZU45" s="137"/>
      <c r="NZV45" s="137"/>
      <c r="NZW45" s="137"/>
      <c r="NZX45" s="137"/>
      <c r="NZY45" s="137"/>
      <c r="NZZ45" s="137"/>
      <c r="OAA45" s="137"/>
      <c r="OAB45" s="137"/>
      <c r="OAC45" s="137"/>
      <c r="OAD45" s="137"/>
      <c r="OAE45" s="137"/>
      <c r="OAF45" s="137"/>
      <c r="OAG45" s="137"/>
      <c r="OAH45" s="137"/>
      <c r="OAI45" s="137"/>
      <c r="OAJ45" s="137"/>
      <c r="OAK45" s="137"/>
      <c r="OAL45" s="137"/>
      <c r="OAM45" s="137"/>
      <c r="OAN45" s="137"/>
      <c r="OAO45" s="137"/>
      <c r="OAP45" s="137"/>
      <c r="OAQ45" s="137"/>
      <c r="OAR45" s="137"/>
      <c r="OAS45" s="137"/>
      <c r="OAT45" s="137"/>
      <c r="OAU45" s="137"/>
      <c r="OAV45" s="137"/>
      <c r="OAW45" s="137"/>
      <c r="OAX45" s="137"/>
      <c r="OAY45" s="137"/>
      <c r="OAZ45" s="137"/>
      <c r="OBA45" s="137"/>
      <c r="OBB45" s="137"/>
      <c r="OBC45" s="137"/>
      <c r="OBD45" s="137"/>
      <c r="OBE45" s="137"/>
      <c r="OBF45" s="137"/>
      <c r="OBG45" s="137"/>
      <c r="OBH45" s="137"/>
      <c r="OBI45" s="137"/>
      <c r="OBJ45" s="137"/>
      <c r="OBK45" s="137"/>
      <c r="OBL45" s="137"/>
      <c r="OBM45" s="137"/>
      <c r="OBN45" s="137"/>
      <c r="OBO45" s="137"/>
      <c r="OBP45" s="137"/>
      <c r="OBQ45" s="137"/>
      <c r="OBR45" s="137"/>
      <c r="OBS45" s="137"/>
      <c r="OBT45" s="137"/>
      <c r="OBU45" s="137"/>
      <c r="OBV45" s="137"/>
      <c r="OBW45" s="137"/>
      <c r="OBX45" s="137"/>
      <c r="OBY45" s="137"/>
      <c r="OBZ45" s="137"/>
      <c r="OCA45" s="137"/>
      <c r="OCB45" s="137"/>
      <c r="OCC45" s="137"/>
      <c r="OCD45" s="137"/>
      <c r="OCE45" s="137"/>
      <c r="OCF45" s="137"/>
      <c r="OCG45" s="137"/>
      <c r="OCH45" s="137"/>
      <c r="OCI45" s="137"/>
      <c r="OCJ45" s="137"/>
      <c r="OCK45" s="137"/>
      <c r="OCL45" s="137"/>
      <c r="OCM45" s="137"/>
      <c r="OCN45" s="137"/>
      <c r="OCO45" s="137"/>
      <c r="OCP45" s="137"/>
      <c r="OCQ45" s="137"/>
      <c r="OCR45" s="137"/>
      <c r="OCS45" s="137"/>
      <c r="OCT45" s="137"/>
      <c r="OCU45" s="137"/>
      <c r="OCV45" s="137"/>
      <c r="OCW45" s="137"/>
      <c r="OCX45" s="137"/>
      <c r="OCY45" s="137"/>
      <c r="OCZ45" s="137"/>
      <c r="ODA45" s="137"/>
      <c r="ODB45" s="137"/>
      <c r="ODC45" s="137"/>
      <c r="ODD45" s="137"/>
      <c r="ODE45" s="137"/>
      <c r="ODF45" s="137"/>
      <c r="ODG45" s="137"/>
      <c r="ODH45" s="137"/>
      <c r="ODI45" s="137"/>
      <c r="ODJ45" s="137"/>
      <c r="ODK45" s="137"/>
      <c r="ODL45" s="137"/>
      <c r="ODM45" s="137"/>
      <c r="ODN45" s="137"/>
      <c r="ODO45" s="137"/>
      <c r="ODP45" s="137"/>
      <c r="ODQ45" s="137"/>
      <c r="ODR45" s="137"/>
      <c r="ODS45" s="137"/>
      <c r="ODT45" s="137"/>
      <c r="ODU45" s="137"/>
      <c r="ODV45" s="137"/>
      <c r="ODW45" s="137"/>
      <c r="ODX45" s="137"/>
      <c r="ODY45" s="137"/>
      <c r="ODZ45" s="137"/>
      <c r="OEA45" s="137"/>
      <c r="OEB45" s="137"/>
      <c r="OEC45" s="137"/>
      <c r="OED45" s="137"/>
      <c r="OEE45" s="137"/>
      <c r="OEF45" s="137"/>
      <c r="OEG45" s="137"/>
      <c r="OEH45" s="137"/>
      <c r="OEI45" s="137"/>
      <c r="OEJ45" s="137"/>
      <c r="OEK45" s="137"/>
      <c r="OEL45" s="137"/>
      <c r="OEM45" s="137"/>
      <c r="OEN45" s="137"/>
      <c r="OEO45" s="137"/>
      <c r="OEP45" s="137"/>
      <c r="OEQ45" s="137"/>
      <c r="OER45" s="137"/>
      <c r="OES45" s="137"/>
      <c r="OET45" s="137"/>
      <c r="OEU45" s="137"/>
      <c r="OEV45" s="137"/>
      <c r="OEW45" s="137"/>
      <c r="OEX45" s="137"/>
      <c r="OEY45" s="137"/>
      <c r="OEZ45" s="137"/>
      <c r="OFA45" s="137"/>
      <c r="OFB45" s="137"/>
      <c r="OFC45" s="137"/>
      <c r="OFD45" s="137"/>
      <c r="OFE45" s="137"/>
      <c r="OFF45" s="137"/>
      <c r="OFG45" s="137"/>
      <c r="OFH45" s="137"/>
      <c r="OFI45" s="137"/>
      <c r="OFJ45" s="137"/>
      <c r="OFK45" s="137"/>
      <c r="OFL45" s="137"/>
      <c r="OFM45" s="137"/>
      <c r="OFN45" s="137"/>
      <c r="OFO45" s="137"/>
      <c r="OFP45" s="137"/>
      <c r="OFQ45" s="137"/>
      <c r="OFR45" s="137"/>
      <c r="OFS45" s="137"/>
      <c r="OFT45" s="137"/>
      <c r="OFU45" s="137"/>
      <c r="OFV45" s="137"/>
      <c r="OFW45" s="137"/>
      <c r="OFX45" s="137"/>
      <c r="OFY45" s="137"/>
      <c r="OFZ45" s="137"/>
      <c r="OGA45" s="137"/>
      <c r="OGB45" s="137"/>
      <c r="OGC45" s="137"/>
      <c r="OGD45" s="137"/>
      <c r="OGE45" s="137"/>
      <c r="OGF45" s="137"/>
      <c r="OGG45" s="137"/>
      <c r="OGH45" s="137"/>
      <c r="OGI45" s="137"/>
      <c r="OGJ45" s="137"/>
      <c r="OGK45" s="137"/>
      <c r="OGL45" s="137"/>
      <c r="OGM45" s="137"/>
      <c r="OGN45" s="137"/>
      <c r="OGO45" s="137"/>
      <c r="OGP45" s="137"/>
      <c r="OGQ45" s="137"/>
      <c r="OGR45" s="137"/>
      <c r="OGS45" s="137"/>
      <c r="OGT45" s="137"/>
      <c r="OGU45" s="137"/>
      <c r="OGV45" s="137"/>
      <c r="OGW45" s="137"/>
      <c r="OGX45" s="137"/>
      <c r="OGY45" s="137"/>
      <c r="OGZ45" s="137"/>
      <c r="OHA45" s="137"/>
      <c r="OHB45" s="137"/>
      <c r="OHC45" s="137"/>
      <c r="OHD45" s="137"/>
      <c r="OHE45" s="137"/>
      <c r="OHF45" s="137"/>
      <c r="OHG45" s="137"/>
      <c r="OHH45" s="137"/>
      <c r="OHI45" s="137"/>
      <c r="OHJ45" s="137"/>
      <c r="OHK45" s="137"/>
      <c r="OHL45" s="137"/>
      <c r="OHM45" s="137"/>
      <c r="OHN45" s="137"/>
      <c r="OHO45" s="137"/>
      <c r="OHP45" s="137"/>
      <c r="OHQ45" s="137"/>
      <c r="OHR45" s="137"/>
      <c r="OHS45" s="137"/>
      <c r="OHT45" s="137"/>
      <c r="OHU45" s="137"/>
      <c r="OHV45" s="137"/>
      <c r="OHW45" s="137"/>
      <c r="OHX45" s="137"/>
      <c r="OHY45" s="137"/>
      <c r="OHZ45" s="137"/>
      <c r="OIA45" s="137"/>
      <c r="OIB45" s="137"/>
      <c r="OIC45" s="137"/>
      <c r="OID45" s="137"/>
      <c r="OIE45" s="137"/>
      <c r="OIF45" s="137"/>
      <c r="OIG45" s="137"/>
      <c r="OIH45" s="137"/>
      <c r="OII45" s="137"/>
      <c r="OIJ45" s="137"/>
      <c r="OIK45" s="137"/>
      <c r="OIL45" s="137"/>
      <c r="OIM45" s="137"/>
      <c r="OIN45" s="137"/>
      <c r="OIO45" s="137"/>
      <c r="OIP45" s="137"/>
      <c r="OIQ45" s="137"/>
      <c r="OIR45" s="137"/>
      <c r="OIS45" s="137"/>
      <c r="OIT45" s="137"/>
      <c r="OIU45" s="137"/>
      <c r="OIV45" s="137"/>
      <c r="OIW45" s="137"/>
      <c r="OIX45" s="137"/>
      <c r="OIY45" s="137"/>
      <c r="OIZ45" s="137"/>
      <c r="OJA45" s="137"/>
      <c r="OJB45" s="137"/>
      <c r="OJC45" s="137"/>
      <c r="OJD45" s="137"/>
      <c r="OJE45" s="137"/>
      <c r="OJF45" s="137"/>
      <c r="OJG45" s="137"/>
      <c r="OJH45" s="137"/>
      <c r="OJI45" s="137"/>
      <c r="OJJ45" s="137"/>
      <c r="OJK45" s="137"/>
      <c r="OJL45" s="137"/>
      <c r="OJM45" s="137"/>
      <c r="OJN45" s="137"/>
      <c r="OJO45" s="137"/>
      <c r="OJP45" s="137"/>
      <c r="OJQ45" s="137"/>
      <c r="OJR45" s="137"/>
      <c r="OJS45" s="137"/>
      <c r="OJT45" s="137"/>
      <c r="OJU45" s="137"/>
      <c r="OJV45" s="137"/>
      <c r="OJW45" s="137"/>
      <c r="OJX45" s="137"/>
      <c r="OJY45" s="137"/>
      <c r="OJZ45" s="137"/>
      <c r="OKA45" s="137"/>
      <c r="OKB45" s="137"/>
      <c r="OKC45" s="137"/>
      <c r="OKD45" s="137"/>
      <c r="OKE45" s="137"/>
      <c r="OKF45" s="137"/>
      <c r="OKG45" s="137"/>
      <c r="OKH45" s="137"/>
      <c r="OKI45" s="137"/>
      <c r="OKJ45" s="137"/>
      <c r="OKK45" s="137"/>
      <c r="OKL45" s="137"/>
      <c r="OKM45" s="137"/>
      <c r="OKN45" s="137"/>
      <c r="OKO45" s="137"/>
      <c r="OKP45" s="137"/>
      <c r="OKQ45" s="137"/>
      <c r="OKR45" s="137"/>
      <c r="OKS45" s="137"/>
      <c r="OKT45" s="137"/>
      <c r="OKU45" s="137"/>
      <c r="OKV45" s="137"/>
      <c r="OKW45" s="137"/>
      <c r="OKX45" s="137"/>
      <c r="OKY45" s="137"/>
      <c r="OKZ45" s="137"/>
      <c r="OLA45" s="137"/>
      <c r="OLB45" s="137"/>
      <c r="OLC45" s="137"/>
      <c r="OLD45" s="137"/>
      <c r="OLE45" s="137"/>
      <c r="OLF45" s="137"/>
      <c r="OLG45" s="137"/>
      <c r="OLH45" s="137"/>
      <c r="OLI45" s="137"/>
      <c r="OLJ45" s="137"/>
      <c r="OLK45" s="137"/>
      <c r="OLL45" s="137"/>
      <c r="OLM45" s="137"/>
      <c r="OLN45" s="137"/>
      <c r="OLO45" s="137"/>
      <c r="OLP45" s="137"/>
      <c r="OLQ45" s="137"/>
      <c r="OLR45" s="137"/>
      <c r="OLS45" s="137"/>
      <c r="OLT45" s="137"/>
      <c r="OLU45" s="137"/>
      <c r="OLV45" s="137"/>
      <c r="OLW45" s="137"/>
      <c r="OLX45" s="137"/>
      <c r="OLY45" s="137"/>
      <c r="OLZ45" s="137"/>
      <c r="OMA45" s="137"/>
      <c r="OMB45" s="137"/>
      <c r="OMC45" s="137"/>
      <c r="OMD45" s="137"/>
      <c r="OME45" s="137"/>
      <c r="OMF45" s="137"/>
      <c r="OMG45" s="137"/>
      <c r="OMH45" s="137"/>
      <c r="OMI45" s="137"/>
      <c r="OMJ45" s="137"/>
      <c r="OMK45" s="137"/>
      <c r="OML45" s="137"/>
      <c r="OMM45" s="137"/>
      <c r="OMN45" s="137"/>
      <c r="OMO45" s="137"/>
      <c r="OMP45" s="137"/>
      <c r="OMQ45" s="137"/>
      <c r="OMR45" s="137"/>
      <c r="OMS45" s="137"/>
      <c r="OMT45" s="137"/>
      <c r="OMU45" s="137"/>
      <c r="OMV45" s="137"/>
      <c r="OMW45" s="137"/>
      <c r="OMX45" s="137"/>
      <c r="OMY45" s="137"/>
      <c r="OMZ45" s="137"/>
      <c r="ONA45" s="137"/>
      <c r="ONB45" s="137"/>
      <c r="ONC45" s="137"/>
      <c r="OND45" s="137"/>
      <c r="ONE45" s="137"/>
      <c r="ONF45" s="137"/>
      <c r="ONG45" s="137"/>
      <c r="ONH45" s="137"/>
      <c r="ONI45" s="137"/>
      <c r="ONJ45" s="137"/>
      <c r="ONK45" s="137"/>
      <c r="ONL45" s="137"/>
      <c r="ONM45" s="137"/>
      <c r="ONN45" s="137"/>
      <c r="ONO45" s="137"/>
      <c r="ONP45" s="137"/>
      <c r="ONQ45" s="137"/>
      <c r="ONR45" s="137"/>
      <c r="ONS45" s="137"/>
      <c r="ONT45" s="137"/>
      <c r="ONU45" s="137"/>
      <c r="ONV45" s="137"/>
      <c r="ONW45" s="137"/>
      <c r="ONX45" s="137"/>
      <c r="ONY45" s="137"/>
      <c r="ONZ45" s="137"/>
      <c r="OOA45" s="137"/>
      <c r="OOB45" s="137"/>
      <c r="OOC45" s="137"/>
      <c r="OOD45" s="137"/>
      <c r="OOE45" s="137"/>
      <c r="OOF45" s="137"/>
      <c r="OOG45" s="137"/>
      <c r="OOH45" s="137"/>
      <c r="OOI45" s="137"/>
      <c r="OOJ45" s="137"/>
      <c r="OOK45" s="137"/>
      <c r="OOL45" s="137"/>
      <c r="OOM45" s="137"/>
      <c r="OON45" s="137"/>
      <c r="OOO45" s="137"/>
      <c r="OOP45" s="137"/>
      <c r="OOQ45" s="137"/>
      <c r="OOR45" s="137"/>
      <c r="OOS45" s="137"/>
      <c r="OOT45" s="137"/>
      <c r="OOU45" s="137"/>
      <c r="OOV45" s="137"/>
      <c r="OOW45" s="137"/>
      <c r="OOX45" s="137"/>
      <c r="OOY45" s="137"/>
      <c r="OOZ45" s="137"/>
      <c r="OPA45" s="137"/>
      <c r="OPB45" s="137"/>
      <c r="OPC45" s="137"/>
      <c r="OPD45" s="137"/>
      <c r="OPE45" s="137"/>
      <c r="OPF45" s="137"/>
      <c r="OPG45" s="137"/>
      <c r="OPH45" s="137"/>
      <c r="OPI45" s="137"/>
      <c r="OPJ45" s="137"/>
      <c r="OPK45" s="137"/>
      <c r="OPL45" s="137"/>
      <c r="OPM45" s="137"/>
      <c r="OPN45" s="137"/>
      <c r="OPO45" s="137"/>
      <c r="OPP45" s="137"/>
      <c r="OPQ45" s="137"/>
      <c r="OPR45" s="137"/>
      <c r="OPS45" s="137"/>
      <c r="OPT45" s="137"/>
      <c r="OPU45" s="137"/>
      <c r="OPV45" s="137"/>
      <c r="OPW45" s="137"/>
      <c r="OPX45" s="137"/>
      <c r="OPY45" s="137"/>
      <c r="OPZ45" s="137"/>
      <c r="OQA45" s="137"/>
      <c r="OQB45" s="137"/>
      <c r="OQC45" s="137"/>
      <c r="OQD45" s="137"/>
      <c r="OQE45" s="137"/>
      <c r="OQF45" s="137"/>
      <c r="OQG45" s="137"/>
      <c r="OQH45" s="137"/>
      <c r="OQI45" s="137"/>
      <c r="OQJ45" s="137"/>
      <c r="OQK45" s="137"/>
      <c r="OQL45" s="137"/>
      <c r="OQM45" s="137"/>
      <c r="OQN45" s="137"/>
      <c r="OQO45" s="137"/>
      <c r="OQP45" s="137"/>
      <c r="OQQ45" s="137"/>
      <c r="OQR45" s="137"/>
      <c r="OQS45" s="137"/>
      <c r="OQT45" s="137"/>
      <c r="OQU45" s="137"/>
      <c r="OQV45" s="137"/>
      <c r="OQW45" s="137"/>
      <c r="OQX45" s="137"/>
      <c r="OQY45" s="137"/>
      <c r="OQZ45" s="137"/>
      <c r="ORA45" s="137"/>
      <c r="ORB45" s="137"/>
      <c r="ORC45" s="137"/>
      <c r="ORD45" s="137"/>
      <c r="ORE45" s="137"/>
      <c r="ORF45" s="137"/>
      <c r="ORG45" s="137"/>
      <c r="ORH45" s="137"/>
      <c r="ORI45" s="137"/>
      <c r="ORJ45" s="137"/>
      <c r="ORK45" s="137"/>
      <c r="ORL45" s="137"/>
      <c r="ORM45" s="137"/>
      <c r="ORN45" s="137"/>
      <c r="ORO45" s="137"/>
      <c r="ORP45" s="137"/>
      <c r="ORQ45" s="137"/>
      <c r="ORR45" s="137"/>
      <c r="ORS45" s="137"/>
      <c r="ORT45" s="137"/>
      <c r="ORU45" s="137"/>
      <c r="ORV45" s="137"/>
      <c r="ORW45" s="137"/>
      <c r="ORX45" s="137"/>
      <c r="ORY45" s="137"/>
      <c r="ORZ45" s="137"/>
      <c r="OSA45" s="137"/>
      <c r="OSB45" s="137"/>
      <c r="OSC45" s="137"/>
      <c r="OSD45" s="137"/>
      <c r="OSE45" s="137"/>
      <c r="OSF45" s="137"/>
      <c r="OSG45" s="137"/>
      <c r="OSH45" s="137"/>
      <c r="OSI45" s="137"/>
      <c r="OSJ45" s="137"/>
      <c r="OSK45" s="137"/>
      <c r="OSL45" s="137"/>
      <c r="OSM45" s="137"/>
      <c r="OSN45" s="137"/>
      <c r="OSO45" s="137"/>
      <c r="OSP45" s="137"/>
      <c r="OSQ45" s="137"/>
      <c r="OSR45" s="137"/>
      <c r="OSS45" s="137"/>
      <c r="OST45" s="137"/>
      <c r="OSU45" s="137"/>
      <c r="OSV45" s="137"/>
      <c r="OSW45" s="137"/>
      <c r="OSX45" s="137"/>
      <c r="OSY45" s="137"/>
      <c r="OSZ45" s="137"/>
      <c r="OTA45" s="137"/>
      <c r="OTB45" s="137"/>
      <c r="OTC45" s="137"/>
      <c r="OTD45" s="137"/>
      <c r="OTE45" s="137"/>
      <c r="OTF45" s="137"/>
      <c r="OTG45" s="137"/>
      <c r="OTH45" s="137"/>
      <c r="OTI45" s="137"/>
      <c r="OTJ45" s="137"/>
      <c r="OTK45" s="137"/>
      <c r="OTL45" s="137"/>
      <c r="OTM45" s="137"/>
      <c r="OTN45" s="137"/>
      <c r="OTO45" s="137"/>
      <c r="OTP45" s="137"/>
      <c r="OTQ45" s="137"/>
      <c r="OTR45" s="137"/>
      <c r="OTS45" s="137"/>
      <c r="OTT45" s="137"/>
      <c r="OTU45" s="137"/>
      <c r="OTV45" s="137"/>
      <c r="OTW45" s="137"/>
      <c r="OTX45" s="137"/>
      <c r="OTY45" s="137"/>
      <c r="OTZ45" s="137"/>
      <c r="OUA45" s="137"/>
      <c r="OUB45" s="137"/>
      <c r="OUC45" s="137"/>
      <c r="OUD45" s="137"/>
      <c r="OUE45" s="137"/>
      <c r="OUF45" s="137"/>
      <c r="OUG45" s="137"/>
      <c r="OUH45" s="137"/>
      <c r="OUI45" s="137"/>
      <c r="OUJ45" s="137"/>
      <c r="OUK45" s="137"/>
      <c r="OUL45" s="137"/>
      <c r="OUM45" s="137"/>
      <c r="OUN45" s="137"/>
      <c r="OUO45" s="137"/>
      <c r="OUP45" s="137"/>
      <c r="OUQ45" s="137"/>
      <c r="OUR45" s="137"/>
      <c r="OUS45" s="137"/>
      <c r="OUT45" s="137"/>
      <c r="OUU45" s="137"/>
      <c r="OUV45" s="137"/>
      <c r="OUW45" s="137"/>
      <c r="OUX45" s="137"/>
      <c r="OUY45" s="137"/>
      <c r="OUZ45" s="137"/>
      <c r="OVA45" s="137"/>
      <c r="OVB45" s="137"/>
      <c r="OVC45" s="137"/>
      <c r="OVD45" s="137"/>
      <c r="OVE45" s="137"/>
      <c r="OVF45" s="137"/>
      <c r="OVG45" s="137"/>
      <c r="OVH45" s="137"/>
      <c r="OVI45" s="137"/>
      <c r="OVJ45" s="137"/>
      <c r="OVK45" s="137"/>
      <c r="OVL45" s="137"/>
      <c r="OVM45" s="137"/>
      <c r="OVN45" s="137"/>
      <c r="OVO45" s="137"/>
      <c r="OVP45" s="137"/>
      <c r="OVQ45" s="137"/>
      <c r="OVR45" s="137"/>
      <c r="OVS45" s="137"/>
      <c r="OVT45" s="137"/>
      <c r="OVU45" s="137"/>
      <c r="OVV45" s="137"/>
      <c r="OVW45" s="137"/>
      <c r="OVX45" s="137"/>
      <c r="OVY45" s="137"/>
      <c r="OVZ45" s="137"/>
      <c r="OWA45" s="137"/>
      <c r="OWB45" s="137"/>
      <c r="OWC45" s="137"/>
      <c r="OWD45" s="137"/>
      <c r="OWE45" s="137"/>
      <c r="OWF45" s="137"/>
      <c r="OWG45" s="137"/>
      <c r="OWH45" s="137"/>
      <c r="OWI45" s="137"/>
      <c r="OWJ45" s="137"/>
      <c r="OWK45" s="137"/>
      <c r="OWL45" s="137"/>
      <c r="OWM45" s="137"/>
      <c r="OWN45" s="137"/>
      <c r="OWO45" s="137"/>
      <c r="OWP45" s="137"/>
      <c r="OWQ45" s="137"/>
      <c r="OWR45" s="137"/>
      <c r="OWS45" s="137"/>
      <c r="OWT45" s="137"/>
      <c r="OWU45" s="137"/>
      <c r="OWV45" s="137"/>
      <c r="OWW45" s="137"/>
      <c r="OWX45" s="137"/>
      <c r="OWY45" s="137"/>
      <c r="OWZ45" s="137"/>
      <c r="OXA45" s="137"/>
      <c r="OXB45" s="137"/>
      <c r="OXC45" s="137"/>
      <c r="OXD45" s="137"/>
      <c r="OXE45" s="137"/>
      <c r="OXF45" s="137"/>
      <c r="OXG45" s="137"/>
      <c r="OXH45" s="137"/>
      <c r="OXI45" s="137"/>
      <c r="OXJ45" s="137"/>
      <c r="OXK45" s="137"/>
      <c r="OXL45" s="137"/>
      <c r="OXM45" s="137"/>
      <c r="OXN45" s="137"/>
      <c r="OXO45" s="137"/>
      <c r="OXP45" s="137"/>
      <c r="OXQ45" s="137"/>
      <c r="OXR45" s="137"/>
      <c r="OXS45" s="137"/>
      <c r="OXT45" s="137"/>
      <c r="OXU45" s="137"/>
      <c r="OXV45" s="137"/>
      <c r="OXW45" s="137"/>
      <c r="OXX45" s="137"/>
      <c r="OXY45" s="137"/>
      <c r="OXZ45" s="137"/>
      <c r="OYA45" s="137"/>
      <c r="OYB45" s="137"/>
      <c r="OYC45" s="137"/>
      <c r="OYD45" s="137"/>
      <c r="OYE45" s="137"/>
      <c r="OYF45" s="137"/>
      <c r="OYG45" s="137"/>
      <c r="OYH45" s="137"/>
      <c r="OYI45" s="137"/>
      <c r="OYJ45" s="137"/>
      <c r="OYK45" s="137"/>
      <c r="OYL45" s="137"/>
      <c r="OYM45" s="137"/>
      <c r="OYN45" s="137"/>
      <c r="OYO45" s="137"/>
      <c r="OYP45" s="137"/>
      <c r="OYQ45" s="137"/>
      <c r="OYR45" s="137"/>
      <c r="OYS45" s="137"/>
      <c r="OYT45" s="137"/>
      <c r="OYU45" s="137"/>
      <c r="OYV45" s="137"/>
      <c r="OYW45" s="137"/>
      <c r="OYX45" s="137"/>
      <c r="OYY45" s="137"/>
      <c r="OYZ45" s="137"/>
      <c r="OZA45" s="137"/>
      <c r="OZB45" s="137"/>
      <c r="OZC45" s="137"/>
      <c r="OZD45" s="137"/>
      <c r="OZE45" s="137"/>
      <c r="OZF45" s="137"/>
      <c r="OZG45" s="137"/>
      <c r="OZH45" s="137"/>
      <c r="OZI45" s="137"/>
      <c r="OZJ45" s="137"/>
      <c r="OZK45" s="137"/>
      <c r="OZL45" s="137"/>
      <c r="OZM45" s="137"/>
      <c r="OZN45" s="137"/>
      <c r="OZO45" s="137"/>
      <c r="OZP45" s="137"/>
      <c r="OZQ45" s="137"/>
      <c r="OZR45" s="137"/>
      <c r="OZS45" s="137"/>
      <c r="OZT45" s="137"/>
      <c r="OZU45" s="137"/>
      <c r="OZV45" s="137"/>
      <c r="OZW45" s="137"/>
      <c r="OZX45" s="137"/>
      <c r="OZY45" s="137"/>
      <c r="OZZ45" s="137"/>
      <c r="PAA45" s="137"/>
      <c r="PAB45" s="137"/>
      <c r="PAC45" s="137"/>
      <c r="PAD45" s="137"/>
      <c r="PAE45" s="137"/>
      <c r="PAF45" s="137"/>
      <c r="PAG45" s="137"/>
      <c r="PAH45" s="137"/>
      <c r="PAI45" s="137"/>
      <c r="PAJ45" s="137"/>
      <c r="PAK45" s="137"/>
      <c r="PAL45" s="137"/>
      <c r="PAM45" s="137"/>
      <c r="PAN45" s="137"/>
      <c r="PAO45" s="137"/>
      <c r="PAP45" s="137"/>
      <c r="PAQ45" s="137"/>
      <c r="PAR45" s="137"/>
      <c r="PAS45" s="137"/>
      <c r="PAT45" s="137"/>
      <c r="PAU45" s="137"/>
      <c r="PAV45" s="137"/>
      <c r="PAW45" s="137"/>
      <c r="PAX45" s="137"/>
      <c r="PAY45" s="137"/>
      <c r="PAZ45" s="137"/>
      <c r="PBA45" s="137"/>
      <c r="PBB45" s="137"/>
      <c r="PBC45" s="137"/>
      <c r="PBD45" s="137"/>
      <c r="PBE45" s="137"/>
      <c r="PBF45" s="137"/>
      <c r="PBG45" s="137"/>
      <c r="PBH45" s="137"/>
      <c r="PBI45" s="137"/>
      <c r="PBJ45" s="137"/>
      <c r="PBK45" s="137"/>
      <c r="PBL45" s="137"/>
      <c r="PBM45" s="137"/>
      <c r="PBN45" s="137"/>
      <c r="PBO45" s="137"/>
      <c r="PBP45" s="137"/>
      <c r="PBQ45" s="137"/>
      <c r="PBR45" s="137"/>
      <c r="PBS45" s="137"/>
      <c r="PBT45" s="137"/>
      <c r="PBU45" s="137"/>
      <c r="PBV45" s="137"/>
      <c r="PBW45" s="137"/>
      <c r="PBX45" s="137"/>
      <c r="PBY45" s="137"/>
      <c r="PBZ45" s="137"/>
      <c r="PCA45" s="137"/>
      <c r="PCB45" s="137"/>
      <c r="PCC45" s="137"/>
      <c r="PCD45" s="137"/>
      <c r="PCE45" s="137"/>
      <c r="PCF45" s="137"/>
      <c r="PCG45" s="137"/>
      <c r="PCH45" s="137"/>
      <c r="PCI45" s="137"/>
      <c r="PCJ45" s="137"/>
      <c r="PCK45" s="137"/>
      <c r="PCL45" s="137"/>
      <c r="PCM45" s="137"/>
      <c r="PCN45" s="137"/>
      <c r="PCO45" s="137"/>
      <c r="PCP45" s="137"/>
      <c r="PCQ45" s="137"/>
      <c r="PCR45" s="137"/>
      <c r="PCS45" s="137"/>
      <c r="PCT45" s="137"/>
      <c r="PCU45" s="137"/>
      <c r="PCV45" s="137"/>
      <c r="PCW45" s="137"/>
      <c r="PCX45" s="137"/>
      <c r="PCY45" s="137"/>
      <c r="PCZ45" s="137"/>
      <c r="PDA45" s="137"/>
      <c r="PDB45" s="137"/>
      <c r="PDC45" s="137"/>
      <c r="PDD45" s="137"/>
      <c r="PDE45" s="137"/>
      <c r="PDF45" s="137"/>
      <c r="PDG45" s="137"/>
      <c r="PDH45" s="137"/>
      <c r="PDI45" s="137"/>
      <c r="PDJ45" s="137"/>
      <c r="PDK45" s="137"/>
      <c r="PDL45" s="137"/>
      <c r="PDM45" s="137"/>
      <c r="PDN45" s="137"/>
      <c r="PDO45" s="137"/>
      <c r="PDP45" s="137"/>
      <c r="PDQ45" s="137"/>
      <c r="PDR45" s="137"/>
      <c r="PDS45" s="137"/>
      <c r="PDT45" s="137"/>
      <c r="PDU45" s="137"/>
      <c r="PDV45" s="137"/>
      <c r="PDW45" s="137"/>
      <c r="PDX45" s="137"/>
      <c r="PDY45" s="137"/>
      <c r="PDZ45" s="137"/>
      <c r="PEA45" s="137"/>
      <c r="PEB45" s="137"/>
      <c r="PEC45" s="137"/>
      <c r="PED45" s="137"/>
      <c r="PEE45" s="137"/>
      <c r="PEF45" s="137"/>
      <c r="PEG45" s="137"/>
      <c r="PEH45" s="137"/>
      <c r="PEI45" s="137"/>
      <c r="PEJ45" s="137"/>
      <c r="PEK45" s="137"/>
      <c r="PEL45" s="137"/>
      <c r="PEM45" s="137"/>
      <c r="PEN45" s="137"/>
      <c r="PEO45" s="137"/>
      <c r="PEP45" s="137"/>
      <c r="PEQ45" s="137"/>
      <c r="PER45" s="137"/>
      <c r="PES45" s="137"/>
      <c r="PET45" s="137"/>
      <c r="PEU45" s="137"/>
      <c r="PEV45" s="137"/>
      <c r="PEW45" s="137"/>
      <c r="PEX45" s="137"/>
      <c r="PEY45" s="137"/>
      <c r="PEZ45" s="137"/>
      <c r="PFA45" s="137"/>
      <c r="PFB45" s="137"/>
      <c r="PFC45" s="137"/>
      <c r="PFD45" s="137"/>
      <c r="PFE45" s="137"/>
      <c r="PFF45" s="137"/>
      <c r="PFG45" s="137"/>
      <c r="PFH45" s="137"/>
      <c r="PFI45" s="137"/>
      <c r="PFJ45" s="137"/>
      <c r="PFK45" s="137"/>
      <c r="PFL45" s="137"/>
      <c r="PFM45" s="137"/>
      <c r="PFN45" s="137"/>
      <c r="PFO45" s="137"/>
      <c r="PFP45" s="137"/>
      <c r="PFQ45" s="137"/>
      <c r="PFR45" s="137"/>
      <c r="PFS45" s="137"/>
      <c r="PFT45" s="137"/>
      <c r="PFU45" s="137"/>
      <c r="PFV45" s="137"/>
      <c r="PFW45" s="137"/>
      <c r="PFX45" s="137"/>
      <c r="PFY45" s="137"/>
      <c r="PFZ45" s="137"/>
      <c r="PGA45" s="137"/>
      <c r="PGB45" s="137"/>
      <c r="PGC45" s="137"/>
      <c r="PGD45" s="137"/>
      <c r="PGE45" s="137"/>
      <c r="PGF45" s="137"/>
      <c r="PGG45" s="137"/>
      <c r="PGH45" s="137"/>
      <c r="PGI45" s="137"/>
      <c r="PGJ45" s="137"/>
      <c r="PGK45" s="137"/>
      <c r="PGL45" s="137"/>
      <c r="PGM45" s="137"/>
      <c r="PGN45" s="137"/>
      <c r="PGO45" s="137"/>
      <c r="PGP45" s="137"/>
      <c r="PGQ45" s="137"/>
      <c r="PGR45" s="137"/>
      <c r="PGS45" s="137"/>
      <c r="PGT45" s="137"/>
      <c r="PGU45" s="137"/>
      <c r="PGV45" s="137"/>
      <c r="PGW45" s="137"/>
      <c r="PGX45" s="137"/>
      <c r="PGY45" s="137"/>
      <c r="PGZ45" s="137"/>
      <c r="PHA45" s="137"/>
      <c r="PHB45" s="137"/>
      <c r="PHC45" s="137"/>
      <c r="PHD45" s="137"/>
      <c r="PHE45" s="137"/>
      <c r="PHF45" s="137"/>
      <c r="PHG45" s="137"/>
      <c r="PHH45" s="137"/>
      <c r="PHI45" s="137"/>
      <c r="PHJ45" s="137"/>
      <c r="PHK45" s="137"/>
      <c r="PHL45" s="137"/>
      <c r="PHM45" s="137"/>
      <c r="PHN45" s="137"/>
      <c r="PHO45" s="137"/>
      <c r="PHP45" s="137"/>
      <c r="PHQ45" s="137"/>
      <c r="PHR45" s="137"/>
      <c r="PHS45" s="137"/>
      <c r="PHT45" s="137"/>
      <c r="PHU45" s="137"/>
      <c r="PHV45" s="137"/>
      <c r="PHW45" s="137"/>
      <c r="PHX45" s="137"/>
      <c r="PHY45" s="137"/>
      <c r="PHZ45" s="137"/>
      <c r="PIA45" s="137"/>
      <c r="PIB45" s="137"/>
      <c r="PIC45" s="137"/>
      <c r="PID45" s="137"/>
      <c r="PIE45" s="137"/>
      <c r="PIF45" s="137"/>
      <c r="PIG45" s="137"/>
      <c r="PIH45" s="137"/>
      <c r="PII45" s="137"/>
      <c r="PIJ45" s="137"/>
      <c r="PIK45" s="137"/>
      <c r="PIL45" s="137"/>
      <c r="PIM45" s="137"/>
      <c r="PIN45" s="137"/>
      <c r="PIO45" s="137"/>
      <c r="PIP45" s="137"/>
      <c r="PIQ45" s="137"/>
      <c r="PIR45" s="137"/>
      <c r="PIS45" s="137"/>
      <c r="PIT45" s="137"/>
      <c r="PIU45" s="137"/>
      <c r="PIV45" s="137"/>
      <c r="PIW45" s="137"/>
      <c r="PIX45" s="137"/>
      <c r="PIY45" s="137"/>
      <c r="PIZ45" s="137"/>
      <c r="PJA45" s="137"/>
      <c r="PJB45" s="137"/>
      <c r="PJC45" s="137"/>
      <c r="PJD45" s="137"/>
      <c r="PJE45" s="137"/>
      <c r="PJF45" s="137"/>
      <c r="PJG45" s="137"/>
      <c r="PJH45" s="137"/>
      <c r="PJI45" s="137"/>
      <c r="PJJ45" s="137"/>
      <c r="PJK45" s="137"/>
      <c r="PJL45" s="137"/>
      <c r="PJM45" s="137"/>
      <c r="PJN45" s="137"/>
      <c r="PJO45" s="137"/>
      <c r="PJP45" s="137"/>
      <c r="PJQ45" s="137"/>
      <c r="PJR45" s="137"/>
      <c r="PJS45" s="137"/>
      <c r="PJT45" s="137"/>
      <c r="PJU45" s="137"/>
      <c r="PJV45" s="137"/>
      <c r="PJW45" s="137"/>
      <c r="PJX45" s="137"/>
      <c r="PJY45" s="137"/>
      <c r="PJZ45" s="137"/>
      <c r="PKA45" s="137"/>
      <c r="PKB45" s="137"/>
      <c r="PKC45" s="137"/>
      <c r="PKD45" s="137"/>
      <c r="PKE45" s="137"/>
      <c r="PKF45" s="137"/>
      <c r="PKG45" s="137"/>
      <c r="PKH45" s="137"/>
      <c r="PKI45" s="137"/>
      <c r="PKJ45" s="137"/>
      <c r="PKK45" s="137"/>
      <c r="PKL45" s="137"/>
      <c r="PKM45" s="137"/>
      <c r="PKN45" s="137"/>
      <c r="PKO45" s="137"/>
      <c r="PKP45" s="137"/>
      <c r="PKQ45" s="137"/>
      <c r="PKR45" s="137"/>
      <c r="PKS45" s="137"/>
      <c r="PKT45" s="137"/>
      <c r="PKU45" s="137"/>
      <c r="PKV45" s="137"/>
      <c r="PKW45" s="137"/>
      <c r="PKX45" s="137"/>
      <c r="PKY45" s="137"/>
      <c r="PKZ45" s="137"/>
      <c r="PLA45" s="137"/>
      <c r="PLB45" s="137"/>
      <c r="PLC45" s="137"/>
      <c r="PLD45" s="137"/>
      <c r="PLE45" s="137"/>
      <c r="PLF45" s="137"/>
      <c r="PLG45" s="137"/>
      <c r="PLH45" s="137"/>
      <c r="PLI45" s="137"/>
      <c r="PLJ45" s="137"/>
      <c r="PLK45" s="137"/>
      <c r="PLL45" s="137"/>
      <c r="PLM45" s="137"/>
      <c r="PLN45" s="137"/>
      <c r="PLO45" s="137"/>
      <c r="PLP45" s="137"/>
      <c r="PLQ45" s="137"/>
      <c r="PLR45" s="137"/>
      <c r="PLS45" s="137"/>
      <c r="PLT45" s="137"/>
      <c r="PLU45" s="137"/>
      <c r="PLV45" s="137"/>
      <c r="PLW45" s="137"/>
      <c r="PLX45" s="137"/>
      <c r="PLY45" s="137"/>
      <c r="PLZ45" s="137"/>
      <c r="PMA45" s="137"/>
      <c r="PMB45" s="137"/>
      <c r="PMC45" s="137"/>
      <c r="PMD45" s="137"/>
      <c r="PME45" s="137"/>
      <c r="PMF45" s="137"/>
      <c r="PMG45" s="137"/>
      <c r="PMH45" s="137"/>
      <c r="PMI45" s="137"/>
      <c r="PMJ45" s="137"/>
      <c r="PMK45" s="137"/>
      <c r="PML45" s="137"/>
      <c r="PMM45" s="137"/>
      <c r="PMN45" s="137"/>
      <c r="PMO45" s="137"/>
      <c r="PMP45" s="137"/>
      <c r="PMQ45" s="137"/>
      <c r="PMR45" s="137"/>
      <c r="PMS45" s="137"/>
      <c r="PMT45" s="137"/>
      <c r="PMU45" s="137"/>
      <c r="PMV45" s="137"/>
      <c r="PMW45" s="137"/>
      <c r="PMX45" s="137"/>
      <c r="PMY45" s="137"/>
      <c r="PMZ45" s="137"/>
      <c r="PNA45" s="137"/>
      <c r="PNB45" s="137"/>
      <c r="PNC45" s="137"/>
      <c r="PND45" s="137"/>
      <c r="PNE45" s="137"/>
      <c r="PNF45" s="137"/>
      <c r="PNG45" s="137"/>
      <c r="PNH45" s="137"/>
      <c r="PNI45" s="137"/>
      <c r="PNJ45" s="137"/>
      <c r="PNK45" s="137"/>
      <c r="PNL45" s="137"/>
      <c r="PNM45" s="137"/>
      <c r="PNN45" s="137"/>
      <c r="PNO45" s="137"/>
      <c r="PNP45" s="137"/>
      <c r="PNQ45" s="137"/>
      <c r="PNR45" s="137"/>
      <c r="PNS45" s="137"/>
      <c r="PNT45" s="137"/>
      <c r="PNU45" s="137"/>
      <c r="PNV45" s="137"/>
      <c r="PNW45" s="137"/>
      <c r="PNX45" s="137"/>
      <c r="PNY45" s="137"/>
      <c r="PNZ45" s="137"/>
      <c r="POA45" s="137"/>
      <c r="POB45" s="137"/>
      <c r="POC45" s="137"/>
      <c r="POD45" s="137"/>
      <c r="POE45" s="137"/>
      <c r="POF45" s="137"/>
      <c r="POG45" s="137"/>
      <c r="POH45" s="137"/>
      <c r="POI45" s="137"/>
      <c r="POJ45" s="137"/>
      <c r="POK45" s="137"/>
      <c r="POL45" s="137"/>
      <c r="POM45" s="137"/>
      <c r="PON45" s="137"/>
      <c r="POO45" s="137"/>
      <c r="POP45" s="137"/>
      <c r="POQ45" s="137"/>
      <c r="POR45" s="137"/>
      <c r="POS45" s="137"/>
      <c r="POT45" s="137"/>
      <c r="POU45" s="137"/>
      <c r="POV45" s="137"/>
      <c r="POW45" s="137"/>
      <c r="POX45" s="137"/>
      <c r="POY45" s="137"/>
      <c r="POZ45" s="137"/>
      <c r="PPA45" s="137"/>
      <c r="PPB45" s="137"/>
      <c r="PPC45" s="137"/>
      <c r="PPD45" s="137"/>
      <c r="PPE45" s="137"/>
      <c r="PPF45" s="137"/>
      <c r="PPG45" s="137"/>
      <c r="PPH45" s="137"/>
      <c r="PPI45" s="137"/>
      <c r="PPJ45" s="137"/>
      <c r="PPK45" s="137"/>
      <c r="PPL45" s="137"/>
      <c r="PPM45" s="137"/>
      <c r="PPN45" s="137"/>
      <c r="PPO45" s="137"/>
      <c r="PPP45" s="137"/>
      <c r="PPQ45" s="137"/>
      <c r="PPR45" s="137"/>
      <c r="PPS45" s="137"/>
      <c r="PPT45" s="137"/>
      <c r="PPU45" s="137"/>
      <c r="PPV45" s="137"/>
      <c r="PPW45" s="137"/>
      <c r="PPX45" s="137"/>
      <c r="PPY45" s="137"/>
      <c r="PPZ45" s="137"/>
      <c r="PQA45" s="137"/>
      <c r="PQB45" s="137"/>
      <c r="PQC45" s="137"/>
      <c r="PQD45" s="137"/>
      <c r="PQE45" s="137"/>
      <c r="PQF45" s="137"/>
      <c r="PQG45" s="137"/>
      <c r="PQH45" s="137"/>
      <c r="PQI45" s="137"/>
      <c r="PQJ45" s="137"/>
      <c r="PQK45" s="137"/>
      <c r="PQL45" s="137"/>
      <c r="PQM45" s="137"/>
      <c r="PQN45" s="137"/>
      <c r="PQO45" s="137"/>
      <c r="PQP45" s="137"/>
      <c r="PQQ45" s="137"/>
      <c r="PQR45" s="137"/>
      <c r="PQS45" s="137"/>
      <c r="PQT45" s="137"/>
      <c r="PQU45" s="137"/>
      <c r="PQV45" s="137"/>
      <c r="PQW45" s="137"/>
      <c r="PQX45" s="137"/>
      <c r="PQY45" s="137"/>
      <c r="PQZ45" s="137"/>
      <c r="PRA45" s="137"/>
      <c r="PRB45" s="137"/>
      <c r="PRC45" s="137"/>
      <c r="PRD45" s="137"/>
      <c r="PRE45" s="137"/>
      <c r="PRF45" s="137"/>
      <c r="PRG45" s="137"/>
      <c r="PRH45" s="137"/>
      <c r="PRI45" s="137"/>
      <c r="PRJ45" s="137"/>
      <c r="PRK45" s="137"/>
      <c r="PRL45" s="137"/>
      <c r="PRM45" s="137"/>
      <c r="PRN45" s="137"/>
      <c r="PRO45" s="137"/>
      <c r="PRP45" s="137"/>
      <c r="PRQ45" s="137"/>
      <c r="PRR45" s="137"/>
      <c r="PRS45" s="137"/>
      <c r="PRT45" s="137"/>
      <c r="PRU45" s="137"/>
      <c r="PRV45" s="137"/>
      <c r="PRW45" s="137"/>
      <c r="PRX45" s="137"/>
      <c r="PRY45" s="137"/>
      <c r="PRZ45" s="137"/>
      <c r="PSA45" s="137"/>
      <c r="PSB45" s="137"/>
      <c r="PSC45" s="137"/>
      <c r="PSD45" s="137"/>
      <c r="PSE45" s="137"/>
      <c r="PSF45" s="137"/>
      <c r="PSG45" s="137"/>
      <c r="PSH45" s="137"/>
      <c r="PSI45" s="137"/>
      <c r="PSJ45" s="137"/>
      <c r="PSK45" s="137"/>
      <c r="PSL45" s="137"/>
      <c r="PSM45" s="137"/>
      <c r="PSN45" s="137"/>
      <c r="PSO45" s="137"/>
      <c r="PSP45" s="137"/>
      <c r="PSQ45" s="137"/>
      <c r="PSR45" s="137"/>
      <c r="PSS45" s="137"/>
      <c r="PST45" s="137"/>
      <c r="PSU45" s="137"/>
      <c r="PSV45" s="137"/>
      <c r="PSW45" s="137"/>
      <c r="PSX45" s="137"/>
      <c r="PSY45" s="137"/>
      <c r="PSZ45" s="137"/>
      <c r="PTA45" s="137"/>
      <c r="PTB45" s="137"/>
      <c r="PTC45" s="137"/>
      <c r="PTD45" s="137"/>
      <c r="PTE45" s="137"/>
      <c r="PTF45" s="137"/>
      <c r="PTG45" s="137"/>
      <c r="PTH45" s="137"/>
      <c r="PTI45" s="137"/>
      <c r="PTJ45" s="137"/>
      <c r="PTK45" s="137"/>
      <c r="PTL45" s="137"/>
      <c r="PTM45" s="137"/>
      <c r="PTN45" s="137"/>
      <c r="PTO45" s="137"/>
      <c r="PTP45" s="137"/>
      <c r="PTQ45" s="137"/>
      <c r="PTR45" s="137"/>
      <c r="PTS45" s="137"/>
      <c r="PTT45" s="137"/>
      <c r="PTU45" s="137"/>
      <c r="PTV45" s="137"/>
      <c r="PTW45" s="137"/>
      <c r="PTX45" s="137"/>
      <c r="PTY45" s="137"/>
      <c r="PTZ45" s="137"/>
      <c r="PUA45" s="137"/>
      <c r="PUB45" s="137"/>
      <c r="PUC45" s="137"/>
      <c r="PUD45" s="137"/>
      <c r="PUE45" s="137"/>
      <c r="PUF45" s="137"/>
      <c r="PUG45" s="137"/>
      <c r="PUH45" s="137"/>
      <c r="PUI45" s="137"/>
      <c r="PUJ45" s="137"/>
      <c r="PUK45" s="137"/>
      <c r="PUL45" s="137"/>
      <c r="PUM45" s="137"/>
      <c r="PUN45" s="137"/>
      <c r="PUO45" s="137"/>
      <c r="PUP45" s="137"/>
      <c r="PUQ45" s="137"/>
      <c r="PUR45" s="137"/>
      <c r="PUS45" s="137"/>
      <c r="PUT45" s="137"/>
      <c r="PUU45" s="137"/>
      <c r="PUV45" s="137"/>
      <c r="PUW45" s="137"/>
      <c r="PUX45" s="137"/>
      <c r="PUY45" s="137"/>
      <c r="PUZ45" s="137"/>
      <c r="PVA45" s="137"/>
      <c r="PVB45" s="137"/>
      <c r="PVC45" s="137"/>
      <c r="PVD45" s="137"/>
      <c r="PVE45" s="137"/>
      <c r="PVF45" s="137"/>
      <c r="PVG45" s="137"/>
      <c r="PVH45" s="137"/>
      <c r="PVI45" s="137"/>
      <c r="PVJ45" s="137"/>
      <c r="PVK45" s="137"/>
      <c r="PVL45" s="137"/>
      <c r="PVM45" s="137"/>
      <c r="PVN45" s="137"/>
      <c r="PVO45" s="137"/>
      <c r="PVP45" s="137"/>
      <c r="PVQ45" s="137"/>
      <c r="PVR45" s="137"/>
      <c r="PVS45" s="137"/>
      <c r="PVT45" s="137"/>
      <c r="PVU45" s="137"/>
      <c r="PVV45" s="137"/>
      <c r="PVW45" s="137"/>
      <c r="PVX45" s="137"/>
      <c r="PVY45" s="137"/>
      <c r="PVZ45" s="137"/>
      <c r="PWA45" s="137"/>
      <c r="PWB45" s="137"/>
      <c r="PWC45" s="137"/>
      <c r="PWD45" s="137"/>
      <c r="PWE45" s="137"/>
      <c r="PWF45" s="137"/>
      <c r="PWG45" s="137"/>
      <c r="PWH45" s="137"/>
      <c r="PWI45" s="137"/>
      <c r="PWJ45" s="137"/>
      <c r="PWK45" s="137"/>
      <c r="PWL45" s="137"/>
      <c r="PWM45" s="137"/>
      <c r="PWN45" s="137"/>
      <c r="PWO45" s="137"/>
      <c r="PWP45" s="137"/>
      <c r="PWQ45" s="137"/>
      <c r="PWR45" s="137"/>
      <c r="PWS45" s="137"/>
      <c r="PWT45" s="137"/>
      <c r="PWU45" s="137"/>
      <c r="PWV45" s="137"/>
      <c r="PWW45" s="137"/>
      <c r="PWX45" s="137"/>
      <c r="PWY45" s="137"/>
      <c r="PWZ45" s="137"/>
      <c r="PXA45" s="137"/>
      <c r="PXB45" s="137"/>
      <c r="PXC45" s="137"/>
      <c r="PXD45" s="137"/>
      <c r="PXE45" s="137"/>
      <c r="PXF45" s="137"/>
      <c r="PXG45" s="137"/>
      <c r="PXH45" s="137"/>
      <c r="PXI45" s="137"/>
      <c r="PXJ45" s="137"/>
      <c r="PXK45" s="137"/>
      <c r="PXL45" s="137"/>
      <c r="PXM45" s="137"/>
      <c r="PXN45" s="137"/>
      <c r="PXO45" s="137"/>
      <c r="PXP45" s="137"/>
      <c r="PXQ45" s="137"/>
      <c r="PXR45" s="137"/>
      <c r="PXS45" s="137"/>
      <c r="PXT45" s="137"/>
      <c r="PXU45" s="137"/>
      <c r="PXV45" s="137"/>
      <c r="PXW45" s="137"/>
      <c r="PXX45" s="137"/>
      <c r="PXY45" s="137"/>
      <c r="PXZ45" s="137"/>
      <c r="PYA45" s="137"/>
      <c r="PYB45" s="137"/>
      <c r="PYC45" s="137"/>
      <c r="PYD45" s="137"/>
      <c r="PYE45" s="137"/>
      <c r="PYF45" s="137"/>
      <c r="PYG45" s="137"/>
      <c r="PYH45" s="137"/>
      <c r="PYI45" s="137"/>
      <c r="PYJ45" s="137"/>
      <c r="PYK45" s="137"/>
      <c r="PYL45" s="137"/>
      <c r="PYM45" s="137"/>
      <c r="PYN45" s="137"/>
      <c r="PYO45" s="137"/>
      <c r="PYP45" s="137"/>
      <c r="PYQ45" s="137"/>
      <c r="PYR45" s="137"/>
      <c r="PYS45" s="137"/>
      <c r="PYT45" s="137"/>
      <c r="PYU45" s="137"/>
      <c r="PYV45" s="137"/>
      <c r="PYW45" s="137"/>
      <c r="PYX45" s="137"/>
      <c r="PYY45" s="137"/>
      <c r="PYZ45" s="137"/>
      <c r="PZA45" s="137"/>
      <c r="PZB45" s="137"/>
      <c r="PZC45" s="137"/>
      <c r="PZD45" s="137"/>
      <c r="PZE45" s="137"/>
      <c r="PZF45" s="137"/>
      <c r="PZG45" s="137"/>
      <c r="PZH45" s="137"/>
      <c r="PZI45" s="137"/>
      <c r="PZJ45" s="137"/>
      <c r="PZK45" s="137"/>
      <c r="PZL45" s="137"/>
      <c r="PZM45" s="137"/>
      <c r="PZN45" s="137"/>
      <c r="PZO45" s="137"/>
      <c r="PZP45" s="137"/>
      <c r="PZQ45" s="137"/>
      <c r="PZR45" s="137"/>
      <c r="PZS45" s="137"/>
      <c r="PZT45" s="137"/>
      <c r="PZU45" s="137"/>
      <c r="PZV45" s="137"/>
      <c r="PZW45" s="137"/>
      <c r="PZX45" s="137"/>
      <c r="PZY45" s="137"/>
      <c r="PZZ45" s="137"/>
      <c r="QAA45" s="137"/>
      <c r="QAB45" s="137"/>
      <c r="QAC45" s="137"/>
      <c r="QAD45" s="137"/>
      <c r="QAE45" s="137"/>
      <c r="QAF45" s="137"/>
      <c r="QAG45" s="137"/>
      <c r="QAH45" s="137"/>
      <c r="QAI45" s="137"/>
      <c r="QAJ45" s="137"/>
      <c r="QAK45" s="137"/>
      <c r="QAL45" s="137"/>
      <c r="QAM45" s="137"/>
      <c r="QAN45" s="137"/>
      <c r="QAO45" s="137"/>
      <c r="QAP45" s="137"/>
      <c r="QAQ45" s="137"/>
      <c r="QAR45" s="137"/>
      <c r="QAS45" s="137"/>
      <c r="QAT45" s="137"/>
      <c r="QAU45" s="137"/>
      <c r="QAV45" s="137"/>
      <c r="QAW45" s="137"/>
      <c r="QAX45" s="137"/>
      <c r="QAY45" s="137"/>
      <c r="QAZ45" s="137"/>
      <c r="QBA45" s="137"/>
      <c r="QBB45" s="137"/>
      <c r="QBC45" s="137"/>
      <c r="QBD45" s="137"/>
      <c r="QBE45" s="137"/>
      <c r="QBF45" s="137"/>
      <c r="QBG45" s="137"/>
      <c r="QBH45" s="137"/>
      <c r="QBI45" s="137"/>
      <c r="QBJ45" s="137"/>
      <c r="QBK45" s="137"/>
      <c r="QBL45" s="137"/>
      <c r="QBM45" s="137"/>
      <c r="QBN45" s="137"/>
      <c r="QBO45" s="137"/>
      <c r="QBP45" s="137"/>
      <c r="QBQ45" s="137"/>
      <c r="QBR45" s="137"/>
      <c r="QBS45" s="137"/>
      <c r="QBT45" s="137"/>
      <c r="QBU45" s="137"/>
      <c r="QBV45" s="137"/>
      <c r="QBW45" s="137"/>
      <c r="QBX45" s="137"/>
      <c r="QBY45" s="137"/>
      <c r="QBZ45" s="137"/>
      <c r="QCA45" s="137"/>
      <c r="QCB45" s="137"/>
      <c r="QCC45" s="137"/>
      <c r="QCD45" s="137"/>
      <c r="QCE45" s="137"/>
      <c r="QCF45" s="137"/>
      <c r="QCG45" s="137"/>
      <c r="QCH45" s="137"/>
      <c r="QCI45" s="137"/>
      <c r="QCJ45" s="137"/>
      <c r="QCK45" s="137"/>
      <c r="QCL45" s="137"/>
      <c r="QCM45" s="137"/>
      <c r="QCN45" s="137"/>
      <c r="QCO45" s="137"/>
      <c r="QCP45" s="137"/>
      <c r="QCQ45" s="137"/>
      <c r="QCR45" s="137"/>
      <c r="QCS45" s="137"/>
      <c r="QCT45" s="137"/>
      <c r="QCU45" s="137"/>
      <c r="QCV45" s="137"/>
      <c r="QCW45" s="137"/>
      <c r="QCX45" s="137"/>
      <c r="QCY45" s="137"/>
      <c r="QCZ45" s="137"/>
      <c r="QDA45" s="137"/>
      <c r="QDB45" s="137"/>
      <c r="QDC45" s="137"/>
      <c r="QDD45" s="137"/>
      <c r="QDE45" s="137"/>
      <c r="QDF45" s="137"/>
      <c r="QDG45" s="137"/>
      <c r="QDH45" s="137"/>
      <c r="QDI45" s="137"/>
      <c r="QDJ45" s="137"/>
      <c r="QDK45" s="137"/>
      <c r="QDL45" s="137"/>
      <c r="QDM45" s="137"/>
      <c r="QDN45" s="137"/>
      <c r="QDO45" s="137"/>
      <c r="QDP45" s="137"/>
      <c r="QDQ45" s="137"/>
      <c r="QDR45" s="137"/>
      <c r="QDS45" s="137"/>
      <c r="QDT45" s="137"/>
      <c r="QDU45" s="137"/>
      <c r="QDV45" s="137"/>
      <c r="QDW45" s="137"/>
      <c r="QDX45" s="137"/>
      <c r="QDY45" s="137"/>
      <c r="QDZ45" s="137"/>
      <c r="QEA45" s="137"/>
      <c r="QEB45" s="137"/>
      <c r="QEC45" s="137"/>
      <c r="QED45" s="137"/>
      <c r="QEE45" s="137"/>
      <c r="QEF45" s="137"/>
      <c r="QEG45" s="137"/>
      <c r="QEH45" s="137"/>
      <c r="QEI45" s="137"/>
      <c r="QEJ45" s="137"/>
      <c r="QEK45" s="137"/>
      <c r="QEL45" s="137"/>
      <c r="QEM45" s="137"/>
      <c r="QEN45" s="137"/>
      <c r="QEO45" s="137"/>
      <c r="QEP45" s="137"/>
      <c r="QEQ45" s="137"/>
      <c r="QER45" s="137"/>
      <c r="QES45" s="137"/>
      <c r="QET45" s="137"/>
      <c r="QEU45" s="137"/>
      <c r="QEV45" s="137"/>
      <c r="QEW45" s="137"/>
      <c r="QEX45" s="137"/>
      <c r="QEY45" s="137"/>
      <c r="QEZ45" s="137"/>
      <c r="QFA45" s="137"/>
      <c r="QFB45" s="137"/>
      <c r="QFC45" s="137"/>
      <c r="QFD45" s="137"/>
      <c r="QFE45" s="137"/>
      <c r="QFF45" s="137"/>
      <c r="QFG45" s="137"/>
      <c r="QFH45" s="137"/>
      <c r="QFI45" s="137"/>
      <c r="QFJ45" s="137"/>
      <c r="QFK45" s="137"/>
      <c r="QFL45" s="137"/>
      <c r="QFM45" s="137"/>
      <c r="QFN45" s="137"/>
      <c r="QFO45" s="137"/>
      <c r="QFP45" s="137"/>
      <c r="QFQ45" s="137"/>
      <c r="QFR45" s="137"/>
      <c r="QFS45" s="137"/>
      <c r="QFT45" s="137"/>
      <c r="QFU45" s="137"/>
      <c r="QFV45" s="137"/>
      <c r="QFW45" s="137"/>
      <c r="QFX45" s="137"/>
      <c r="QFY45" s="137"/>
      <c r="QFZ45" s="137"/>
      <c r="QGA45" s="137"/>
      <c r="QGB45" s="137"/>
      <c r="QGC45" s="137"/>
      <c r="QGD45" s="137"/>
      <c r="QGE45" s="137"/>
      <c r="QGF45" s="137"/>
      <c r="QGG45" s="137"/>
      <c r="QGH45" s="137"/>
      <c r="QGI45" s="137"/>
      <c r="QGJ45" s="137"/>
      <c r="QGK45" s="137"/>
      <c r="QGL45" s="137"/>
      <c r="QGM45" s="137"/>
      <c r="QGN45" s="137"/>
      <c r="QGO45" s="137"/>
      <c r="QGP45" s="137"/>
      <c r="QGQ45" s="137"/>
      <c r="QGR45" s="137"/>
      <c r="QGS45" s="137"/>
      <c r="QGT45" s="137"/>
      <c r="QGU45" s="137"/>
      <c r="QGV45" s="137"/>
      <c r="QGW45" s="137"/>
      <c r="QGX45" s="137"/>
      <c r="QGY45" s="137"/>
      <c r="QGZ45" s="137"/>
      <c r="QHA45" s="137"/>
      <c r="QHB45" s="137"/>
      <c r="QHC45" s="137"/>
      <c r="QHD45" s="137"/>
      <c r="QHE45" s="137"/>
      <c r="QHF45" s="137"/>
      <c r="QHG45" s="137"/>
      <c r="QHH45" s="137"/>
      <c r="QHI45" s="137"/>
      <c r="QHJ45" s="137"/>
      <c r="QHK45" s="137"/>
      <c r="QHL45" s="137"/>
      <c r="QHM45" s="137"/>
      <c r="QHN45" s="137"/>
      <c r="QHO45" s="137"/>
      <c r="QHP45" s="137"/>
      <c r="QHQ45" s="137"/>
      <c r="QHR45" s="137"/>
      <c r="QHS45" s="137"/>
      <c r="QHT45" s="137"/>
      <c r="QHU45" s="137"/>
      <c r="QHV45" s="137"/>
      <c r="QHW45" s="137"/>
      <c r="QHX45" s="137"/>
      <c r="QHY45" s="137"/>
      <c r="QHZ45" s="137"/>
      <c r="QIA45" s="137"/>
      <c r="QIB45" s="137"/>
      <c r="QIC45" s="137"/>
      <c r="QID45" s="137"/>
      <c r="QIE45" s="137"/>
      <c r="QIF45" s="137"/>
      <c r="QIG45" s="137"/>
      <c r="QIH45" s="137"/>
      <c r="QII45" s="137"/>
      <c r="QIJ45" s="137"/>
      <c r="QIK45" s="137"/>
      <c r="QIL45" s="137"/>
      <c r="QIM45" s="137"/>
      <c r="QIN45" s="137"/>
      <c r="QIO45" s="137"/>
      <c r="QIP45" s="137"/>
      <c r="QIQ45" s="137"/>
      <c r="QIR45" s="137"/>
      <c r="QIS45" s="137"/>
      <c r="QIT45" s="137"/>
      <c r="QIU45" s="137"/>
      <c r="QIV45" s="137"/>
      <c r="QIW45" s="137"/>
      <c r="QIX45" s="137"/>
      <c r="QIY45" s="137"/>
      <c r="QIZ45" s="137"/>
      <c r="QJA45" s="137"/>
      <c r="QJB45" s="137"/>
      <c r="QJC45" s="137"/>
      <c r="QJD45" s="137"/>
      <c r="QJE45" s="137"/>
      <c r="QJF45" s="137"/>
      <c r="QJG45" s="137"/>
      <c r="QJH45" s="137"/>
      <c r="QJI45" s="137"/>
      <c r="QJJ45" s="137"/>
      <c r="QJK45" s="137"/>
      <c r="QJL45" s="137"/>
      <c r="QJM45" s="137"/>
      <c r="QJN45" s="137"/>
      <c r="QJO45" s="137"/>
      <c r="QJP45" s="137"/>
      <c r="QJQ45" s="137"/>
      <c r="QJR45" s="137"/>
      <c r="QJS45" s="137"/>
      <c r="QJT45" s="137"/>
      <c r="QJU45" s="137"/>
      <c r="QJV45" s="137"/>
      <c r="QJW45" s="137"/>
      <c r="QJX45" s="137"/>
      <c r="QJY45" s="137"/>
      <c r="QJZ45" s="137"/>
      <c r="QKA45" s="137"/>
      <c r="QKB45" s="137"/>
      <c r="QKC45" s="137"/>
      <c r="QKD45" s="137"/>
      <c r="QKE45" s="137"/>
      <c r="QKF45" s="137"/>
      <c r="QKG45" s="137"/>
      <c r="QKH45" s="137"/>
      <c r="QKI45" s="137"/>
      <c r="QKJ45" s="137"/>
      <c r="QKK45" s="137"/>
      <c r="QKL45" s="137"/>
      <c r="QKM45" s="137"/>
      <c r="QKN45" s="137"/>
      <c r="QKO45" s="137"/>
      <c r="QKP45" s="137"/>
      <c r="QKQ45" s="137"/>
      <c r="QKR45" s="137"/>
      <c r="QKS45" s="137"/>
      <c r="QKT45" s="137"/>
      <c r="QKU45" s="137"/>
      <c r="QKV45" s="137"/>
      <c r="QKW45" s="137"/>
      <c r="QKX45" s="137"/>
      <c r="QKY45" s="137"/>
      <c r="QKZ45" s="137"/>
      <c r="QLA45" s="137"/>
      <c r="QLB45" s="137"/>
      <c r="QLC45" s="137"/>
      <c r="QLD45" s="137"/>
      <c r="QLE45" s="137"/>
      <c r="QLF45" s="137"/>
      <c r="QLG45" s="137"/>
      <c r="QLH45" s="137"/>
      <c r="QLI45" s="137"/>
      <c r="QLJ45" s="137"/>
      <c r="QLK45" s="137"/>
      <c r="QLL45" s="137"/>
      <c r="QLM45" s="137"/>
      <c r="QLN45" s="137"/>
      <c r="QLO45" s="137"/>
      <c r="QLP45" s="137"/>
      <c r="QLQ45" s="137"/>
      <c r="QLR45" s="137"/>
      <c r="QLS45" s="137"/>
      <c r="QLT45" s="137"/>
      <c r="QLU45" s="137"/>
      <c r="QLV45" s="137"/>
      <c r="QLW45" s="137"/>
      <c r="QLX45" s="137"/>
      <c r="QLY45" s="137"/>
      <c r="QLZ45" s="137"/>
      <c r="QMA45" s="137"/>
      <c r="QMB45" s="137"/>
      <c r="QMC45" s="137"/>
      <c r="QMD45" s="137"/>
      <c r="QME45" s="137"/>
      <c r="QMF45" s="137"/>
      <c r="QMG45" s="137"/>
      <c r="QMH45" s="137"/>
      <c r="QMI45" s="137"/>
      <c r="QMJ45" s="137"/>
      <c r="QMK45" s="137"/>
      <c r="QML45" s="137"/>
      <c r="QMM45" s="137"/>
      <c r="QMN45" s="137"/>
      <c r="QMO45" s="137"/>
      <c r="QMP45" s="137"/>
      <c r="QMQ45" s="137"/>
      <c r="QMR45" s="137"/>
      <c r="QMS45" s="137"/>
      <c r="QMT45" s="137"/>
      <c r="QMU45" s="137"/>
      <c r="QMV45" s="137"/>
      <c r="QMW45" s="137"/>
      <c r="QMX45" s="137"/>
      <c r="QMY45" s="137"/>
      <c r="QMZ45" s="137"/>
      <c r="QNA45" s="137"/>
      <c r="QNB45" s="137"/>
      <c r="QNC45" s="137"/>
      <c r="QND45" s="137"/>
      <c r="QNE45" s="137"/>
      <c r="QNF45" s="137"/>
      <c r="QNG45" s="137"/>
      <c r="QNH45" s="137"/>
      <c r="QNI45" s="137"/>
      <c r="QNJ45" s="137"/>
      <c r="QNK45" s="137"/>
      <c r="QNL45" s="137"/>
      <c r="QNM45" s="137"/>
      <c r="QNN45" s="137"/>
      <c r="QNO45" s="137"/>
      <c r="QNP45" s="137"/>
      <c r="QNQ45" s="137"/>
      <c r="QNR45" s="137"/>
      <c r="QNS45" s="137"/>
      <c r="QNT45" s="137"/>
      <c r="QNU45" s="137"/>
      <c r="QNV45" s="137"/>
      <c r="QNW45" s="137"/>
      <c r="QNX45" s="137"/>
      <c r="QNY45" s="137"/>
      <c r="QNZ45" s="137"/>
      <c r="QOA45" s="137"/>
      <c r="QOB45" s="137"/>
      <c r="QOC45" s="137"/>
      <c r="QOD45" s="137"/>
      <c r="QOE45" s="137"/>
      <c r="QOF45" s="137"/>
      <c r="QOG45" s="137"/>
      <c r="QOH45" s="137"/>
      <c r="QOI45" s="137"/>
      <c r="QOJ45" s="137"/>
      <c r="QOK45" s="137"/>
      <c r="QOL45" s="137"/>
      <c r="QOM45" s="137"/>
      <c r="QON45" s="137"/>
      <c r="QOO45" s="137"/>
      <c r="QOP45" s="137"/>
      <c r="QOQ45" s="137"/>
      <c r="QOR45" s="137"/>
      <c r="QOS45" s="137"/>
      <c r="QOT45" s="137"/>
      <c r="QOU45" s="137"/>
      <c r="QOV45" s="137"/>
      <c r="QOW45" s="137"/>
      <c r="QOX45" s="137"/>
      <c r="QOY45" s="137"/>
      <c r="QOZ45" s="137"/>
      <c r="QPA45" s="137"/>
      <c r="QPB45" s="137"/>
      <c r="QPC45" s="137"/>
      <c r="QPD45" s="137"/>
      <c r="QPE45" s="137"/>
      <c r="QPF45" s="137"/>
      <c r="QPG45" s="137"/>
      <c r="QPH45" s="137"/>
      <c r="QPI45" s="137"/>
      <c r="QPJ45" s="137"/>
      <c r="QPK45" s="137"/>
      <c r="QPL45" s="137"/>
      <c r="QPM45" s="137"/>
      <c r="QPN45" s="137"/>
      <c r="QPO45" s="137"/>
      <c r="QPP45" s="137"/>
      <c r="QPQ45" s="137"/>
      <c r="QPR45" s="137"/>
      <c r="QPS45" s="137"/>
      <c r="QPT45" s="137"/>
      <c r="QPU45" s="137"/>
      <c r="QPV45" s="137"/>
      <c r="QPW45" s="137"/>
      <c r="QPX45" s="137"/>
      <c r="QPY45" s="137"/>
      <c r="QPZ45" s="137"/>
      <c r="QQA45" s="137"/>
      <c r="QQB45" s="137"/>
      <c r="QQC45" s="137"/>
      <c r="QQD45" s="137"/>
      <c r="QQE45" s="137"/>
      <c r="QQF45" s="137"/>
      <c r="QQG45" s="137"/>
      <c r="QQH45" s="137"/>
      <c r="QQI45" s="137"/>
      <c r="QQJ45" s="137"/>
      <c r="QQK45" s="137"/>
      <c r="QQL45" s="137"/>
      <c r="QQM45" s="137"/>
      <c r="QQN45" s="137"/>
      <c r="QQO45" s="137"/>
      <c r="QQP45" s="137"/>
      <c r="QQQ45" s="137"/>
      <c r="QQR45" s="137"/>
      <c r="QQS45" s="137"/>
      <c r="QQT45" s="137"/>
      <c r="QQU45" s="137"/>
      <c r="QQV45" s="137"/>
      <c r="QQW45" s="137"/>
      <c r="QQX45" s="137"/>
      <c r="QQY45" s="137"/>
      <c r="QQZ45" s="137"/>
      <c r="QRA45" s="137"/>
      <c r="QRB45" s="137"/>
      <c r="QRC45" s="137"/>
      <c r="QRD45" s="137"/>
      <c r="QRE45" s="137"/>
      <c r="QRF45" s="137"/>
      <c r="QRG45" s="137"/>
      <c r="QRH45" s="137"/>
      <c r="QRI45" s="137"/>
      <c r="QRJ45" s="137"/>
      <c r="QRK45" s="137"/>
      <c r="QRL45" s="137"/>
      <c r="QRM45" s="137"/>
      <c r="QRN45" s="137"/>
      <c r="QRO45" s="137"/>
      <c r="QRP45" s="137"/>
      <c r="QRQ45" s="137"/>
      <c r="QRR45" s="137"/>
      <c r="QRS45" s="137"/>
      <c r="QRT45" s="137"/>
      <c r="QRU45" s="137"/>
      <c r="QRV45" s="137"/>
      <c r="QRW45" s="137"/>
      <c r="QRX45" s="137"/>
      <c r="QRY45" s="137"/>
      <c r="QRZ45" s="137"/>
      <c r="QSA45" s="137"/>
      <c r="QSB45" s="137"/>
      <c r="QSC45" s="137"/>
      <c r="QSD45" s="137"/>
      <c r="QSE45" s="137"/>
      <c r="QSF45" s="137"/>
      <c r="QSG45" s="137"/>
      <c r="QSH45" s="137"/>
      <c r="QSI45" s="137"/>
      <c r="QSJ45" s="137"/>
      <c r="QSK45" s="137"/>
      <c r="QSL45" s="137"/>
      <c r="QSM45" s="137"/>
      <c r="QSN45" s="137"/>
      <c r="QSO45" s="137"/>
      <c r="QSP45" s="137"/>
      <c r="QSQ45" s="137"/>
      <c r="QSR45" s="137"/>
      <c r="QSS45" s="137"/>
      <c r="QST45" s="137"/>
      <c r="QSU45" s="137"/>
      <c r="QSV45" s="137"/>
      <c r="QSW45" s="137"/>
      <c r="QSX45" s="137"/>
      <c r="QSY45" s="137"/>
      <c r="QSZ45" s="137"/>
      <c r="QTA45" s="137"/>
      <c r="QTB45" s="137"/>
      <c r="QTC45" s="137"/>
      <c r="QTD45" s="137"/>
      <c r="QTE45" s="137"/>
      <c r="QTF45" s="137"/>
      <c r="QTG45" s="137"/>
      <c r="QTH45" s="137"/>
      <c r="QTI45" s="137"/>
      <c r="QTJ45" s="137"/>
      <c r="QTK45" s="137"/>
      <c r="QTL45" s="137"/>
      <c r="QTM45" s="137"/>
      <c r="QTN45" s="137"/>
      <c r="QTO45" s="137"/>
      <c r="QTP45" s="137"/>
      <c r="QTQ45" s="137"/>
      <c r="QTR45" s="137"/>
      <c r="QTS45" s="137"/>
      <c r="QTT45" s="137"/>
      <c r="QTU45" s="137"/>
      <c r="QTV45" s="137"/>
      <c r="QTW45" s="137"/>
      <c r="QTX45" s="137"/>
      <c r="QTY45" s="137"/>
      <c r="QTZ45" s="137"/>
      <c r="QUA45" s="137"/>
      <c r="QUB45" s="137"/>
      <c r="QUC45" s="137"/>
      <c r="QUD45" s="137"/>
      <c r="QUE45" s="137"/>
      <c r="QUF45" s="137"/>
      <c r="QUG45" s="137"/>
      <c r="QUH45" s="137"/>
      <c r="QUI45" s="137"/>
      <c r="QUJ45" s="137"/>
      <c r="QUK45" s="137"/>
      <c r="QUL45" s="137"/>
      <c r="QUM45" s="137"/>
      <c r="QUN45" s="137"/>
      <c r="QUO45" s="137"/>
      <c r="QUP45" s="137"/>
      <c r="QUQ45" s="137"/>
      <c r="QUR45" s="137"/>
      <c r="QUS45" s="137"/>
      <c r="QUT45" s="137"/>
      <c r="QUU45" s="137"/>
      <c r="QUV45" s="137"/>
      <c r="QUW45" s="137"/>
      <c r="QUX45" s="137"/>
      <c r="QUY45" s="137"/>
      <c r="QUZ45" s="137"/>
      <c r="QVA45" s="137"/>
      <c r="QVB45" s="137"/>
      <c r="QVC45" s="137"/>
      <c r="QVD45" s="137"/>
      <c r="QVE45" s="137"/>
      <c r="QVF45" s="137"/>
      <c r="QVG45" s="137"/>
      <c r="QVH45" s="137"/>
      <c r="QVI45" s="137"/>
      <c r="QVJ45" s="137"/>
      <c r="QVK45" s="137"/>
      <c r="QVL45" s="137"/>
      <c r="QVM45" s="137"/>
      <c r="QVN45" s="137"/>
      <c r="QVO45" s="137"/>
      <c r="QVP45" s="137"/>
      <c r="QVQ45" s="137"/>
      <c r="QVR45" s="137"/>
      <c r="QVS45" s="137"/>
      <c r="QVT45" s="137"/>
      <c r="QVU45" s="137"/>
      <c r="QVV45" s="137"/>
      <c r="QVW45" s="137"/>
      <c r="QVX45" s="137"/>
      <c r="QVY45" s="137"/>
      <c r="QVZ45" s="137"/>
      <c r="QWA45" s="137"/>
      <c r="QWB45" s="137"/>
      <c r="QWC45" s="137"/>
      <c r="QWD45" s="137"/>
      <c r="QWE45" s="137"/>
      <c r="QWF45" s="137"/>
      <c r="QWG45" s="137"/>
      <c r="QWH45" s="137"/>
      <c r="QWI45" s="137"/>
      <c r="QWJ45" s="137"/>
      <c r="QWK45" s="137"/>
      <c r="QWL45" s="137"/>
      <c r="QWM45" s="137"/>
      <c r="QWN45" s="137"/>
      <c r="QWO45" s="137"/>
      <c r="QWP45" s="137"/>
      <c r="QWQ45" s="137"/>
      <c r="QWR45" s="137"/>
      <c r="QWS45" s="137"/>
      <c r="QWT45" s="137"/>
      <c r="QWU45" s="137"/>
      <c r="QWV45" s="137"/>
      <c r="QWW45" s="137"/>
      <c r="QWX45" s="137"/>
      <c r="QWY45" s="137"/>
      <c r="QWZ45" s="137"/>
      <c r="QXA45" s="137"/>
      <c r="QXB45" s="137"/>
      <c r="QXC45" s="137"/>
      <c r="QXD45" s="137"/>
      <c r="QXE45" s="137"/>
      <c r="QXF45" s="137"/>
      <c r="QXG45" s="137"/>
      <c r="QXH45" s="137"/>
      <c r="QXI45" s="137"/>
      <c r="QXJ45" s="137"/>
      <c r="QXK45" s="137"/>
      <c r="QXL45" s="137"/>
      <c r="QXM45" s="137"/>
      <c r="QXN45" s="137"/>
      <c r="QXO45" s="137"/>
      <c r="QXP45" s="137"/>
      <c r="QXQ45" s="137"/>
      <c r="QXR45" s="137"/>
      <c r="QXS45" s="137"/>
      <c r="QXT45" s="137"/>
      <c r="QXU45" s="137"/>
      <c r="QXV45" s="137"/>
      <c r="QXW45" s="137"/>
      <c r="QXX45" s="137"/>
      <c r="QXY45" s="137"/>
      <c r="QXZ45" s="137"/>
      <c r="QYA45" s="137"/>
      <c r="QYB45" s="137"/>
      <c r="QYC45" s="137"/>
      <c r="QYD45" s="137"/>
      <c r="QYE45" s="137"/>
      <c r="QYF45" s="137"/>
      <c r="QYG45" s="137"/>
      <c r="QYH45" s="137"/>
      <c r="QYI45" s="137"/>
      <c r="QYJ45" s="137"/>
      <c r="QYK45" s="137"/>
      <c r="QYL45" s="137"/>
      <c r="QYM45" s="137"/>
      <c r="QYN45" s="137"/>
      <c r="QYO45" s="137"/>
      <c r="QYP45" s="137"/>
      <c r="QYQ45" s="137"/>
      <c r="QYR45" s="137"/>
      <c r="QYS45" s="137"/>
      <c r="QYT45" s="137"/>
      <c r="QYU45" s="137"/>
      <c r="QYV45" s="137"/>
      <c r="QYW45" s="137"/>
      <c r="QYX45" s="137"/>
      <c r="QYY45" s="137"/>
      <c r="QYZ45" s="137"/>
      <c r="QZA45" s="137"/>
      <c r="QZB45" s="137"/>
      <c r="QZC45" s="137"/>
      <c r="QZD45" s="137"/>
      <c r="QZE45" s="137"/>
      <c r="QZF45" s="137"/>
      <c r="QZG45" s="137"/>
      <c r="QZH45" s="137"/>
      <c r="QZI45" s="137"/>
      <c r="QZJ45" s="137"/>
      <c r="QZK45" s="137"/>
      <c r="QZL45" s="137"/>
      <c r="QZM45" s="137"/>
      <c r="QZN45" s="137"/>
      <c r="QZO45" s="137"/>
      <c r="QZP45" s="137"/>
      <c r="QZQ45" s="137"/>
      <c r="QZR45" s="137"/>
      <c r="QZS45" s="137"/>
      <c r="QZT45" s="137"/>
      <c r="QZU45" s="137"/>
      <c r="QZV45" s="137"/>
      <c r="QZW45" s="137"/>
      <c r="QZX45" s="137"/>
      <c r="QZY45" s="137"/>
      <c r="QZZ45" s="137"/>
      <c r="RAA45" s="137"/>
      <c r="RAB45" s="137"/>
      <c r="RAC45" s="137"/>
      <c r="RAD45" s="137"/>
      <c r="RAE45" s="137"/>
      <c r="RAF45" s="137"/>
      <c r="RAG45" s="137"/>
      <c r="RAH45" s="137"/>
      <c r="RAI45" s="137"/>
      <c r="RAJ45" s="137"/>
      <c r="RAK45" s="137"/>
      <c r="RAL45" s="137"/>
      <c r="RAM45" s="137"/>
      <c r="RAN45" s="137"/>
      <c r="RAO45" s="137"/>
      <c r="RAP45" s="137"/>
      <c r="RAQ45" s="137"/>
      <c r="RAR45" s="137"/>
      <c r="RAS45" s="137"/>
      <c r="RAT45" s="137"/>
      <c r="RAU45" s="137"/>
      <c r="RAV45" s="137"/>
      <c r="RAW45" s="137"/>
      <c r="RAX45" s="137"/>
      <c r="RAY45" s="137"/>
      <c r="RAZ45" s="137"/>
      <c r="RBA45" s="137"/>
      <c r="RBB45" s="137"/>
      <c r="RBC45" s="137"/>
      <c r="RBD45" s="137"/>
      <c r="RBE45" s="137"/>
      <c r="RBF45" s="137"/>
      <c r="RBG45" s="137"/>
      <c r="RBH45" s="137"/>
      <c r="RBI45" s="137"/>
      <c r="RBJ45" s="137"/>
      <c r="RBK45" s="137"/>
      <c r="RBL45" s="137"/>
      <c r="RBM45" s="137"/>
      <c r="RBN45" s="137"/>
      <c r="RBO45" s="137"/>
      <c r="RBP45" s="137"/>
      <c r="RBQ45" s="137"/>
      <c r="RBR45" s="137"/>
      <c r="RBS45" s="137"/>
      <c r="RBT45" s="137"/>
      <c r="RBU45" s="137"/>
      <c r="RBV45" s="137"/>
      <c r="RBW45" s="137"/>
      <c r="RBX45" s="137"/>
      <c r="RBY45" s="137"/>
      <c r="RBZ45" s="137"/>
      <c r="RCA45" s="137"/>
      <c r="RCB45" s="137"/>
      <c r="RCC45" s="137"/>
      <c r="RCD45" s="137"/>
      <c r="RCE45" s="137"/>
      <c r="RCF45" s="137"/>
      <c r="RCG45" s="137"/>
      <c r="RCH45" s="137"/>
      <c r="RCI45" s="137"/>
      <c r="RCJ45" s="137"/>
      <c r="RCK45" s="137"/>
      <c r="RCL45" s="137"/>
      <c r="RCM45" s="137"/>
      <c r="RCN45" s="137"/>
      <c r="RCO45" s="137"/>
      <c r="RCP45" s="137"/>
      <c r="RCQ45" s="137"/>
      <c r="RCR45" s="137"/>
      <c r="RCS45" s="137"/>
      <c r="RCT45" s="137"/>
      <c r="RCU45" s="137"/>
      <c r="RCV45" s="137"/>
      <c r="RCW45" s="137"/>
      <c r="RCX45" s="137"/>
      <c r="RCY45" s="137"/>
      <c r="RCZ45" s="137"/>
      <c r="RDA45" s="137"/>
      <c r="RDB45" s="137"/>
      <c r="RDC45" s="137"/>
      <c r="RDD45" s="137"/>
      <c r="RDE45" s="137"/>
      <c r="RDF45" s="137"/>
      <c r="RDG45" s="137"/>
      <c r="RDH45" s="137"/>
      <c r="RDI45" s="137"/>
      <c r="RDJ45" s="137"/>
      <c r="RDK45" s="137"/>
      <c r="RDL45" s="137"/>
      <c r="RDM45" s="137"/>
      <c r="RDN45" s="137"/>
      <c r="RDO45" s="137"/>
      <c r="RDP45" s="137"/>
      <c r="RDQ45" s="137"/>
      <c r="RDR45" s="137"/>
      <c r="RDS45" s="137"/>
      <c r="RDT45" s="137"/>
      <c r="RDU45" s="137"/>
      <c r="RDV45" s="137"/>
      <c r="RDW45" s="137"/>
      <c r="RDX45" s="137"/>
      <c r="RDY45" s="137"/>
      <c r="RDZ45" s="137"/>
      <c r="REA45" s="137"/>
      <c r="REB45" s="137"/>
      <c r="REC45" s="137"/>
      <c r="RED45" s="137"/>
      <c r="REE45" s="137"/>
      <c r="REF45" s="137"/>
      <c r="REG45" s="137"/>
      <c r="REH45" s="137"/>
      <c r="REI45" s="137"/>
      <c r="REJ45" s="137"/>
      <c r="REK45" s="137"/>
      <c r="REL45" s="137"/>
      <c r="REM45" s="137"/>
      <c r="REN45" s="137"/>
      <c r="REO45" s="137"/>
      <c r="REP45" s="137"/>
      <c r="REQ45" s="137"/>
      <c r="RER45" s="137"/>
      <c r="RES45" s="137"/>
      <c r="RET45" s="137"/>
      <c r="REU45" s="137"/>
      <c r="REV45" s="137"/>
      <c r="REW45" s="137"/>
      <c r="REX45" s="137"/>
      <c r="REY45" s="137"/>
      <c r="REZ45" s="137"/>
      <c r="RFA45" s="137"/>
      <c r="RFB45" s="137"/>
      <c r="RFC45" s="137"/>
      <c r="RFD45" s="137"/>
      <c r="RFE45" s="137"/>
      <c r="RFF45" s="137"/>
      <c r="RFG45" s="137"/>
      <c r="RFH45" s="137"/>
      <c r="RFI45" s="137"/>
      <c r="RFJ45" s="137"/>
      <c r="RFK45" s="137"/>
      <c r="RFL45" s="137"/>
      <c r="RFM45" s="137"/>
      <c r="RFN45" s="137"/>
      <c r="RFO45" s="137"/>
      <c r="RFP45" s="137"/>
      <c r="RFQ45" s="137"/>
      <c r="RFR45" s="137"/>
      <c r="RFS45" s="137"/>
      <c r="RFT45" s="137"/>
      <c r="RFU45" s="137"/>
      <c r="RFV45" s="137"/>
      <c r="RFW45" s="137"/>
      <c r="RFX45" s="137"/>
      <c r="RFY45" s="137"/>
      <c r="RFZ45" s="137"/>
      <c r="RGA45" s="137"/>
      <c r="RGB45" s="137"/>
      <c r="RGC45" s="137"/>
      <c r="RGD45" s="137"/>
      <c r="RGE45" s="137"/>
      <c r="RGF45" s="137"/>
      <c r="RGG45" s="137"/>
      <c r="RGH45" s="137"/>
      <c r="RGI45" s="137"/>
      <c r="RGJ45" s="137"/>
      <c r="RGK45" s="137"/>
      <c r="RGL45" s="137"/>
      <c r="RGM45" s="137"/>
      <c r="RGN45" s="137"/>
      <c r="RGO45" s="137"/>
      <c r="RGP45" s="137"/>
      <c r="RGQ45" s="137"/>
      <c r="RGR45" s="137"/>
      <c r="RGS45" s="137"/>
      <c r="RGT45" s="137"/>
      <c r="RGU45" s="137"/>
      <c r="RGV45" s="137"/>
      <c r="RGW45" s="137"/>
      <c r="RGX45" s="137"/>
      <c r="RGY45" s="137"/>
      <c r="RGZ45" s="137"/>
      <c r="RHA45" s="137"/>
      <c r="RHB45" s="137"/>
      <c r="RHC45" s="137"/>
      <c r="RHD45" s="137"/>
      <c r="RHE45" s="137"/>
      <c r="RHF45" s="137"/>
      <c r="RHG45" s="137"/>
      <c r="RHH45" s="137"/>
      <c r="RHI45" s="137"/>
      <c r="RHJ45" s="137"/>
      <c r="RHK45" s="137"/>
      <c r="RHL45" s="137"/>
      <c r="RHM45" s="137"/>
      <c r="RHN45" s="137"/>
      <c r="RHO45" s="137"/>
      <c r="RHP45" s="137"/>
      <c r="RHQ45" s="137"/>
      <c r="RHR45" s="137"/>
      <c r="RHS45" s="137"/>
      <c r="RHT45" s="137"/>
      <c r="RHU45" s="137"/>
      <c r="RHV45" s="137"/>
      <c r="RHW45" s="137"/>
      <c r="RHX45" s="137"/>
      <c r="RHY45" s="137"/>
      <c r="RHZ45" s="137"/>
      <c r="RIA45" s="137"/>
      <c r="RIB45" s="137"/>
      <c r="RIC45" s="137"/>
      <c r="RID45" s="137"/>
      <c r="RIE45" s="137"/>
      <c r="RIF45" s="137"/>
      <c r="RIG45" s="137"/>
      <c r="RIH45" s="137"/>
      <c r="RII45" s="137"/>
      <c r="RIJ45" s="137"/>
      <c r="RIK45" s="137"/>
      <c r="RIL45" s="137"/>
      <c r="RIM45" s="137"/>
      <c r="RIN45" s="137"/>
      <c r="RIO45" s="137"/>
      <c r="RIP45" s="137"/>
      <c r="RIQ45" s="137"/>
      <c r="RIR45" s="137"/>
      <c r="RIS45" s="137"/>
      <c r="RIT45" s="137"/>
      <c r="RIU45" s="137"/>
      <c r="RIV45" s="137"/>
      <c r="RIW45" s="137"/>
      <c r="RIX45" s="137"/>
      <c r="RIY45" s="137"/>
      <c r="RIZ45" s="137"/>
      <c r="RJA45" s="137"/>
      <c r="RJB45" s="137"/>
      <c r="RJC45" s="137"/>
      <c r="RJD45" s="137"/>
      <c r="RJE45" s="137"/>
      <c r="RJF45" s="137"/>
      <c r="RJG45" s="137"/>
      <c r="RJH45" s="137"/>
      <c r="RJI45" s="137"/>
      <c r="RJJ45" s="137"/>
      <c r="RJK45" s="137"/>
      <c r="RJL45" s="137"/>
      <c r="RJM45" s="137"/>
      <c r="RJN45" s="137"/>
      <c r="RJO45" s="137"/>
      <c r="RJP45" s="137"/>
      <c r="RJQ45" s="137"/>
      <c r="RJR45" s="137"/>
      <c r="RJS45" s="137"/>
      <c r="RJT45" s="137"/>
      <c r="RJU45" s="137"/>
      <c r="RJV45" s="137"/>
      <c r="RJW45" s="137"/>
      <c r="RJX45" s="137"/>
      <c r="RJY45" s="137"/>
      <c r="RJZ45" s="137"/>
      <c r="RKA45" s="137"/>
      <c r="RKB45" s="137"/>
      <c r="RKC45" s="137"/>
      <c r="RKD45" s="137"/>
      <c r="RKE45" s="137"/>
      <c r="RKF45" s="137"/>
      <c r="RKG45" s="137"/>
      <c r="RKH45" s="137"/>
      <c r="RKI45" s="137"/>
      <c r="RKJ45" s="137"/>
      <c r="RKK45" s="137"/>
      <c r="RKL45" s="137"/>
      <c r="RKM45" s="137"/>
      <c r="RKN45" s="137"/>
      <c r="RKO45" s="137"/>
      <c r="RKP45" s="137"/>
      <c r="RKQ45" s="137"/>
      <c r="RKR45" s="137"/>
      <c r="RKS45" s="137"/>
      <c r="RKT45" s="137"/>
      <c r="RKU45" s="137"/>
      <c r="RKV45" s="137"/>
      <c r="RKW45" s="137"/>
      <c r="RKX45" s="137"/>
      <c r="RKY45" s="137"/>
      <c r="RKZ45" s="137"/>
      <c r="RLA45" s="137"/>
      <c r="RLB45" s="137"/>
      <c r="RLC45" s="137"/>
      <c r="RLD45" s="137"/>
      <c r="RLE45" s="137"/>
      <c r="RLF45" s="137"/>
      <c r="RLG45" s="137"/>
      <c r="RLH45" s="137"/>
      <c r="RLI45" s="137"/>
      <c r="RLJ45" s="137"/>
      <c r="RLK45" s="137"/>
      <c r="RLL45" s="137"/>
      <c r="RLM45" s="137"/>
      <c r="RLN45" s="137"/>
      <c r="RLO45" s="137"/>
      <c r="RLP45" s="137"/>
      <c r="RLQ45" s="137"/>
      <c r="RLR45" s="137"/>
      <c r="RLS45" s="137"/>
      <c r="RLT45" s="137"/>
      <c r="RLU45" s="137"/>
      <c r="RLV45" s="137"/>
      <c r="RLW45" s="137"/>
      <c r="RLX45" s="137"/>
      <c r="RLY45" s="137"/>
      <c r="RLZ45" s="137"/>
      <c r="RMA45" s="137"/>
      <c r="RMB45" s="137"/>
      <c r="RMC45" s="137"/>
      <c r="RMD45" s="137"/>
      <c r="RME45" s="137"/>
      <c r="RMF45" s="137"/>
      <c r="RMG45" s="137"/>
      <c r="RMH45" s="137"/>
      <c r="RMI45" s="137"/>
      <c r="RMJ45" s="137"/>
      <c r="RMK45" s="137"/>
      <c r="RML45" s="137"/>
      <c r="RMM45" s="137"/>
      <c r="RMN45" s="137"/>
      <c r="RMO45" s="137"/>
      <c r="RMP45" s="137"/>
      <c r="RMQ45" s="137"/>
      <c r="RMR45" s="137"/>
      <c r="RMS45" s="137"/>
      <c r="RMT45" s="137"/>
      <c r="RMU45" s="137"/>
      <c r="RMV45" s="137"/>
      <c r="RMW45" s="137"/>
      <c r="RMX45" s="137"/>
      <c r="RMY45" s="137"/>
      <c r="RMZ45" s="137"/>
      <c r="RNA45" s="137"/>
      <c r="RNB45" s="137"/>
      <c r="RNC45" s="137"/>
      <c r="RND45" s="137"/>
      <c r="RNE45" s="137"/>
      <c r="RNF45" s="137"/>
      <c r="RNG45" s="137"/>
      <c r="RNH45" s="137"/>
      <c r="RNI45" s="137"/>
      <c r="RNJ45" s="137"/>
      <c r="RNK45" s="137"/>
      <c r="RNL45" s="137"/>
      <c r="RNM45" s="137"/>
      <c r="RNN45" s="137"/>
      <c r="RNO45" s="137"/>
      <c r="RNP45" s="137"/>
      <c r="RNQ45" s="137"/>
      <c r="RNR45" s="137"/>
      <c r="RNS45" s="137"/>
      <c r="RNT45" s="137"/>
      <c r="RNU45" s="137"/>
      <c r="RNV45" s="137"/>
      <c r="RNW45" s="137"/>
      <c r="RNX45" s="137"/>
      <c r="RNY45" s="137"/>
      <c r="RNZ45" s="137"/>
      <c r="ROA45" s="137"/>
      <c r="ROB45" s="137"/>
      <c r="ROC45" s="137"/>
      <c r="ROD45" s="137"/>
      <c r="ROE45" s="137"/>
      <c r="ROF45" s="137"/>
      <c r="ROG45" s="137"/>
      <c r="ROH45" s="137"/>
      <c r="ROI45" s="137"/>
      <c r="ROJ45" s="137"/>
      <c r="ROK45" s="137"/>
      <c r="ROL45" s="137"/>
      <c r="ROM45" s="137"/>
      <c r="RON45" s="137"/>
      <c r="ROO45" s="137"/>
      <c r="ROP45" s="137"/>
      <c r="ROQ45" s="137"/>
      <c r="ROR45" s="137"/>
      <c r="ROS45" s="137"/>
      <c r="ROT45" s="137"/>
      <c r="ROU45" s="137"/>
      <c r="ROV45" s="137"/>
      <c r="ROW45" s="137"/>
      <c r="ROX45" s="137"/>
      <c r="ROY45" s="137"/>
      <c r="ROZ45" s="137"/>
      <c r="RPA45" s="137"/>
      <c r="RPB45" s="137"/>
      <c r="RPC45" s="137"/>
      <c r="RPD45" s="137"/>
      <c r="RPE45" s="137"/>
      <c r="RPF45" s="137"/>
      <c r="RPG45" s="137"/>
      <c r="RPH45" s="137"/>
      <c r="RPI45" s="137"/>
      <c r="RPJ45" s="137"/>
      <c r="RPK45" s="137"/>
      <c r="RPL45" s="137"/>
      <c r="RPM45" s="137"/>
      <c r="RPN45" s="137"/>
      <c r="RPO45" s="137"/>
      <c r="RPP45" s="137"/>
      <c r="RPQ45" s="137"/>
      <c r="RPR45" s="137"/>
      <c r="RPS45" s="137"/>
      <c r="RPT45" s="137"/>
      <c r="RPU45" s="137"/>
      <c r="RPV45" s="137"/>
      <c r="RPW45" s="137"/>
      <c r="RPX45" s="137"/>
      <c r="RPY45" s="137"/>
      <c r="RPZ45" s="137"/>
      <c r="RQA45" s="137"/>
      <c r="RQB45" s="137"/>
      <c r="RQC45" s="137"/>
      <c r="RQD45" s="137"/>
      <c r="RQE45" s="137"/>
      <c r="RQF45" s="137"/>
      <c r="RQG45" s="137"/>
      <c r="RQH45" s="137"/>
      <c r="RQI45" s="137"/>
      <c r="RQJ45" s="137"/>
      <c r="RQK45" s="137"/>
      <c r="RQL45" s="137"/>
      <c r="RQM45" s="137"/>
      <c r="RQN45" s="137"/>
      <c r="RQO45" s="137"/>
      <c r="RQP45" s="137"/>
      <c r="RQQ45" s="137"/>
      <c r="RQR45" s="137"/>
      <c r="RQS45" s="137"/>
      <c r="RQT45" s="137"/>
      <c r="RQU45" s="137"/>
      <c r="RQV45" s="137"/>
      <c r="RQW45" s="137"/>
      <c r="RQX45" s="137"/>
      <c r="RQY45" s="137"/>
      <c r="RQZ45" s="137"/>
      <c r="RRA45" s="137"/>
      <c r="RRB45" s="137"/>
      <c r="RRC45" s="137"/>
      <c r="RRD45" s="137"/>
      <c r="RRE45" s="137"/>
      <c r="RRF45" s="137"/>
      <c r="RRG45" s="137"/>
      <c r="RRH45" s="137"/>
      <c r="RRI45" s="137"/>
      <c r="RRJ45" s="137"/>
      <c r="RRK45" s="137"/>
      <c r="RRL45" s="137"/>
      <c r="RRM45" s="137"/>
      <c r="RRN45" s="137"/>
      <c r="RRO45" s="137"/>
      <c r="RRP45" s="137"/>
      <c r="RRQ45" s="137"/>
      <c r="RRR45" s="137"/>
      <c r="RRS45" s="137"/>
      <c r="RRT45" s="137"/>
      <c r="RRU45" s="137"/>
      <c r="RRV45" s="137"/>
      <c r="RRW45" s="137"/>
      <c r="RRX45" s="137"/>
      <c r="RRY45" s="137"/>
      <c r="RRZ45" s="137"/>
      <c r="RSA45" s="137"/>
      <c r="RSB45" s="137"/>
      <c r="RSC45" s="137"/>
      <c r="RSD45" s="137"/>
      <c r="RSE45" s="137"/>
      <c r="RSF45" s="137"/>
      <c r="RSG45" s="137"/>
      <c r="RSH45" s="137"/>
      <c r="RSI45" s="137"/>
      <c r="RSJ45" s="137"/>
      <c r="RSK45" s="137"/>
      <c r="RSL45" s="137"/>
      <c r="RSM45" s="137"/>
      <c r="RSN45" s="137"/>
      <c r="RSO45" s="137"/>
      <c r="RSP45" s="137"/>
      <c r="RSQ45" s="137"/>
      <c r="RSR45" s="137"/>
      <c r="RSS45" s="137"/>
      <c r="RST45" s="137"/>
      <c r="RSU45" s="137"/>
      <c r="RSV45" s="137"/>
      <c r="RSW45" s="137"/>
      <c r="RSX45" s="137"/>
      <c r="RSY45" s="137"/>
      <c r="RSZ45" s="137"/>
      <c r="RTA45" s="137"/>
      <c r="RTB45" s="137"/>
      <c r="RTC45" s="137"/>
      <c r="RTD45" s="137"/>
      <c r="RTE45" s="137"/>
      <c r="RTF45" s="137"/>
      <c r="RTG45" s="137"/>
      <c r="RTH45" s="137"/>
      <c r="RTI45" s="137"/>
      <c r="RTJ45" s="137"/>
      <c r="RTK45" s="137"/>
      <c r="RTL45" s="137"/>
      <c r="RTM45" s="137"/>
      <c r="RTN45" s="137"/>
      <c r="RTO45" s="137"/>
      <c r="RTP45" s="137"/>
      <c r="RTQ45" s="137"/>
      <c r="RTR45" s="137"/>
      <c r="RTS45" s="137"/>
      <c r="RTT45" s="137"/>
      <c r="RTU45" s="137"/>
      <c r="RTV45" s="137"/>
      <c r="RTW45" s="137"/>
      <c r="RTX45" s="137"/>
      <c r="RTY45" s="137"/>
      <c r="RTZ45" s="137"/>
      <c r="RUA45" s="137"/>
      <c r="RUB45" s="137"/>
      <c r="RUC45" s="137"/>
      <c r="RUD45" s="137"/>
      <c r="RUE45" s="137"/>
      <c r="RUF45" s="137"/>
      <c r="RUG45" s="137"/>
      <c r="RUH45" s="137"/>
      <c r="RUI45" s="137"/>
      <c r="RUJ45" s="137"/>
      <c r="RUK45" s="137"/>
      <c r="RUL45" s="137"/>
      <c r="RUM45" s="137"/>
      <c r="RUN45" s="137"/>
      <c r="RUO45" s="137"/>
      <c r="RUP45" s="137"/>
      <c r="RUQ45" s="137"/>
      <c r="RUR45" s="137"/>
      <c r="RUS45" s="137"/>
      <c r="RUT45" s="137"/>
      <c r="RUU45" s="137"/>
      <c r="RUV45" s="137"/>
      <c r="RUW45" s="137"/>
      <c r="RUX45" s="137"/>
      <c r="RUY45" s="137"/>
      <c r="RUZ45" s="137"/>
      <c r="RVA45" s="137"/>
      <c r="RVB45" s="137"/>
      <c r="RVC45" s="137"/>
      <c r="RVD45" s="137"/>
      <c r="RVE45" s="137"/>
      <c r="RVF45" s="137"/>
      <c r="RVG45" s="137"/>
      <c r="RVH45" s="137"/>
      <c r="RVI45" s="137"/>
      <c r="RVJ45" s="137"/>
      <c r="RVK45" s="137"/>
      <c r="RVL45" s="137"/>
      <c r="RVM45" s="137"/>
      <c r="RVN45" s="137"/>
      <c r="RVO45" s="137"/>
      <c r="RVP45" s="137"/>
      <c r="RVQ45" s="137"/>
      <c r="RVR45" s="137"/>
      <c r="RVS45" s="137"/>
      <c r="RVT45" s="137"/>
      <c r="RVU45" s="137"/>
      <c r="RVV45" s="137"/>
      <c r="RVW45" s="137"/>
      <c r="RVX45" s="137"/>
      <c r="RVY45" s="137"/>
      <c r="RVZ45" s="137"/>
      <c r="RWA45" s="137"/>
      <c r="RWB45" s="137"/>
      <c r="RWC45" s="137"/>
      <c r="RWD45" s="137"/>
      <c r="RWE45" s="137"/>
      <c r="RWF45" s="137"/>
      <c r="RWG45" s="137"/>
      <c r="RWH45" s="137"/>
      <c r="RWI45" s="137"/>
      <c r="RWJ45" s="137"/>
      <c r="RWK45" s="137"/>
      <c r="RWL45" s="137"/>
      <c r="RWM45" s="137"/>
      <c r="RWN45" s="137"/>
      <c r="RWO45" s="137"/>
      <c r="RWP45" s="137"/>
      <c r="RWQ45" s="137"/>
      <c r="RWR45" s="137"/>
      <c r="RWS45" s="137"/>
      <c r="RWT45" s="137"/>
      <c r="RWU45" s="137"/>
      <c r="RWV45" s="137"/>
      <c r="RWW45" s="137"/>
      <c r="RWX45" s="137"/>
      <c r="RWY45" s="137"/>
      <c r="RWZ45" s="137"/>
      <c r="RXA45" s="137"/>
      <c r="RXB45" s="137"/>
      <c r="RXC45" s="137"/>
      <c r="RXD45" s="137"/>
      <c r="RXE45" s="137"/>
      <c r="RXF45" s="137"/>
      <c r="RXG45" s="137"/>
      <c r="RXH45" s="137"/>
      <c r="RXI45" s="137"/>
      <c r="RXJ45" s="137"/>
      <c r="RXK45" s="137"/>
      <c r="RXL45" s="137"/>
      <c r="RXM45" s="137"/>
      <c r="RXN45" s="137"/>
      <c r="RXO45" s="137"/>
      <c r="RXP45" s="137"/>
      <c r="RXQ45" s="137"/>
      <c r="RXR45" s="137"/>
      <c r="RXS45" s="137"/>
      <c r="RXT45" s="137"/>
      <c r="RXU45" s="137"/>
      <c r="RXV45" s="137"/>
      <c r="RXW45" s="137"/>
      <c r="RXX45" s="137"/>
      <c r="RXY45" s="137"/>
      <c r="RXZ45" s="137"/>
      <c r="RYA45" s="137"/>
      <c r="RYB45" s="137"/>
      <c r="RYC45" s="137"/>
      <c r="RYD45" s="137"/>
      <c r="RYE45" s="137"/>
      <c r="RYF45" s="137"/>
      <c r="RYG45" s="137"/>
      <c r="RYH45" s="137"/>
      <c r="RYI45" s="137"/>
      <c r="RYJ45" s="137"/>
      <c r="RYK45" s="137"/>
      <c r="RYL45" s="137"/>
      <c r="RYM45" s="137"/>
      <c r="RYN45" s="137"/>
      <c r="RYO45" s="137"/>
      <c r="RYP45" s="137"/>
      <c r="RYQ45" s="137"/>
      <c r="RYR45" s="137"/>
      <c r="RYS45" s="137"/>
      <c r="RYT45" s="137"/>
      <c r="RYU45" s="137"/>
      <c r="RYV45" s="137"/>
      <c r="RYW45" s="137"/>
      <c r="RYX45" s="137"/>
      <c r="RYY45" s="137"/>
      <c r="RYZ45" s="137"/>
      <c r="RZA45" s="137"/>
      <c r="RZB45" s="137"/>
      <c r="RZC45" s="137"/>
      <c r="RZD45" s="137"/>
      <c r="RZE45" s="137"/>
      <c r="RZF45" s="137"/>
      <c r="RZG45" s="137"/>
      <c r="RZH45" s="137"/>
      <c r="RZI45" s="137"/>
      <c r="RZJ45" s="137"/>
      <c r="RZK45" s="137"/>
      <c r="RZL45" s="137"/>
      <c r="RZM45" s="137"/>
      <c r="RZN45" s="137"/>
      <c r="RZO45" s="137"/>
      <c r="RZP45" s="137"/>
      <c r="RZQ45" s="137"/>
      <c r="RZR45" s="137"/>
      <c r="RZS45" s="137"/>
      <c r="RZT45" s="137"/>
      <c r="RZU45" s="137"/>
      <c r="RZV45" s="137"/>
      <c r="RZW45" s="137"/>
      <c r="RZX45" s="137"/>
      <c r="RZY45" s="137"/>
      <c r="RZZ45" s="137"/>
      <c r="SAA45" s="137"/>
      <c r="SAB45" s="137"/>
      <c r="SAC45" s="137"/>
      <c r="SAD45" s="137"/>
      <c r="SAE45" s="137"/>
      <c r="SAF45" s="137"/>
      <c r="SAG45" s="137"/>
      <c r="SAH45" s="137"/>
      <c r="SAI45" s="137"/>
      <c r="SAJ45" s="137"/>
      <c r="SAK45" s="137"/>
      <c r="SAL45" s="137"/>
      <c r="SAM45" s="137"/>
      <c r="SAN45" s="137"/>
      <c r="SAO45" s="137"/>
      <c r="SAP45" s="137"/>
      <c r="SAQ45" s="137"/>
      <c r="SAR45" s="137"/>
      <c r="SAS45" s="137"/>
      <c r="SAT45" s="137"/>
      <c r="SAU45" s="137"/>
      <c r="SAV45" s="137"/>
      <c r="SAW45" s="137"/>
      <c r="SAX45" s="137"/>
      <c r="SAY45" s="137"/>
      <c r="SAZ45" s="137"/>
      <c r="SBA45" s="137"/>
      <c r="SBB45" s="137"/>
      <c r="SBC45" s="137"/>
      <c r="SBD45" s="137"/>
      <c r="SBE45" s="137"/>
      <c r="SBF45" s="137"/>
      <c r="SBG45" s="137"/>
      <c r="SBH45" s="137"/>
      <c r="SBI45" s="137"/>
      <c r="SBJ45" s="137"/>
      <c r="SBK45" s="137"/>
      <c r="SBL45" s="137"/>
      <c r="SBM45" s="137"/>
      <c r="SBN45" s="137"/>
      <c r="SBO45" s="137"/>
      <c r="SBP45" s="137"/>
      <c r="SBQ45" s="137"/>
      <c r="SBR45" s="137"/>
      <c r="SBS45" s="137"/>
      <c r="SBT45" s="137"/>
      <c r="SBU45" s="137"/>
      <c r="SBV45" s="137"/>
      <c r="SBW45" s="137"/>
      <c r="SBX45" s="137"/>
      <c r="SBY45" s="137"/>
      <c r="SBZ45" s="137"/>
      <c r="SCA45" s="137"/>
      <c r="SCB45" s="137"/>
      <c r="SCC45" s="137"/>
      <c r="SCD45" s="137"/>
      <c r="SCE45" s="137"/>
      <c r="SCF45" s="137"/>
      <c r="SCG45" s="137"/>
      <c r="SCH45" s="137"/>
      <c r="SCI45" s="137"/>
      <c r="SCJ45" s="137"/>
      <c r="SCK45" s="137"/>
      <c r="SCL45" s="137"/>
      <c r="SCM45" s="137"/>
      <c r="SCN45" s="137"/>
      <c r="SCO45" s="137"/>
      <c r="SCP45" s="137"/>
      <c r="SCQ45" s="137"/>
      <c r="SCR45" s="137"/>
      <c r="SCS45" s="137"/>
      <c r="SCT45" s="137"/>
      <c r="SCU45" s="137"/>
      <c r="SCV45" s="137"/>
      <c r="SCW45" s="137"/>
      <c r="SCX45" s="137"/>
      <c r="SCY45" s="137"/>
      <c r="SCZ45" s="137"/>
      <c r="SDA45" s="137"/>
      <c r="SDB45" s="137"/>
      <c r="SDC45" s="137"/>
      <c r="SDD45" s="137"/>
      <c r="SDE45" s="137"/>
      <c r="SDF45" s="137"/>
      <c r="SDG45" s="137"/>
      <c r="SDH45" s="137"/>
      <c r="SDI45" s="137"/>
      <c r="SDJ45" s="137"/>
      <c r="SDK45" s="137"/>
      <c r="SDL45" s="137"/>
      <c r="SDM45" s="137"/>
      <c r="SDN45" s="137"/>
      <c r="SDO45" s="137"/>
      <c r="SDP45" s="137"/>
      <c r="SDQ45" s="137"/>
      <c r="SDR45" s="137"/>
      <c r="SDS45" s="137"/>
      <c r="SDT45" s="137"/>
      <c r="SDU45" s="137"/>
      <c r="SDV45" s="137"/>
      <c r="SDW45" s="137"/>
      <c r="SDX45" s="137"/>
      <c r="SDY45" s="137"/>
      <c r="SDZ45" s="137"/>
      <c r="SEA45" s="137"/>
      <c r="SEB45" s="137"/>
      <c r="SEC45" s="137"/>
      <c r="SED45" s="137"/>
      <c r="SEE45" s="137"/>
      <c r="SEF45" s="137"/>
      <c r="SEG45" s="137"/>
      <c r="SEH45" s="137"/>
      <c r="SEI45" s="137"/>
      <c r="SEJ45" s="137"/>
      <c r="SEK45" s="137"/>
      <c r="SEL45" s="137"/>
      <c r="SEM45" s="137"/>
      <c r="SEN45" s="137"/>
      <c r="SEO45" s="137"/>
      <c r="SEP45" s="137"/>
      <c r="SEQ45" s="137"/>
      <c r="SER45" s="137"/>
      <c r="SES45" s="137"/>
      <c r="SET45" s="137"/>
      <c r="SEU45" s="137"/>
      <c r="SEV45" s="137"/>
      <c r="SEW45" s="137"/>
      <c r="SEX45" s="137"/>
      <c r="SEY45" s="137"/>
      <c r="SEZ45" s="137"/>
      <c r="SFA45" s="137"/>
      <c r="SFB45" s="137"/>
      <c r="SFC45" s="137"/>
      <c r="SFD45" s="137"/>
      <c r="SFE45" s="137"/>
      <c r="SFF45" s="137"/>
      <c r="SFG45" s="137"/>
      <c r="SFH45" s="137"/>
      <c r="SFI45" s="137"/>
      <c r="SFJ45" s="137"/>
      <c r="SFK45" s="137"/>
      <c r="SFL45" s="137"/>
      <c r="SFM45" s="137"/>
      <c r="SFN45" s="137"/>
      <c r="SFO45" s="137"/>
      <c r="SFP45" s="137"/>
      <c r="SFQ45" s="137"/>
      <c r="SFR45" s="137"/>
      <c r="SFS45" s="137"/>
      <c r="SFT45" s="137"/>
      <c r="SFU45" s="137"/>
      <c r="SFV45" s="137"/>
      <c r="SFW45" s="137"/>
      <c r="SFX45" s="137"/>
      <c r="SFY45" s="137"/>
      <c r="SFZ45" s="137"/>
      <c r="SGA45" s="137"/>
      <c r="SGB45" s="137"/>
      <c r="SGC45" s="137"/>
      <c r="SGD45" s="137"/>
      <c r="SGE45" s="137"/>
      <c r="SGF45" s="137"/>
      <c r="SGG45" s="137"/>
      <c r="SGH45" s="137"/>
      <c r="SGI45" s="137"/>
      <c r="SGJ45" s="137"/>
      <c r="SGK45" s="137"/>
      <c r="SGL45" s="137"/>
      <c r="SGM45" s="137"/>
      <c r="SGN45" s="137"/>
      <c r="SGO45" s="137"/>
      <c r="SGP45" s="137"/>
      <c r="SGQ45" s="137"/>
      <c r="SGR45" s="137"/>
      <c r="SGS45" s="137"/>
      <c r="SGT45" s="137"/>
      <c r="SGU45" s="137"/>
      <c r="SGV45" s="137"/>
      <c r="SGW45" s="137"/>
      <c r="SGX45" s="137"/>
      <c r="SGY45" s="137"/>
      <c r="SGZ45" s="137"/>
      <c r="SHA45" s="137"/>
      <c r="SHB45" s="137"/>
      <c r="SHC45" s="137"/>
      <c r="SHD45" s="137"/>
      <c r="SHE45" s="137"/>
      <c r="SHF45" s="137"/>
      <c r="SHG45" s="137"/>
      <c r="SHH45" s="137"/>
      <c r="SHI45" s="137"/>
      <c r="SHJ45" s="137"/>
      <c r="SHK45" s="137"/>
      <c r="SHL45" s="137"/>
      <c r="SHM45" s="137"/>
      <c r="SHN45" s="137"/>
      <c r="SHO45" s="137"/>
      <c r="SHP45" s="137"/>
      <c r="SHQ45" s="137"/>
      <c r="SHR45" s="137"/>
      <c r="SHS45" s="137"/>
      <c r="SHT45" s="137"/>
      <c r="SHU45" s="137"/>
      <c r="SHV45" s="137"/>
      <c r="SHW45" s="137"/>
      <c r="SHX45" s="137"/>
      <c r="SHY45" s="137"/>
      <c r="SHZ45" s="137"/>
      <c r="SIA45" s="137"/>
      <c r="SIB45" s="137"/>
      <c r="SIC45" s="137"/>
      <c r="SID45" s="137"/>
      <c r="SIE45" s="137"/>
      <c r="SIF45" s="137"/>
      <c r="SIG45" s="137"/>
      <c r="SIH45" s="137"/>
      <c r="SII45" s="137"/>
      <c r="SIJ45" s="137"/>
      <c r="SIK45" s="137"/>
      <c r="SIL45" s="137"/>
      <c r="SIM45" s="137"/>
      <c r="SIN45" s="137"/>
      <c r="SIO45" s="137"/>
      <c r="SIP45" s="137"/>
      <c r="SIQ45" s="137"/>
      <c r="SIR45" s="137"/>
      <c r="SIS45" s="137"/>
      <c r="SIT45" s="137"/>
      <c r="SIU45" s="137"/>
      <c r="SIV45" s="137"/>
      <c r="SIW45" s="137"/>
      <c r="SIX45" s="137"/>
      <c r="SIY45" s="137"/>
      <c r="SIZ45" s="137"/>
      <c r="SJA45" s="137"/>
      <c r="SJB45" s="137"/>
      <c r="SJC45" s="137"/>
      <c r="SJD45" s="137"/>
      <c r="SJE45" s="137"/>
      <c r="SJF45" s="137"/>
      <c r="SJG45" s="137"/>
      <c r="SJH45" s="137"/>
      <c r="SJI45" s="137"/>
      <c r="SJJ45" s="137"/>
      <c r="SJK45" s="137"/>
      <c r="SJL45" s="137"/>
      <c r="SJM45" s="137"/>
      <c r="SJN45" s="137"/>
      <c r="SJO45" s="137"/>
      <c r="SJP45" s="137"/>
      <c r="SJQ45" s="137"/>
      <c r="SJR45" s="137"/>
      <c r="SJS45" s="137"/>
      <c r="SJT45" s="137"/>
      <c r="SJU45" s="137"/>
      <c r="SJV45" s="137"/>
      <c r="SJW45" s="137"/>
      <c r="SJX45" s="137"/>
      <c r="SJY45" s="137"/>
      <c r="SJZ45" s="137"/>
      <c r="SKA45" s="137"/>
      <c r="SKB45" s="137"/>
      <c r="SKC45" s="137"/>
      <c r="SKD45" s="137"/>
      <c r="SKE45" s="137"/>
      <c r="SKF45" s="137"/>
      <c r="SKG45" s="137"/>
      <c r="SKH45" s="137"/>
      <c r="SKI45" s="137"/>
      <c r="SKJ45" s="137"/>
      <c r="SKK45" s="137"/>
      <c r="SKL45" s="137"/>
      <c r="SKM45" s="137"/>
      <c r="SKN45" s="137"/>
      <c r="SKO45" s="137"/>
      <c r="SKP45" s="137"/>
      <c r="SKQ45" s="137"/>
      <c r="SKR45" s="137"/>
      <c r="SKS45" s="137"/>
      <c r="SKT45" s="137"/>
      <c r="SKU45" s="137"/>
      <c r="SKV45" s="137"/>
      <c r="SKW45" s="137"/>
      <c r="SKX45" s="137"/>
      <c r="SKY45" s="137"/>
      <c r="SKZ45" s="137"/>
      <c r="SLA45" s="137"/>
      <c r="SLB45" s="137"/>
      <c r="SLC45" s="137"/>
      <c r="SLD45" s="137"/>
      <c r="SLE45" s="137"/>
      <c r="SLF45" s="137"/>
      <c r="SLG45" s="137"/>
      <c r="SLH45" s="137"/>
      <c r="SLI45" s="137"/>
      <c r="SLJ45" s="137"/>
      <c r="SLK45" s="137"/>
      <c r="SLL45" s="137"/>
      <c r="SLM45" s="137"/>
      <c r="SLN45" s="137"/>
      <c r="SLO45" s="137"/>
      <c r="SLP45" s="137"/>
      <c r="SLQ45" s="137"/>
      <c r="SLR45" s="137"/>
      <c r="SLS45" s="137"/>
      <c r="SLT45" s="137"/>
      <c r="SLU45" s="137"/>
      <c r="SLV45" s="137"/>
      <c r="SLW45" s="137"/>
      <c r="SLX45" s="137"/>
      <c r="SLY45" s="137"/>
      <c r="SLZ45" s="137"/>
      <c r="SMA45" s="137"/>
      <c r="SMB45" s="137"/>
      <c r="SMC45" s="137"/>
      <c r="SMD45" s="137"/>
      <c r="SME45" s="137"/>
      <c r="SMF45" s="137"/>
      <c r="SMG45" s="137"/>
      <c r="SMH45" s="137"/>
      <c r="SMI45" s="137"/>
      <c r="SMJ45" s="137"/>
      <c r="SMK45" s="137"/>
      <c r="SML45" s="137"/>
      <c r="SMM45" s="137"/>
      <c r="SMN45" s="137"/>
      <c r="SMO45" s="137"/>
      <c r="SMP45" s="137"/>
      <c r="SMQ45" s="137"/>
      <c r="SMR45" s="137"/>
      <c r="SMS45" s="137"/>
      <c r="SMT45" s="137"/>
      <c r="SMU45" s="137"/>
      <c r="SMV45" s="137"/>
      <c r="SMW45" s="137"/>
      <c r="SMX45" s="137"/>
      <c r="SMY45" s="137"/>
      <c r="SMZ45" s="137"/>
      <c r="SNA45" s="137"/>
      <c r="SNB45" s="137"/>
      <c r="SNC45" s="137"/>
      <c r="SND45" s="137"/>
      <c r="SNE45" s="137"/>
      <c r="SNF45" s="137"/>
      <c r="SNG45" s="137"/>
      <c r="SNH45" s="137"/>
      <c r="SNI45" s="137"/>
      <c r="SNJ45" s="137"/>
      <c r="SNK45" s="137"/>
      <c r="SNL45" s="137"/>
      <c r="SNM45" s="137"/>
      <c r="SNN45" s="137"/>
      <c r="SNO45" s="137"/>
      <c r="SNP45" s="137"/>
      <c r="SNQ45" s="137"/>
      <c r="SNR45" s="137"/>
      <c r="SNS45" s="137"/>
      <c r="SNT45" s="137"/>
      <c r="SNU45" s="137"/>
      <c r="SNV45" s="137"/>
      <c r="SNW45" s="137"/>
      <c r="SNX45" s="137"/>
      <c r="SNY45" s="137"/>
      <c r="SNZ45" s="137"/>
      <c r="SOA45" s="137"/>
      <c r="SOB45" s="137"/>
      <c r="SOC45" s="137"/>
      <c r="SOD45" s="137"/>
      <c r="SOE45" s="137"/>
      <c r="SOF45" s="137"/>
      <c r="SOG45" s="137"/>
      <c r="SOH45" s="137"/>
      <c r="SOI45" s="137"/>
      <c r="SOJ45" s="137"/>
      <c r="SOK45" s="137"/>
      <c r="SOL45" s="137"/>
      <c r="SOM45" s="137"/>
      <c r="SON45" s="137"/>
      <c r="SOO45" s="137"/>
      <c r="SOP45" s="137"/>
      <c r="SOQ45" s="137"/>
      <c r="SOR45" s="137"/>
      <c r="SOS45" s="137"/>
      <c r="SOT45" s="137"/>
      <c r="SOU45" s="137"/>
      <c r="SOV45" s="137"/>
      <c r="SOW45" s="137"/>
      <c r="SOX45" s="137"/>
      <c r="SOY45" s="137"/>
      <c r="SOZ45" s="137"/>
      <c r="SPA45" s="137"/>
      <c r="SPB45" s="137"/>
      <c r="SPC45" s="137"/>
      <c r="SPD45" s="137"/>
      <c r="SPE45" s="137"/>
      <c r="SPF45" s="137"/>
      <c r="SPG45" s="137"/>
      <c r="SPH45" s="137"/>
      <c r="SPI45" s="137"/>
      <c r="SPJ45" s="137"/>
      <c r="SPK45" s="137"/>
      <c r="SPL45" s="137"/>
      <c r="SPM45" s="137"/>
      <c r="SPN45" s="137"/>
      <c r="SPO45" s="137"/>
      <c r="SPP45" s="137"/>
      <c r="SPQ45" s="137"/>
      <c r="SPR45" s="137"/>
      <c r="SPS45" s="137"/>
      <c r="SPT45" s="137"/>
      <c r="SPU45" s="137"/>
      <c r="SPV45" s="137"/>
      <c r="SPW45" s="137"/>
      <c r="SPX45" s="137"/>
      <c r="SPY45" s="137"/>
      <c r="SPZ45" s="137"/>
      <c r="SQA45" s="137"/>
      <c r="SQB45" s="137"/>
      <c r="SQC45" s="137"/>
      <c r="SQD45" s="137"/>
      <c r="SQE45" s="137"/>
      <c r="SQF45" s="137"/>
      <c r="SQG45" s="137"/>
      <c r="SQH45" s="137"/>
      <c r="SQI45" s="137"/>
      <c r="SQJ45" s="137"/>
      <c r="SQK45" s="137"/>
      <c r="SQL45" s="137"/>
      <c r="SQM45" s="137"/>
      <c r="SQN45" s="137"/>
      <c r="SQO45" s="137"/>
      <c r="SQP45" s="137"/>
      <c r="SQQ45" s="137"/>
      <c r="SQR45" s="137"/>
      <c r="SQS45" s="137"/>
      <c r="SQT45" s="137"/>
      <c r="SQU45" s="137"/>
      <c r="SQV45" s="137"/>
      <c r="SQW45" s="137"/>
      <c r="SQX45" s="137"/>
      <c r="SQY45" s="137"/>
      <c r="SQZ45" s="137"/>
      <c r="SRA45" s="137"/>
      <c r="SRB45" s="137"/>
      <c r="SRC45" s="137"/>
      <c r="SRD45" s="137"/>
      <c r="SRE45" s="137"/>
      <c r="SRF45" s="137"/>
      <c r="SRG45" s="137"/>
      <c r="SRH45" s="137"/>
      <c r="SRI45" s="137"/>
      <c r="SRJ45" s="137"/>
      <c r="SRK45" s="137"/>
      <c r="SRL45" s="137"/>
      <c r="SRM45" s="137"/>
      <c r="SRN45" s="137"/>
      <c r="SRO45" s="137"/>
      <c r="SRP45" s="137"/>
      <c r="SRQ45" s="137"/>
      <c r="SRR45" s="137"/>
      <c r="SRS45" s="137"/>
      <c r="SRT45" s="137"/>
      <c r="SRU45" s="137"/>
      <c r="SRV45" s="137"/>
      <c r="SRW45" s="137"/>
      <c r="SRX45" s="137"/>
      <c r="SRY45" s="137"/>
      <c r="SRZ45" s="137"/>
      <c r="SSA45" s="137"/>
      <c r="SSB45" s="137"/>
      <c r="SSC45" s="137"/>
      <c r="SSD45" s="137"/>
      <c r="SSE45" s="137"/>
      <c r="SSF45" s="137"/>
      <c r="SSG45" s="137"/>
      <c r="SSH45" s="137"/>
      <c r="SSI45" s="137"/>
      <c r="SSJ45" s="137"/>
      <c r="SSK45" s="137"/>
      <c r="SSL45" s="137"/>
      <c r="SSM45" s="137"/>
      <c r="SSN45" s="137"/>
      <c r="SSO45" s="137"/>
      <c r="SSP45" s="137"/>
      <c r="SSQ45" s="137"/>
      <c r="SSR45" s="137"/>
      <c r="SSS45" s="137"/>
      <c r="SST45" s="137"/>
      <c r="SSU45" s="137"/>
      <c r="SSV45" s="137"/>
      <c r="SSW45" s="137"/>
      <c r="SSX45" s="137"/>
      <c r="SSY45" s="137"/>
      <c r="SSZ45" s="137"/>
      <c r="STA45" s="137"/>
      <c r="STB45" s="137"/>
      <c r="STC45" s="137"/>
      <c r="STD45" s="137"/>
      <c r="STE45" s="137"/>
      <c r="STF45" s="137"/>
      <c r="STG45" s="137"/>
      <c r="STH45" s="137"/>
      <c r="STI45" s="137"/>
      <c r="STJ45" s="137"/>
      <c r="STK45" s="137"/>
      <c r="STL45" s="137"/>
      <c r="STM45" s="137"/>
      <c r="STN45" s="137"/>
      <c r="STO45" s="137"/>
      <c r="STP45" s="137"/>
      <c r="STQ45" s="137"/>
      <c r="STR45" s="137"/>
      <c r="STS45" s="137"/>
      <c r="STT45" s="137"/>
      <c r="STU45" s="137"/>
      <c r="STV45" s="137"/>
      <c r="STW45" s="137"/>
      <c r="STX45" s="137"/>
      <c r="STY45" s="137"/>
      <c r="STZ45" s="137"/>
      <c r="SUA45" s="137"/>
      <c r="SUB45" s="137"/>
      <c r="SUC45" s="137"/>
      <c r="SUD45" s="137"/>
      <c r="SUE45" s="137"/>
      <c r="SUF45" s="137"/>
      <c r="SUG45" s="137"/>
      <c r="SUH45" s="137"/>
      <c r="SUI45" s="137"/>
      <c r="SUJ45" s="137"/>
      <c r="SUK45" s="137"/>
      <c r="SUL45" s="137"/>
      <c r="SUM45" s="137"/>
      <c r="SUN45" s="137"/>
      <c r="SUO45" s="137"/>
      <c r="SUP45" s="137"/>
      <c r="SUQ45" s="137"/>
      <c r="SUR45" s="137"/>
      <c r="SUS45" s="137"/>
      <c r="SUT45" s="137"/>
      <c r="SUU45" s="137"/>
      <c r="SUV45" s="137"/>
      <c r="SUW45" s="137"/>
      <c r="SUX45" s="137"/>
      <c r="SUY45" s="137"/>
      <c r="SUZ45" s="137"/>
      <c r="SVA45" s="137"/>
      <c r="SVB45" s="137"/>
      <c r="SVC45" s="137"/>
      <c r="SVD45" s="137"/>
      <c r="SVE45" s="137"/>
      <c r="SVF45" s="137"/>
      <c r="SVG45" s="137"/>
      <c r="SVH45" s="137"/>
      <c r="SVI45" s="137"/>
      <c r="SVJ45" s="137"/>
      <c r="SVK45" s="137"/>
      <c r="SVL45" s="137"/>
      <c r="SVM45" s="137"/>
      <c r="SVN45" s="137"/>
      <c r="SVO45" s="137"/>
      <c r="SVP45" s="137"/>
      <c r="SVQ45" s="137"/>
      <c r="SVR45" s="137"/>
      <c r="SVS45" s="137"/>
      <c r="SVT45" s="137"/>
      <c r="SVU45" s="137"/>
      <c r="SVV45" s="137"/>
      <c r="SVW45" s="137"/>
      <c r="SVX45" s="137"/>
      <c r="SVY45" s="137"/>
      <c r="SVZ45" s="137"/>
      <c r="SWA45" s="137"/>
      <c r="SWB45" s="137"/>
      <c r="SWC45" s="137"/>
      <c r="SWD45" s="137"/>
      <c r="SWE45" s="137"/>
      <c r="SWF45" s="137"/>
      <c r="SWG45" s="137"/>
      <c r="SWH45" s="137"/>
      <c r="SWI45" s="137"/>
      <c r="SWJ45" s="137"/>
      <c r="SWK45" s="137"/>
      <c r="SWL45" s="137"/>
      <c r="SWM45" s="137"/>
      <c r="SWN45" s="137"/>
      <c r="SWO45" s="137"/>
      <c r="SWP45" s="137"/>
      <c r="SWQ45" s="137"/>
      <c r="SWR45" s="137"/>
      <c r="SWS45" s="137"/>
      <c r="SWT45" s="137"/>
      <c r="SWU45" s="137"/>
      <c r="SWV45" s="137"/>
      <c r="SWW45" s="137"/>
      <c r="SWX45" s="137"/>
      <c r="SWY45" s="137"/>
      <c r="SWZ45" s="137"/>
      <c r="SXA45" s="137"/>
      <c r="SXB45" s="137"/>
      <c r="SXC45" s="137"/>
      <c r="SXD45" s="137"/>
      <c r="SXE45" s="137"/>
      <c r="SXF45" s="137"/>
      <c r="SXG45" s="137"/>
      <c r="SXH45" s="137"/>
      <c r="SXI45" s="137"/>
      <c r="SXJ45" s="137"/>
      <c r="SXK45" s="137"/>
      <c r="SXL45" s="137"/>
      <c r="SXM45" s="137"/>
      <c r="SXN45" s="137"/>
      <c r="SXO45" s="137"/>
      <c r="SXP45" s="137"/>
      <c r="SXQ45" s="137"/>
      <c r="SXR45" s="137"/>
      <c r="SXS45" s="137"/>
      <c r="SXT45" s="137"/>
      <c r="SXU45" s="137"/>
      <c r="SXV45" s="137"/>
      <c r="SXW45" s="137"/>
      <c r="SXX45" s="137"/>
      <c r="SXY45" s="137"/>
      <c r="SXZ45" s="137"/>
      <c r="SYA45" s="137"/>
      <c r="SYB45" s="137"/>
      <c r="SYC45" s="137"/>
      <c r="SYD45" s="137"/>
      <c r="SYE45" s="137"/>
      <c r="SYF45" s="137"/>
      <c r="SYG45" s="137"/>
      <c r="SYH45" s="137"/>
      <c r="SYI45" s="137"/>
      <c r="SYJ45" s="137"/>
      <c r="SYK45" s="137"/>
      <c r="SYL45" s="137"/>
      <c r="SYM45" s="137"/>
      <c r="SYN45" s="137"/>
      <c r="SYO45" s="137"/>
      <c r="SYP45" s="137"/>
      <c r="SYQ45" s="137"/>
      <c r="SYR45" s="137"/>
      <c r="SYS45" s="137"/>
      <c r="SYT45" s="137"/>
      <c r="SYU45" s="137"/>
      <c r="SYV45" s="137"/>
      <c r="SYW45" s="137"/>
      <c r="SYX45" s="137"/>
      <c r="SYY45" s="137"/>
      <c r="SYZ45" s="137"/>
      <c r="SZA45" s="137"/>
      <c r="SZB45" s="137"/>
      <c r="SZC45" s="137"/>
      <c r="SZD45" s="137"/>
      <c r="SZE45" s="137"/>
      <c r="SZF45" s="137"/>
      <c r="SZG45" s="137"/>
      <c r="SZH45" s="137"/>
      <c r="SZI45" s="137"/>
      <c r="SZJ45" s="137"/>
      <c r="SZK45" s="137"/>
      <c r="SZL45" s="137"/>
      <c r="SZM45" s="137"/>
      <c r="SZN45" s="137"/>
      <c r="SZO45" s="137"/>
      <c r="SZP45" s="137"/>
      <c r="SZQ45" s="137"/>
      <c r="SZR45" s="137"/>
      <c r="SZS45" s="137"/>
      <c r="SZT45" s="137"/>
      <c r="SZU45" s="137"/>
      <c r="SZV45" s="137"/>
      <c r="SZW45" s="137"/>
      <c r="SZX45" s="137"/>
      <c r="SZY45" s="137"/>
      <c r="SZZ45" s="137"/>
      <c r="TAA45" s="137"/>
      <c r="TAB45" s="137"/>
      <c r="TAC45" s="137"/>
      <c r="TAD45" s="137"/>
      <c r="TAE45" s="137"/>
      <c r="TAF45" s="137"/>
      <c r="TAG45" s="137"/>
      <c r="TAH45" s="137"/>
      <c r="TAI45" s="137"/>
      <c r="TAJ45" s="137"/>
      <c r="TAK45" s="137"/>
      <c r="TAL45" s="137"/>
      <c r="TAM45" s="137"/>
      <c r="TAN45" s="137"/>
      <c r="TAO45" s="137"/>
      <c r="TAP45" s="137"/>
      <c r="TAQ45" s="137"/>
      <c r="TAR45" s="137"/>
      <c r="TAS45" s="137"/>
      <c r="TAT45" s="137"/>
      <c r="TAU45" s="137"/>
      <c r="TAV45" s="137"/>
      <c r="TAW45" s="137"/>
      <c r="TAX45" s="137"/>
      <c r="TAY45" s="137"/>
      <c r="TAZ45" s="137"/>
      <c r="TBA45" s="137"/>
      <c r="TBB45" s="137"/>
      <c r="TBC45" s="137"/>
      <c r="TBD45" s="137"/>
      <c r="TBE45" s="137"/>
      <c r="TBF45" s="137"/>
      <c r="TBG45" s="137"/>
      <c r="TBH45" s="137"/>
      <c r="TBI45" s="137"/>
      <c r="TBJ45" s="137"/>
      <c r="TBK45" s="137"/>
      <c r="TBL45" s="137"/>
      <c r="TBM45" s="137"/>
      <c r="TBN45" s="137"/>
      <c r="TBO45" s="137"/>
      <c r="TBP45" s="137"/>
      <c r="TBQ45" s="137"/>
      <c r="TBR45" s="137"/>
      <c r="TBS45" s="137"/>
      <c r="TBT45" s="137"/>
      <c r="TBU45" s="137"/>
      <c r="TBV45" s="137"/>
      <c r="TBW45" s="137"/>
      <c r="TBX45" s="137"/>
      <c r="TBY45" s="137"/>
      <c r="TBZ45" s="137"/>
      <c r="TCA45" s="137"/>
      <c r="TCB45" s="137"/>
      <c r="TCC45" s="137"/>
      <c r="TCD45" s="137"/>
      <c r="TCE45" s="137"/>
      <c r="TCF45" s="137"/>
      <c r="TCG45" s="137"/>
      <c r="TCH45" s="137"/>
      <c r="TCI45" s="137"/>
      <c r="TCJ45" s="137"/>
      <c r="TCK45" s="137"/>
      <c r="TCL45" s="137"/>
      <c r="TCM45" s="137"/>
      <c r="TCN45" s="137"/>
      <c r="TCO45" s="137"/>
      <c r="TCP45" s="137"/>
      <c r="TCQ45" s="137"/>
      <c r="TCR45" s="137"/>
      <c r="TCS45" s="137"/>
      <c r="TCT45" s="137"/>
      <c r="TCU45" s="137"/>
      <c r="TCV45" s="137"/>
      <c r="TCW45" s="137"/>
      <c r="TCX45" s="137"/>
      <c r="TCY45" s="137"/>
      <c r="TCZ45" s="137"/>
      <c r="TDA45" s="137"/>
      <c r="TDB45" s="137"/>
      <c r="TDC45" s="137"/>
      <c r="TDD45" s="137"/>
      <c r="TDE45" s="137"/>
      <c r="TDF45" s="137"/>
      <c r="TDG45" s="137"/>
      <c r="TDH45" s="137"/>
      <c r="TDI45" s="137"/>
      <c r="TDJ45" s="137"/>
      <c r="TDK45" s="137"/>
      <c r="TDL45" s="137"/>
      <c r="TDM45" s="137"/>
      <c r="TDN45" s="137"/>
      <c r="TDO45" s="137"/>
      <c r="TDP45" s="137"/>
      <c r="TDQ45" s="137"/>
      <c r="TDR45" s="137"/>
      <c r="TDS45" s="137"/>
      <c r="TDT45" s="137"/>
      <c r="TDU45" s="137"/>
      <c r="TDV45" s="137"/>
      <c r="TDW45" s="137"/>
      <c r="TDX45" s="137"/>
      <c r="TDY45" s="137"/>
      <c r="TDZ45" s="137"/>
      <c r="TEA45" s="137"/>
      <c r="TEB45" s="137"/>
      <c r="TEC45" s="137"/>
      <c r="TED45" s="137"/>
      <c r="TEE45" s="137"/>
      <c r="TEF45" s="137"/>
      <c r="TEG45" s="137"/>
      <c r="TEH45" s="137"/>
      <c r="TEI45" s="137"/>
      <c r="TEJ45" s="137"/>
      <c r="TEK45" s="137"/>
      <c r="TEL45" s="137"/>
      <c r="TEM45" s="137"/>
      <c r="TEN45" s="137"/>
      <c r="TEO45" s="137"/>
      <c r="TEP45" s="137"/>
      <c r="TEQ45" s="137"/>
      <c r="TER45" s="137"/>
      <c r="TES45" s="137"/>
      <c r="TET45" s="137"/>
      <c r="TEU45" s="137"/>
      <c r="TEV45" s="137"/>
      <c r="TEW45" s="137"/>
      <c r="TEX45" s="137"/>
      <c r="TEY45" s="137"/>
      <c r="TEZ45" s="137"/>
      <c r="TFA45" s="137"/>
      <c r="TFB45" s="137"/>
      <c r="TFC45" s="137"/>
      <c r="TFD45" s="137"/>
      <c r="TFE45" s="137"/>
      <c r="TFF45" s="137"/>
      <c r="TFG45" s="137"/>
      <c r="TFH45" s="137"/>
      <c r="TFI45" s="137"/>
      <c r="TFJ45" s="137"/>
      <c r="TFK45" s="137"/>
      <c r="TFL45" s="137"/>
      <c r="TFM45" s="137"/>
      <c r="TFN45" s="137"/>
      <c r="TFO45" s="137"/>
      <c r="TFP45" s="137"/>
      <c r="TFQ45" s="137"/>
      <c r="TFR45" s="137"/>
      <c r="TFS45" s="137"/>
      <c r="TFT45" s="137"/>
      <c r="TFU45" s="137"/>
      <c r="TFV45" s="137"/>
      <c r="TFW45" s="137"/>
      <c r="TFX45" s="137"/>
      <c r="TFY45" s="137"/>
      <c r="TFZ45" s="137"/>
      <c r="TGA45" s="137"/>
      <c r="TGB45" s="137"/>
      <c r="TGC45" s="137"/>
      <c r="TGD45" s="137"/>
      <c r="TGE45" s="137"/>
      <c r="TGF45" s="137"/>
      <c r="TGG45" s="137"/>
      <c r="TGH45" s="137"/>
      <c r="TGI45" s="137"/>
      <c r="TGJ45" s="137"/>
      <c r="TGK45" s="137"/>
      <c r="TGL45" s="137"/>
      <c r="TGM45" s="137"/>
      <c r="TGN45" s="137"/>
      <c r="TGO45" s="137"/>
      <c r="TGP45" s="137"/>
      <c r="TGQ45" s="137"/>
      <c r="TGR45" s="137"/>
      <c r="TGS45" s="137"/>
      <c r="TGT45" s="137"/>
      <c r="TGU45" s="137"/>
      <c r="TGV45" s="137"/>
      <c r="TGW45" s="137"/>
      <c r="TGX45" s="137"/>
      <c r="TGY45" s="137"/>
      <c r="TGZ45" s="137"/>
      <c r="THA45" s="137"/>
      <c r="THB45" s="137"/>
      <c r="THC45" s="137"/>
      <c r="THD45" s="137"/>
      <c r="THE45" s="137"/>
      <c r="THF45" s="137"/>
      <c r="THG45" s="137"/>
      <c r="THH45" s="137"/>
      <c r="THI45" s="137"/>
      <c r="THJ45" s="137"/>
      <c r="THK45" s="137"/>
      <c r="THL45" s="137"/>
      <c r="THM45" s="137"/>
      <c r="THN45" s="137"/>
      <c r="THO45" s="137"/>
      <c r="THP45" s="137"/>
      <c r="THQ45" s="137"/>
      <c r="THR45" s="137"/>
      <c r="THS45" s="137"/>
      <c r="THT45" s="137"/>
      <c r="THU45" s="137"/>
      <c r="THV45" s="137"/>
      <c r="THW45" s="137"/>
      <c r="THX45" s="137"/>
      <c r="THY45" s="137"/>
      <c r="THZ45" s="137"/>
      <c r="TIA45" s="137"/>
      <c r="TIB45" s="137"/>
      <c r="TIC45" s="137"/>
      <c r="TID45" s="137"/>
      <c r="TIE45" s="137"/>
      <c r="TIF45" s="137"/>
      <c r="TIG45" s="137"/>
      <c r="TIH45" s="137"/>
      <c r="TII45" s="137"/>
      <c r="TIJ45" s="137"/>
      <c r="TIK45" s="137"/>
      <c r="TIL45" s="137"/>
      <c r="TIM45" s="137"/>
      <c r="TIN45" s="137"/>
      <c r="TIO45" s="137"/>
      <c r="TIP45" s="137"/>
      <c r="TIQ45" s="137"/>
      <c r="TIR45" s="137"/>
      <c r="TIS45" s="137"/>
      <c r="TIT45" s="137"/>
      <c r="TIU45" s="137"/>
      <c r="TIV45" s="137"/>
      <c r="TIW45" s="137"/>
      <c r="TIX45" s="137"/>
      <c r="TIY45" s="137"/>
      <c r="TIZ45" s="137"/>
      <c r="TJA45" s="137"/>
      <c r="TJB45" s="137"/>
      <c r="TJC45" s="137"/>
      <c r="TJD45" s="137"/>
      <c r="TJE45" s="137"/>
      <c r="TJF45" s="137"/>
      <c r="TJG45" s="137"/>
      <c r="TJH45" s="137"/>
      <c r="TJI45" s="137"/>
      <c r="TJJ45" s="137"/>
      <c r="TJK45" s="137"/>
      <c r="TJL45" s="137"/>
      <c r="TJM45" s="137"/>
      <c r="TJN45" s="137"/>
      <c r="TJO45" s="137"/>
      <c r="TJP45" s="137"/>
      <c r="TJQ45" s="137"/>
      <c r="TJR45" s="137"/>
      <c r="TJS45" s="137"/>
      <c r="TJT45" s="137"/>
      <c r="TJU45" s="137"/>
      <c r="TJV45" s="137"/>
      <c r="TJW45" s="137"/>
      <c r="TJX45" s="137"/>
      <c r="TJY45" s="137"/>
      <c r="TJZ45" s="137"/>
      <c r="TKA45" s="137"/>
      <c r="TKB45" s="137"/>
      <c r="TKC45" s="137"/>
      <c r="TKD45" s="137"/>
      <c r="TKE45" s="137"/>
      <c r="TKF45" s="137"/>
      <c r="TKG45" s="137"/>
      <c r="TKH45" s="137"/>
      <c r="TKI45" s="137"/>
      <c r="TKJ45" s="137"/>
      <c r="TKK45" s="137"/>
      <c r="TKL45" s="137"/>
      <c r="TKM45" s="137"/>
      <c r="TKN45" s="137"/>
      <c r="TKO45" s="137"/>
      <c r="TKP45" s="137"/>
      <c r="TKQ45" s="137"/>
      <c r="TKR45" s="137"/>
      <c r="TKS45" s="137"/>
      <c r="TKT45" s="137"/>
      <c r="TKU45" s="137"/>
      <c r="TKV45" s="137"/>
      <c r="TKW45" s="137"/>
      <c r="TKX45" s="137"/>
      <c r="TKY45" s="137"/>
      <c r="TKZ45" s="137"/>
      <c r="TLA45" s="137"/>
      <c r="TLB45" s="137"/>
      <c r="TLC45" s="137"/>
      <c r="TLD45" s="137"/>
      <c r="TLE45" s="137"/>
      <c r="TLF45" s="137"/>
      <c r="TLG45" s="137"/>
      <c r="TLH45" s="137"/>
      <c r="TLI45" s="137"/>
      <c r="TLJ45" s="137"/>
      <c r="TLK45" s="137"/>
      <c r="TLL45" s="137"/>
      <c r="TLM45" s="137"/>
      <c r="TLN45" s="137"/>
      <c r="TLO45" s="137"/>
      <c r="TLP45" s="137"/>
      <c r="TLQ45" s="137"/>
      <c r="TLR45" s="137"/>
      <c r="TLS45" s="137"/>
      <c r="TLT45" s="137"/>
      <c r="TLU45" s="137"/>
      <c r="TLV45" s="137"/>
      <c r="TLW45" s="137"/>
      <c r="TLX45" s="137"/>
      <c r="TLY45" s="137"/>
      <c r="TLZ45" s="137"/>
      <c r="TMA45" s="137"/>
      <c r="TMB45" s="137"/>
      <c r="TMC45" s="137"/>
      <c r="TMD45" s="137"/>
      <c r="TME45" s="137"/>
      <c r="TMF45" s="137"/>
      <c r="TMG45" s="137"/>
      <c r="TMH45" s="137"/>
      <c r="TMI45" s="137"/>
      <c r="TMJ45" s="137"/>
      <c r="TMK45" s="137"/>
      <c r="TML45" s="137"/>
      <c r="TMM45" s="137"/>
      <c r="TMN45" s="137"/>
      <c r="TMO45" s="137"/>
      <c r="TMP45" s="137"/>
      <c r="TMQ45" s="137"/>
      <c r="TMR45" s="137"/>
      <c r="TMS45" s="137"/>
      <c r="TMT45" s="137"/>
      <c r="TMU45" s="137"/>
      <c r="TMV45" s="137"/>
      <c r="TMW45" s="137"/>
      <c r="TMX45" s="137"/>
      <c r="TMY45" s="137"/>
      <c r="TMZ45" s="137"/>
      <c r="TNA45" s="137"/>
      <c r="TNB45" s="137"/>
      <c r="TNC45" s="137"/>
      <c r="TND45" s="137"/>
      <c r="TNE45" s="137"/>
      <c r="TNF45" s="137"/>
      <c r="TNG45" s="137"/>
      <c r="TNH45" s="137"/>
      <c r="TNI45" s="137"/>
      <c r="TNJ45" s="137"/>
      <c r="TNK45" s="137"/>
      <c r="TNL45" s="137"/>
      <c r="TNM45" s="137"/>
      <c r="TNN45" s="137"/>
      <c r="TNO45" s="137"/>
      <c r="TNP45" s="137"/>
      <c r="TNQ45" s="137"/>
      <c r="TNR45" s="137"/>
      <c r="TNS45" s="137"/>
      <c r="TNT45" s="137"/>
      <c r="TNU45" s="137"/>
      <c r="TNV45" s="137"/>
      <c r="TNW45" s="137"/>
      <c r="TNX45" s="137"/>
      <c r="TNY45" s="137"/>
      <c r="TNZ45" s="137"/>
      <c r="TOA45" s="137"/>
      <c r="TOB45" s="137"/>
      <c r="TOC45" s="137"/>
      <c r="TOD45" s="137"/>
      <c r="TOE45" s="137"/>
      <c r="TOF45" s="137"/>
      <c r="TOG45" s="137"/>
      <c r="TOH45" s="137"/>
      <c r="TOI45" s="137"/>
      <c r="TOJ45" s="137"/>
      <c r="TOK45" s="137"/>
      <c r="TOL45" s="137"/>
      <c r="TOM45" s="137"/>
      <c r="TON45" s="137"/>
      <c r="TOO45" s="137"/>
      <c r="TOP45" s="137"/>
      <c r="TOQ45" s="137"/>
      <c r="TOR45" s="137"/>
      <c r="TOS45" s="137"/>
      <c r="TOT45" s="137"/>
      <c r="TOU45" s="137"/>
      <c r="TOV45" s="137"/>
      <c r="TOW45" s="137"/>
      <c r="TOX45" s="137"/>
      <c r="TOY45" s="137"/>
      <c r="TOZ45" s="137"/>
      <c r="TPA45" s="137"/>
      <c r="TPB45" s="137"/>
      <c r="TPC45" s="137"/>
      <c r="TPD45" s="137"/>
      <c r="TPE45" s="137"/>
      <c r="TPF45" s="137"/>
      <c r="TPG45" s="137"/>
      <c r="TPH45" s="137"/>
      <c r="TPI45" s="137"/>
      <c r="TPJ45" s="137"/>
      <c r="TPK45" s="137"/>
      <c r="TPL45" s="137"/>
      <c r="TPM45" s="137"/>
      <c r="TPN45" s="137"/>
      <c r="TPO45" s="137"/>
      <c r="TPP45" s="137"/>
      <c r="TPQ45" s="137"/>
      <c r="TPR45" s="137"/>
      <c r="TPS45" s="137"/>
      <c r="TPT45" s="137"/>
      <c r="TPU45" s="137"/>
      <c r="TPV45" s="137"/>
      <c r="TPW45" s="137"/>
      <c r="TPX45" s="137"/>
      <c r="TPY45" s="137"/>
      <c r="TPZ45" s="137"/>
      <c r="TQA45" s="137"/>
      <c r="TQB45" s="137"/>
      <c r="TQC45" s="137"/>
      <c r="TQD45" s="137"/>
      <c r="TQE45" s="137"/>
      <c r="TQF45" s="137"/>
      <c r="TQG45" s="137"/>
      <c r="TQH45" s="137"/>
      <c r="TQI45" s="137"/>
      <c r="TQJ45" s="137"/>
      <c r="TQK45" s="137"/>
      <c r="TQL45" s="137"/>
      <c r="TQM45" s="137"/>
      <c r="TQN45" s="137"/>
      <c r="TQO45" s="137"/>
      <c r="TQP45" s="137"/>
      <c r="TQQ45" s="137"/>
      <c r="TQR45" s="137"/>
      <c r="TQS45" s="137"/>
      <c r="TQT45" s="137"/>
      <c r="TQU45" s="137"/>
      <c r="TQV45" s="137"/>
      <c r="TQW45" s="137"/>
      <c r="TQX45" s="137"/>
      <c r="TQY45" s="137"/>
      <c r="TQZ45" s="137"/>
      <c r="TRA45" s="137"/>
      <c r="TRB45" s="137"/>
      <c r="TRC45" s="137"/>
      <c r="TRD45" s="137"/>
      <c r="TRE45" s="137"/>
      <c r="TRF45" s="137"/>
      <c r="TRG45" s="137"/>
      <c r="TRH45" s="137"/>
      <c r="TRI45" s="137"/>
      <c r="TRJ45" s="137"/>
      <c r="TRK45" s="137"/>
      <c r="TRL45" s="137"/>
      <c r="TRM45" s="137"/>
      <c r="TRN45" s="137"/>
      <c r="TRO45" s="137"/>
      <c r="TRP45" s="137"/>
      <c r="TRQ45" s="137"/>
      <c r="TRR45" s="137"/>
      <c r="TRS45" s="137"/>
      <c r="TRT45" s="137"/>
      <c r="TRU45" s="137"/>
      <c r="TRV45" s="137"/>
      <c r="TRW45" s="137"/>
      <c r="TRX45" s="137"/>
      <c r="TRY45" s="137"/>
      <c r="TRZ45" s="137"/>
      <c r="TSA45" s="137"/>
      <c r="TSB45" s="137"/>
      <c r="TSC45" s="137"/>
      <c r="TSD45" s="137"/>
      <c r="TSE45" s="137"/>
      <c r="TSF45" s="137"/>
      <c r="TSG45" s="137"/>
      <c r="TSH45" s="137"/>
      <c r="TSI45" s="137"/>
      <c r="TSJ45" s="137"/>
      <c r="TSK45" s="137"/>
      <c r="TSL45" s="137"/>
      <c r="TSM45" s="137"/>
      <c r="TSN45" s="137"/>
      <c r="TSO45" s="137"/>
      <c r="TSP45" s="137"/>
      <c r="TSQ45" s="137"/>
      <c r="TSR45" s="137"/>
      <c r="TSS45" s="137"/>
      <c r="TST45" s="137"/>
      <c r="TSU45" s="137"/>
      <c r="TSV45" s="137"/>
      <c r="TSW45" s="137"/>
      <c r="TSX45" s="137"/>
      <c r="TSY45" s="137"/>
      <c r="TSZ45" s="137"/>
      <c r="TTA45" s="137"/>
      <c r="TTB45" s="137"/>
      <c r="TTC45" s="137"/>
      <c r="TTD45" s="137"/>
      <c r="TTE45" s="137"/>
      <c r="TTF45" s="137"/>
      <c r="TTG45" s="137"/>
      <c r="TTH45" s="137"/>
      <c r="TTI45" s="137"/>
      <c r="TTJ45" s="137"/>
      <c r="TTK45" s="137"/>
      <c r="TTL45" s="137"/>
      <c r="TTM45" s="137"/>
      <c r="TTN45" s="137"/>
      <c r="TTO45" s="137"/>
      <c r="TTP45" s="137"/>
      <c r="TTQ45" s="137"/>
      <c r="TTR45" s="137"/>
      <c r="TTS45" s="137"/>
      <c r="TTT45" s="137"/>
      <c r="TTU45" s="137"/>
      <c r="TTV45" s="137"/>
      <c r="TTW45" s="137"/>
      <c r="TTX45" s="137"/>
      <c r="TTY45" s="137"/>
      <c r="TTZ45" s="137"/>
      <c r="TUA45" s="137"/>
      <c r="TUB45" s="137"/>
      <c r="TUC45" s="137"/>
      <c r="TUD45" s="137"/>
      <c r="TUE45" s="137"/>
      <c r="TUF45" s="137"/>
      <c r="TUG45" s="137"/>
      <c r="TUH45" s="137"/>
      <c r="TUI45" s="137"/>
      <c r="TUJ45" s="137"/>
      <c r="TUK45" s="137"/>
      <c r="TUL45" s="137"/>
      <c r="TUM45" s="137"/>
      <c r="TUN45" s="137"/>
      <c r="TUO45" s="137"/>
      <c r="TUP45" s="137"/>
      <c r="TUQ45" s="137"/>
      <c r="TUR45" s="137"/>
      <c r="TUS45" s="137"/>
      <c r="TUT45" s="137"/>
      <c r="TUU45" s="137"/>
      <c r="TUV45" s="137"/>
      <c r="TUW45" s="137"/>
      <c r="TUX45" s="137"/>
      <c r="TUY45" s="137"/>
      <c r="TUZ45" s="137"/>
      <c r="TVA45" s="137"/>
      <c r="TVB45" s="137"/>
      <c r="TVC45" s="137"/>
      <c r="TVD45" s="137"/>
      <c r="TVE45" s="137"/>
      <c r="TVF45" s="137"/>
      <c r="TVG45" s="137"/>
      <c r="TVH45" s="137"/>
      <c r="TVI45" s="137"/>
      <c r="TVJ45" s="137"/>
      <c r="TVK45" s="137"/>
      <c r="TVL45" s="137"/>
      <c r="TVM45" s="137"/>
      <c r="TVN45" s="137"/>
      <c r="TVO45" s="137"/>
      <c r="TVP45" s="137"/>
      <c r="TVQ45" s="137"/>
      <c r="TVR45" s="137"/>
      <c r="TVS45" s="137"/>
      <c r="TVT45" s="137"/>
      <c r="TVU45" s="137"/>
      <c r="TVV45" s="137"/>
      <c r="TVW45" s="137"/>
      <c r="TVX45" s="137"/>
      <c r="TVY45" s="137"/>
      <c r="TVZ45" s="137"/>
      <c r="TWA45" s="137"/>
      <c r="TWB45" s="137"/>
      <c r="TWC45" s="137"/>
      <c r="TWD45" s="137"/>
      <c r="TWE45" s="137"/>
      <c r="TWF45" s="137"/>
      <c r="TWG45" s="137"/>
      <c r="TWH45" s="137"/>
      <c r="TWI45" s="137"/>
      <c r="TWJ45" s="137"/>
      <c r="TWK45" s="137"/>
      <c r="TWL45" s="137"/>
      <c r="TWM45" s="137"/>
      <c r="TWN45" s="137"/>
      <c r="TWO45" s="137"/>
      <c r="TWP45" s="137"/>
      <c r="TWQ45" s="137"/>
      <c r="TWR45" s="137"/>
      <c r="TWS45" s="137"/>
      <c r="TWT45" s="137"/>
      <c r="TWU45" s="137"/>
      <c r="TWV45" s="137"/>
      <c r="TWW45" s="137"/>
      <c r="TWX45" s="137"/>
      <c r="TWY45" s="137"/>
      <c r="TWZ45" s="137"/>
      <c r="TXA45" s="137"/>
      <c r="TXB45" s="137"/>
      <c r="TXC45" s="137"/>
      <c r="TXD45" s="137"/>
      <c r="TXE45" s="137"/>
      <c r="TXF45" s="137"/>
      <c r="TXG45" s="137"/>
      <c r="TXH45" s="137"/>
      <c r="TXI45" s="137"/>
      <c r="TXJ45" s="137"/>
      <c r="TXK45" s="137"/>
      <c r="TXL45" s="137"/>
      <c r="TXM45" s="137"/>
      <c r="TXN45" s="137"/>
      <c r="TXO45" s="137"/>
      <c r="TXP45" s="137"/>
      <c r="TXQ45" s="137"/>
      <c r="TXR45" s="137"/>
      <c r="TXS45" s="137"/>
      <c r="TXT45" s="137"/>
      <c r="TXU45" s="137"/>
      <c r="TXV45" s="137"/>
      <c r="TXW45" s="137"/>
      <c r="TXX45" s="137"/>
      <c r="TXY45" s="137"/>
      <c r="TXZ45" s="137"/>
      <c r="TYA45" s="137"/>
      <c r="TYB45" s="137"/>
      <c r="TYC45" s="137"/>
      <c r="TYD45" s="137"/>
      <c r="TYE45" s="137"/>
      <c r="TYF45" s="137"/>
      <c r="TYG45" s="137"/>
      <c r="TYH45" s="137"/>
      <c r="TYI45" s="137"/>
      <c r="TYJ45" s="137"/>
      <c r="TYK45" s="137"/>
      <c r="TYL45" s="137"/>
      <c r="TYM45" s="137"/>
      <c r="TYN45" s="137"/>
      <c r="TYO45" s="137"/>
      <c r="TYP45" s="137"/>
      <c r="TYQ45" s="137"/>
      <c r="TYR45" s="137"/>
      <c r="TYS45" s="137"/>
      <c r="TYT45" s="137"/>
      <c r="TYU45" s="137"/>
      <c r="TYV45" s="137"/>
      <c r="TYW45" s="137"/>
      <c r="TYX45" s="137"/>
      <c r="TYY45" s="137"/>
      <c r="TYZ45" s="137"/>
      <c r="TZA45" s="137"/>
      <c r="TZB45" s="137"/>
      <c r="TZC45" s="137"/>
      <c r="TZD45" s="137"/>
      <c r="TZE45" s="137"/>
      <c r="TZF45" s="137"/>
      <c r="TZG45" s="137"/>
      <c r="TZH45" s="137"/>
      <c r="TZI45" s="137"/>
      <c r="TZJ45" s="137"/>
      <c r="TZK45" s="137"/>
      <c r="TZL45" s="137"/>
      <c r="TZM45" s="137"/>
      <c r="TZN45" s="137"/>
      <c r="TZO45" s="137"/>
      <c r="TZP45" s="137"/>
      <c r="TZQ45" s="137"/>
      <c r="TZR45" s="137"/>
      <c r="TZS45" s="137"/>
      <c r="TZT45" s="137"/>
      <c r="TZU45" s="137"/>
      <c r="TZV45" s="137"/>
      <c r="TZW45" s="137"/>
      <c r="TZX45" s="137"/>
      <c r="TZY45" s="137"/>
      <c r="TZZ45" s="137"/>
      <c r="UAA45" s="137"/>
      <c r="UAB45" s="137"/>
      <c r="UAC45" s="137"/>
      <c r="UAD45" s="137"/>
      <c r="UAE45" s="137"/>
      <c r="UAF45" s="137"/>
      <c r="UAG45" s="137"/>
      <c r="UAH45" s="137"/>
      <c r="UAI45" s="137"/>
      <c r="UAJ45" s="137"/>
      <c r="UAK45" s="137"/>
      <c r="UAL45" s="137"/>
      <c r="UAM45" s="137"/>
      <c r="UAN45" s="137"/>
      <c r="UAO45" s="137"/>
      <c r="UAP45" s="137"/>
      <c r="UAQ45" s="137"/>
      <c r="UAR45" s="137"/>
      <c r="UAS45" s="137"/>
      <c r="UAT45" s="137"/>
      <c r="UAU45" s="137"/>
      <c r="UAV45" s="137"/>
      <c r="UAW45" s="137"/>
      <c r="UAX45" s="137"/>
      <c r="UAY45" s="137"/>
      <c r="UAZ45" s="137"/>
      <c r="UBA45" s="137"/>
      <c r="UBB45" s="137"/>
      <c r="UBC45" s="137"/>
      <c r="UBD45" s="137"/>
      <c r="UBE45" s="137"/>
      <c r="UBF45" s="137"/>
      <c r="UBG45" s="137"/>
      <c r="UBH45" s="137"/>
      <c r="UBI45" s="137"/>
      <c r="UBJ45" s="137"/>
      <c r="UBK45" s="137"/>
      <c r="UBL45" s="137"/>
      <c r="UBM45" s="137"/>
      <c r="UBN45" s="137"/>
      <c r="UBO45" s="137"/>
      <c r="UBP45" s="137"/>
      <c r="UBQ45" s="137"/>
      <c r="UBR45" s="137"/>
      <c r="UBS45" s="137"/>
      <c r="UBT45" s="137"/>
      <c r="UBU45" s="137"/>
      <c r="UBV45" s="137"/>
      <c r="UBW45" s="137"/>
      <c r="UBX45" s="137"/>
      <c r="UBY45" s="137"/>
      <c r="UBZ45" s="137"/>
      <c r="UCA45" s="137"/>
      <c r="UCB45" s="137"/>
      <c r="UCC45" s="137"/>
      <c r="UCD45" s="137"/>
      <c r="UCE45" s="137"/>
      <c r="UCF45" s="137"/>
      <c r="UCG45" s="137"/>
      <c r="UCH45" s="137"/>
      <c r="UCI45" s="137"/>
      <c r="UCJ45" s="137"/>
      <c r="UCK45" s="137"/>
      <c r="UCL45" s="137"/>
      <c r="UCM45" s="137"/>
      <c r="UCN45" s="137"/>
      <c r="UCO45" s="137"/>
      <c r="UCP45" s="137"/>
      <c r="UCQ45" s="137"/>
      <c r="UCR45" s="137"/>
      <c r="UCS45" s="137"/>
      <c r="UCT45" s="137"/>
      <c r="UCU45" s="137"/>
      <c r="UCV45" s="137"/>
      <c r="UCW45" s="137"/>
      <c r="UCX45" s="137"/>
      <c r="UCY45" s="137"/>
      <c r="UCZ45" s="137"/>
      <c r="UDA45" s="137"/>
      <c r="UDB45" s="137"/>
      <c r="UDC45" s="137"/>
      <c r="UDD45" s="137"/>
      <c r="UDE45" s="137"/>
      <c r="UDF45" s="137"/>
      <c r="UDG45" s="137"/>
      <c r="UDH45" s="137"/>
      <c r="UDI45" s="137"/>
      <c r="UDJ45" s="137"/>
      <c r="UDK45" s="137"/>
      <c r="UDL45" s="137"/>
      <c r="UDM45" s="137"/>
      <c r="UDN45" s="137"/>
      <c r="UDO45" s="137"/>
      <c r="UDP45" s="137"/>
      <c r="UDQ45" s="137"/>
      <c r="UDR45" s="137"/>
      <c r="UDS45" s="137"/>
      <c r="UDT45" s="137"/>
      <c r="UDU45" s="137"/>
      <c r="UDV45" s="137"/>
      <c r="UDW45" s="137"/>
      <c r="UDX45" s="137"/>
      <c r="UDY45" s="137"/>
      <c r="UDZ45" s="137"/>
      <c r="UEA45" s="137"/>
      <c r="UEB45" s="137"/>
      <c r="UEC45" s="137"/>
      <c r="UED45" s="137"/>
      <c r="UEE45" s="137"/>
      <c r="UEF45" s="137"/>
      <c r="UEG45" s="137"/>
      <c r="UEH45" s="137"/>
      <c r="UEI45" s="137"/>
      <c r="UEJ45" s="137"/>
      <c r="UEK45" s="137"/>
      <c r="UEL45" s="137"/>
      <c r="UEM45" s="137"/>
      <c r="UEN45" s="137"/>
      <c r="UEO45" s="137"/>
      <c r="UEP45" s="137"/>
      <c r="UEQ45" s="137"/>
      <c r="UER45" s="137"/>
      <c r="UES45" s="137"/>
      <c r="UET45" s="137"/>
      <c r="UEU45" s="137"/>
      <c r="UEV45" s="137"/>
      <c r="UEW45" s="137"/>
      <c r="UEX45" s="137"/>
      <c r="UEY45" s="137"/>
      <c r="UEZ45" s="137"/>
      <c r="UFA45" s="137"/>
      <c r="UFB45" s="137"/>
      <c r="UFC45" s="137"/>
      <c r="UFD45" s="137"/>
      <c r="UFE45" s="137"/>
      <c r="UFF45" s="137"/>
      <c r="UFG45" s="137"/>
      <c r="UFH45" s="137"/>
      <c r="UFI45" s="137"/>
      <c r="UFJ45" s="137"/>
      <c r="UFK45" s="137"/>
      <c r="UFL45" s="137"/>
      <c r="UFM45" s="137"/>
      <c r="UFN45" s="137"/>
      <c r="UFO45" s="137"/>
      <c r="UFP45" s="137"/>
      <c r="UFQ45" s="137"/>
      <c r="UFR45" s="137"/>
      <c r="UFS45" s="137"/>
      <c r="UFT45" s="137"/>
      <c r="UFU45" s="137"/>
      <c r="UFV45" s="137"/>
      <c r="UFW45" s="137"/>
      <c r="UFX45" s="137"/>
      <c r="UFY45" s="137"/>
      <c r="UFZ45" s="137"/>
      <c r="UGA45" s="137"/>
      <c r="UGB45" s="137"/>
      <c r="UGC45" s="137"/>
      <c r="UGD45" s="137"/>
      <c r="UGE45" s="137"/>
      <c r="UGF45" s="137"/>
      <c r="UGG45" s="137"/>
      <c r="UGH45" s="137"/>
      <c r="UGI45" s="137"/>
      <c r="UGJ45" s="137"/>
      <c r="UGK45" s="137"/>
      <c r="UGL45" s="137"/>
      <c r="UGM45" s="137"/>
      <c r="UGN45" s="137"/>
      <c r="UGO45" s="137"/>
      <c r="UGP45" s="137"/>
      <c r="UGQ45" s="137"/>
      <c r="UGR45" s="137"/>
      <c r="UGS45" s="137"/>
      <c r="UGT45" s="137"/>
      <c r="UGU45" s="137"/>
      <c r="UGV45" s="137"/>
      <c r="UGW45" s="137"/>
      <c r="UGX45" s="137"/>
      <c r="UGY45" s="137"/>
      <c r="UGZ45" s="137"/>
      <c r="UHA45" s="137"/>
      <c r="UHB45" s="137"/>
      <c r="UHC45" s="137"/>
      <c r="UHD45" s="137"/>
      <c r="UHE45" s="137"/>
      <c r="UHF45" s="137"/>
      <c r="UHG45" s="137"/>
      <c r="UHH45" s="137"/>
      <c r="UHI45" s="137"/>
      <c r="UHJ45" s="137"/>
      <c r="UHK45" s="137"/>
      <c r="UHL45" s="137"/>
      <c r="UHM45" s="137"/>
      <c r="UHN45" s="137"/>
      <c r="UHO45" s="137"/>
      <c r="UHP45" s="137"/>
      <c r="UHQ45" s="137"/>
      <c r="UHR45" s="137"/>
      <c r="UHS45" s="137"/>
      <c r="UHT45" s="137"/>
      <c r="UHU45" s="137"/>
      <c r="UHV45" s="137"/>
      <c r="UHW45" s="137"/>
      <c r="UHX45" s="137"/>
      <c r="UHY45" s="137"/>
      <c r="UHZ45" s="137"/>
      <c r="UIA45" s="137"/>
      <c r="UIB45" s="137"/>
      <c r="UIC45" s="137"/>
      <c r="UID45" s="137"/>
      <c r="UIE45" s="137"/>
      <c r="UIF45" s="137"/>
      <c r="UIG45" s="137"/>
      <c r="UIH45" s="137"/>
      <c r="UII45" s="137"/>
      <c r="UIJ45" s="137"/>
      <c r="UIK45" s="137"/>
      <c r="UIL45" s="137"/>
      <c r="UIM45" s="137"/>
      <c r="UIN45" s="137"/>
      <c r="UIO45" s="137"/>
      <c r="UIP45" s="137"/>
      <c r="UIQ45" s="137"/>
      <c r="UIR45" s="137"/>
      <c r="UIS45" s="137"/>
      <c r="UIT45" s="137"/>
      <c r="UIU45" s="137"/>
      <c r="UIV45" s="137"/>
      <c r="UIW45" s="137"/>
      <c r="UIX45" s="137"/>
      <c r="UIY45" s="137"/>
      <c r="UIZ45" s="137"/>
      <c r="UJA45" s="137"/>
      <c r="UJB45" s="137"/>
      <c r="UJC45" s="137"/>
      <c r="UJD45" s="137"/>
      <c r="UJE45" s="137"/>
      <c r="UJF45" s="137"/>
      <c r="UJG45" s="137"/>
      <c r="UJH45" s="137"/>
      <c r="UJI45" s="137"/>
      <c r="UJJ45" s="137"/>
      <c r="UJK45" s="137"/>
      <c r="UJL45" s="137"/>
      <c r="UJM45" s="137"/>
      <c r="UJN45" s="137"/>
      <c r="UJO45" s="137"/>
      <c r="UJP45" s="137"/>
      <c r="UJQ45" s="137"/>
      <c r="UJR45" s="137"/>
      <c r="UJS45" s="137"/>
      <c r="UJT45" s="137"/>
      <c r="UJU45" s="137"/>
      <c r="UJV45" s="137"/>
      <c r="UJW45" s="137"/>
      <c r="UJX45" s="137"/>
      <c r="UJY45" s="137"/>
      <c r="UJZ45" s="137"/>
      <c r="UKA45" s="137"/>
      <c r="UKB45" s="137"/>
      <c r="UKC45" s="137"/>
      <c r="UKD45" s="137"/>
      <c r="UKE45" s="137"/>
      <c r="UKF45" s="137"/>
      <c r="UKG45" s="137"/>
      <c r="UKH45" s="137"/>
      <c r="UKI45" s="137"/>
      <c r="UKJ45" s="137"/>
      <c r="UKK45" s="137"/>
      <c r="UKL45" s="137"/>
      <c r="UKM45" s="137"/>
      <c r="UKN45" s="137"/>
      <c r="UKO45" s="137"/>
      <c r="UKP45" s="137"/>
      <c r="UKQ45" s="137"/>
      <c r="UKR45" s="137"/>
      <c r="UKS45" s="137"/>
      <c r="UKT45" s="137"/>
      <c r="UKU45" s="137"/>
      <c r="UKV45" s="137"/>
      <c r="UKW45" s="137"/>
      <c r="UKX45" s="137"/>
      <c r="UKY45" s="137"/>
      <c r="UKZ45" s="137"/>
      <c r="ULA45" s="137"/>
      <c r="ULB45" s="137"/>
      <c r="ULC45" s="137"/>
      <c r="ULD45" s="137"/>
      <c r="ULE45" s="137"/>
      <c r="ULF45" s="137"/>
      <c r="ULG45" s="137"/>
      <c r="ULH45" s="137"/>
      <c r="ULI45" s="137"/>
      <c r="ULJ45" s="137"/>
      <c r="ULK45" s="137"/>
      <c r="ULL45" s="137"/>
      <c r="ULM45" s="137"/>
      <c r="ULN45" s="137"/>
      <c r="ULO45" s="137"/>
      <c r="ULP45" s="137"/>
      <c r="ULQ45" s="137"/>
      <c r="ULR45" s="137"/>
      <c r="ULS45" s="137"/>
      <c r="ULT45" s="137"/>
      <c r="ULU45" s="137"/>
      <c r="ULV45" s="137"/>
      <c r="ULW45" s="137"/>
      <c r="ULX45" s="137"/>
      <c r="ULY45" s="137"/>
      <c r="ULZ45" s="137"/>
      <c r="UMA45" s="137"/>
      <c r="UMB45" s="137"/>
      <c r="UMC45" s="137"/>
      <c r="UMD45" s="137"/>
      <c r="UME45" s="137"/>
      <c r="UMF45" s="137"/>
      <c r="UMG45" s="137"/>
      <c r="UMH45" s="137"/>
      <c r="UMI45" s="137"/>
      <c r="UMJ45" s="137"/>
      <c r="UMK45" s="137"/>
      <c r="UML45" s="137"/>
      <c r="UMM45" s="137"/>
      <c r="UMN45" s="137"/>
      <c r="UMO45" s="137"/>
      <c r="UMP45" s="137"/>
      <c r="UMQ45" s="137"/>
      <c r="UMR45" s="137"/>
      <c r="UMS45" s="137"/>
      <c r="UMT45" s="137"/>
      <c r="UMU45" s="137"/>
      <c r="UMV45" s="137"/>
      <c r="UMW45" s="137"/>
      <c r="UMX45" s="137"/>
      <c r="UMY45" s="137"/>
      <c r="UMZ45" s="137"/>
      <c r="UNA45" s="137"/>
      <c r="UNB45" s="137"/>
      <c r="UNC45" s="137"/>
      <c r="UND45" s="137"/>
      <c r="UNE45" s="137"/>
      <c r="UNF45" s="137"/>
      <c r="UNG45" s="137"/>
      <c r="UNH45" s="137"/>
      <c r="UNI45" s="137"/>
      <c r="UNJ45" s="137"/>
      <c r="UNK45" s="137"/>
      <c r="UNL45" s="137"/>
      <c r="UNM45" s="137"/>
      <c r="UNN45" s="137"/>
      <c r="UNO45" s="137"/>
      <c r="UNP45" s="137"/>
      <c r="UNQ45" s="137"/>
      <c r="UNR45" s="137"/>
      <c r="UNS45" s="137"/>
      <c r="UNT45" s="137"/>
      <c r="UNU45" s="137"/>
      <c r="UNV45" s="137"/>
      <c r="UNW45" s="137"/>
      <c r="UNX45" s="137"/>
      <c r="UNY45" s="137"/>
      <c r="UNZ45" s="137"/>
      <c r="UOA45" s="137"/>
      <c r="UOB45" s="137"/>
      <c r="UOC45" s="137"/>
      <c r="UOD45" s="137"/>
      <c r="UOE45" s="137"/>
      <c r="UOF45" s="137"/>
      <c r="UOG45" s="137"/>
      <c r="UOH45" s="137"/>
      <c r="UOI45" s="137"/>
      <c r="UOJ45" s="137"/>
      <c r="UOK45" s="137"/>
      <c r="UOL45" s="137"/>
      <c r="UOM45" s="137"/>
      <c r="UON45" s="137"/>
      <c r="UOO45" s="137"/>
      <c r="UOP45" s="137"/>
      <c r="UOQ45" s="137"/>
      <c r="UOR45" s="137"/>
      <c r="UOS45" s="137"/>
      <c r="UOT45" s="137"/>
      <c r="UOU45" s="137"/>
      <c r="UOV45" s="137"/>
      <c r="UOW45" s="137"/>
      <c r="UOX45" s="137"/>
      <c r="UOY45" s="137"/>
      <c r="UOZ45" s="137"/>
      <c r="UPA45" s="137"/>
      <c r="UPB45" s="137"/>
      <c r="UPC45" s="137"/>
      <c r="UPD45" s="137"/>
      <c r="UPE45" s="137"/>
      <c r="UPF45" s="137"/>
      <c r="UPG45" s="137"/>
      <c r="UPH45" s="137"/>
      <c r="UPI45" s="137"/>
      <c r="UPJ45" s="137"/>
      <c r="UPK45" s="137"/>
      <c r="UPL45" s="137"/>
      <c r="UPM45" s="137"/>
      <c r="UPN45" s="137"/>
      <c r="UPO45" s="137"/>
      <c r="UPP45" s="137"/>
      <c r="UPQ45" s="137"/>
      <c r="UPR45" s="137"/>
      <c r="UPS45" s="137"/>
      <c r="UPT45" s="137"/>
      <c r="UPU45" s="137"/>
      <c r="UPV45" s="137"/>
      <c r="UPW45" s="137"/>
      <c r="UPX45" s="137"/>
      <c r="UPY45" s="137"/>
      <c r="UPZ45" s="137"/>
      <c r="UQA45" s="137"/>
      <c r="UQB45" s="137"/>
      <c r="UQC45" s="137"/>
      <c r="UQD45" s="137"/>
      <c r="UQE45" s="137"/>
      <c r="UQF45" s="137"/>
      <c r="UQG45" s="137"/>
      <c r="UQH45" s="137"/>
      <c r="UQI45" s="137"/>
      <c r="UQJ45" s="137"/>
      <c r="UQK45" s="137"/>
      <c r="UQL45" s="137"/>
      <c r="UQM45" s="137"/>
      <c r="UQN45" s="137"/>
      <c r="UQO45" s="137"/>
      <c r="UQP45" s="137"/>
      <c r="UQQ45" s="137"/>
      <c r="UQR45" s="137"/>
      <c r="UQS45" s="137"/>
      <c r="UQT45" s="137"/>
      <c r="UQU45" s="137"/>
      <c r="UQV45" s="137"/>
      <c r="UQW45" s="137"/>
      <c r="UQX45" s="137"/>
      <c r="UQY45" s="137"/>
      <c r="UQZ45" s="137"/>
      <c r="URA45" s="137"/>
      <c r="URB45" s="137"/>
      <c r="URC45" s="137"/>
      <c r="URD45" s="137"/>
      <c r="URE45" s="137"/>
      <c r="URF45" s="137"/>
      <c r="URG45" s="137"/>
      <c r="URH45" s="137"/>
      <c r="URI45" s="137"/>
      <c r="URJ45" s="137"/>
      <c r="URK45" s="137"/>
      <c r="URL45" s="137"/>
      <c r="URM45" s="137"/>
      <c r="URN45" s="137"/>
      <c r="URO45" s="137"/>
      <c r="URP45" s="137"/>
      <c r="URQ45" s="137"/>
      <c r="URR45" s="137"/>
      <c r="URS45" s="137"/>
      <c r="URT45" s="137"/>
      <c r="URU45" s="137"/>
      <c r="URV45" s="137"/>
      <c r="URW45" s="137"/>
      <c r="URX45" s="137"/>
      <c r="URY45" s="137"/>
      <c r="URZ45" s="137"/>
      <c r="USA45" s="137"/>
      <c r="USB45" s="137"/>
      <c r="USC45" s="137"/>
      <c r="USD45" s="137"/>
      <c r="USE45" s="137"/>
      <c r="USF45" s="137"/>
      <c r="USG45" s="137"/>
      <c r="USH45" s="137"/>
      <c r="USI45" s="137"/>
      <c r="USJ45" s="137"/>
      <c r="USK45" s="137"/>
      <c r="USL45" s="137"/>
      <c r="USM45" s="137"/>
      <c r="USN45" s="137"/>
      <c r="USO45" s="137"/>
      <c r="USP45" s="137"/>
      <c r="USQ45" s="137"/>
      <c r="USR45" s="137"/>
      <c r="USS45" s="137"/>
      <c r="UST45" s="137"/>
      <c r="USU45" s="137"/>
      <c r="USV45" s="137"/>
      <c r="USW45" s="137"/>
      <c r="USX45" s="137"/>
      <c r="USY45" s="137"/>
      <c r="USZ45" s="137"/>
      <c r="UTA45" s="137"/>
      <c r="UTB45" s="137"/>
      <c r="UTC45" s="137"/>
      <c r="UTD45" s="137"/>
      <c r="UTE45" s="137"/>
      <c r="UTF45" s="137"/>
      <c r="UTG45" s="137"/>
      <c r="UTH45" s="137"/>
      <c r="UTI45" s="137"/>
      <c r="UTJ45" s="137"/>
      <c r="UTK45" s="137"/>
      <c r="UTL45" s="137"/>
      <c r="UTM45" s="137"/>
      <c r="UTN45" s="137"/>
      <c r="UTO45" s="137"/>
      <c r="UTP45" s="137"/>
      <c r="UTQ45" s="137"/>
      <c r="UTR45" s="137"/>
      <c r="UTS45" s="137"/>
      <c r="UTT45" s="137"/>
      <c r="UTU45" s="137"/>
      <c r="UTV45" s="137"/>
      <c r="UTW45" s="137"/>
      <c r="UTX45" s="137"/>
      <c r="UTY45" s="137"/>
      <c r="UTZ45" s="137"/>
      <c r="UUA45" s="137"/>
      <c r="UUB45" s="137"/>
      <c r="UUC45" s="137"/>
      <c r="UUD45" s="137"/>
      <c r="UUE45" s="137"/>
      <c r="UUF45" s="137"/>
      <c r="UUG45" s="137"/>
      <c r="UUH45" s="137"/>
      <c r="UUI45" s="137"/>
      <c r="UUJ45" s="137"/>
      <c r="UUK45" s="137"/>
      <c r="UUL45" s="137"/>
      <c r="UUM45" s="137"/>
      <c r="UUN45" s="137"/>
      <c r="UUO45" s="137"/>
      <c r="UUP45" s="137"/>
      <c r="UUQ45" s="137"/>
      <c r="UUR45" s="137"/>
      <c r="UUS45" s="137"/>
      <c r="UUT45" s="137"/>
      <c r="UUU45" s="137"/>
      <c r="UUV45" s="137"/>
      <c r="UUW45" s="137"/>
      <c r="UUX45" s="137"/>
      <c r="UUY45" s="137"/>
      <c r="UUZ45" s="137"/>
      <c r="UVA45" s="137"/>
      <c r="UVB45" s="137"/>
      <c r="UVC45" s="137"/>
      <c r="UVD45" s="137"/>
      <c r="UVE45" s="137"/>
      <c r="UVF45" s="137"/>
      <c r="UVG45" s="137"/>
      <c r="UVH45" s="137"/>
      <c r="UVI45" s="137"/>
      <c r="UVJ45" s="137"/>
      <c r="UVK45" s="137"/>
      <c r="UVL45" s="137"/>
      <c r="UVM45" s="137"/>
      <c r="UVN45" s="137"/>
      <c r="UVO45" s="137"/>
      <c r="UVP45" s="137"/>
      <c r="UVQ45" s="137"/>
      <c r="UVR45" s="137"/>
      <c r="UVS45" s="137"/>
      <c r="UVT45" s="137"/>
      <c r="UVU45" s="137"/>
      <c r="UVV45" s="137"/>
      <c r="UVW45" s="137"/>
      <c r="UVX45" s="137"/>
      <c r="UVY45" s="137"/>
      <c r="UVZ45" s="137"/>
      <c r="UWA45" s="137"/>
      <c r="UWB45" s="137"/>
      <c r="UWC45" s="137"/>
      <c r="UWD45" s="137"/>
      <c r="UWE45" s="137"/>
      <c r="UWF45" s="137"/>
      <c r="UWG45" s="137"/>
      <c r="UWH45" s="137"/>
      <c r="UWI45" s="137"/>
      <c r="UWJ45" s="137"/>
      <c r="UWK45" s="137"/>
      <c r="UWL45" s="137"/>
      <c r="UWM45" s="137"/>
      <c r="UWN45" s="137"/>
      <c r="UWO45" s="137"/>
      <c r="UWP45" s="137"/>
      <c r="UWQ45" s="137"/>
      <c r="UWR45" s="137"/>
      <c r="UWS45" s="137"/>
      <c r="UWT45" s="137"/>
      <c r="UWU45" s="137"/>
      <c r="UWV45" s="137"/>
      <c r="UWW45" s="137"/>
      <c r="UWX45" s="137"/>
      <c r="UWY45" s="137"/>
      <c r="UWZ45" s="137"/>
      <c r="UXA45" s="137"/>
      <c r="UXB45" s="137"/>
      <c r="UXC45" s="137"/>
      <c r="UXD45" s="137"/>
      <c r="UXE45" s="137"/>
      <c r="UXF45" s="137"/>
      <c r="UXG45" s="137"/>
      <c r="UXH45" s="137"/>
      <c r="UXI45" s="137"/>
      <c r="UXJ45" s="137"/>
      <c r="UXK45" s="137"/>
      <c r="UXL45" s="137"/>
      <c r="UXM45" s="137"/>
      <c r="UXN45" s="137"/>
      <c r="UXO45" s="137"/>
      <c r="UXP45" s="137"/>
      <c r="UXQ45" s="137"/>
      <c r="UXR45" s="137"/>
      <c r="UXS45" s="137"/>
      <c r="UXT45" s="137"/>
      <c r="UXU45" s="137"/>
      <c r="UXV45" s="137"/>
      <c r="UXW45" s="137"/>
      <c r="UXX45" s="137"/>
      <c r="UXY45" s="137"/>
      <c r="UXZ45" s="137"/>
      <c r="UYA45" s="137"/>
      <c r="UYB45" s="137"/>
      <c r="UYC45" s="137"/>
      <c r="UYD45" s="137"/>
      <c r="UYE45" s="137"/>
      <c r="UYF45" s="137"/>
      <c r="UYG45" s="137"/>
      <c r="UYH45" s="137"/>
      <c r="UYI45" s="137"/>
      <c r="UYJ45" s="137"/>
      <c r="UYK45" s="137"/>
      <c r="UYL45" s="137"/>
      <c r="UYM45" s="137"/>
      <c r="UYN45" s="137"/>
      <c r="UYO45" s="137"/>
      <c r="UYP45" s="137"/>
      <c r="UYQ45" s="137"/>
      <c r="UYR45" s="137"/>
      <c r="UYS45" s="137"/>
      <c r="UYT45" s="137"/>
      <c r="UYU45" s="137"/>
      <c r="UYV45" s="137"/>
      <c r="UYW45" s="137"/>
      <c r="UYX45" s="137"/>
      <c r="UYY45" s="137"/>
      <c r="UYZ45" s="137"/>
      <c r="UZA45" s="137"/>
      <c r="UZB45" s="137"/>
      <c r="UZC45" s="137"/>
      <c r="UZD45" s="137"/>
      <c r="UZE45" s="137"/>
      <c r="UZF45" s="137"/>
      <c r="UZG45" s="137"/>
      <c r="UZH45" s="137"/>
      <c r="UZI45" s="137"/>
      <c r="UZJ45" s="137"/>
      <c r="UZK45" s="137"/>
      <c r="UZL45" s="137"/>
      <c r="UZM45" s="137"/>
      <c r="UZN45" s="137"/>
      <c r="UZO45" s="137"/>
      <c r="UZP45" s="137"/>
      <c r="UZQ45" s="137"/>
      <c r="UZR45" s="137"/>
      <c r="UZS45" s="137"/>
      <c r="UZT45" s="137"/>
      <c r="UZU45" s="137"/>
      <c r="UZV45" s="137"/>
      <c r="UZW45" s="137"/>
      <c r="UZX45" s="137"/>
      <c r="UZY45" s="137"/>
      <c r="UZZ45" s="137"/>
      <c r="VAA45" s="137"/>
      <c r="VAB45" s="137"/>
      <c r="VAC45" s="137"/>
      <c r="VAD45" s="137"/>
      <c r="VAE45" s="137"/>
      <c r="VAF45" s="137"/>
      <c r="VAG45" s="137"/>
      <c r="VAH45" s="137"/>
      <c r="VAI45" s="137"/>
      <c r="VAJ45" s="137"/>
      <c r="VAK45" s="137"/>
      <c r="VAL45" s="137"/>
      <c r="VAM45" s="137"/>
      <c r="VAN45" s="137"/>
      <c r="VAO45" s="137"/>
      <c r="VAP45" s="137"/>
      <c r="VAQ45" s="137"/>
      <c r="VAR45" s="137"/>
      <c r="VAS45" s="137"/>
      <c r="VAT45" s="137"/>
      <c r="VAU45" s="137"/>
      <c r="VAV45" s="137"/>
      <c r="VAW45" s="137"/>
      <c r="VAX45" s="137"/>
      <c r="VAY45" s="137"/>
      <c r="VAZ45" s="137"/>
      <c r="VBA45" s="137"/>
      <c r="VBB45" s="137"/>
      <c r="VBC45" s="137"/>
      <c r="VBD45" s="137"/>
      <c r="VBE45" s="137"/>
      <c r="VBF45" s="137"/>
      <c r="VBG45" s="137"/>
      <c r="VBH45" s="137"/>
      <c r="VBI45" s="137"/>
      <c r="VBJ45" s="137"/>
      <c r="VBK45" s="137"/>
      <c r="VBL45" s="137"/>
      <c r="VBM45" s="137"/>
      <c r="VBN45" s="137"/>
      <c r="VBO45" s="137"/>
      <c r="VBP45" s="137"/>
      <c r="VBQ45" s="137"/>
      <c r="VBR45" s="137"/>
      <c r="VBS45" s="137"/>
      <c r="VBT45" s="137"/>
      <c r="VBU45" s="137"/>
      <c r="VBV45" s="137"/>
      <c r="VBW45" s="137"/>
      <c r="VBX45" s="137"/>
      <c r="VBY45" s="137"/>
      <c r="VBZ45" s="137"/>
      <c r="VCA45" s="137"/>
      <c r="VCB45" s="137"/>
      <c r="VCC45" s="137"/>
      <c r="VCD45" s="137"/>
      <c r="VCE45" s="137"/>
      <c r="VCF45" s="137"/>
      <c r="VCG45" s="137"/>
      <c r="VCH45" s="137"/>
      <c r="VCI45" s="137"/>
      <c r="VCJ45" s="137"/>
      <c r="VCK45" s="137"/>
      <c r="VCL45" s="137"/>
      <c r="VCM45" s="137"/>
      <c r="VCN45" s="137"/>
      <c r="VCO45" s="137"/>
      <c r="VCP45" s="137"/>
      <c r="VCQ45" s="137"/>
      <c r="VCR45" s="137"/>
      <c r="VCS45" s="137"/>
      <c r="VCT45" s="137"/>
      <c r="VCU45" s="137"/>
      <c r="VCV45" s="137"/>
      <c r="VCW45" s="137"/>
      <c r="VCX45" s="137"/>
      <c r="VCY45" s="137"/>
      <c r="VCZ45" s="137"/>
      <c r="VDA45" s="137"/>
      <c r="VDB45" s="137"/>
      <c r="VDC45" s="137"/>
      <c r="VDD45" s="137"/>
      <c r="VDE45" s="137"/>
      <c r="VDF45" s="137"/>
      <c r="VDG45" s="137"/>
      <c r="VDH45" s="137"/>
      <c r="VDI45" s="137"/>
      <c r="VDJ45" s="137"/>
      <c r="VDK45" s="137"/>
      <c r="VDL45" s="137"/>
      <c r="VDM45" s="137"/>
      <c r="VDN45" s="137"/>
      <c r="VDO45" s="137"/>
      <c r="VDP45" s="137"/>
      <c r="VDQ45" s="137"/>
      <c r="VDR45" s="137"/>
      <c r="VDS45" s="137"/>
      <c r="VDT45" s="137"/>
      <c r="VDU45" s="137"/>
      <c r="VDV45" s="137"/>
      <c r="VDW45" s="137"/>
      <c r="VDX45" s="137"/>
      <c r="VDY45" s="137"/>
      <c r="VDZ45" s="137"/>
      <c r="VEA45" s="137"/>
      <c r="VEB45" s="137"/>
      <c r="VEC45" s="137"/>
      <c r="VED45" s="137"/>
      <c r="VEE45" s="137"/>
      <c r="VEF45" s="137"/>
      <c r="VEG45" s="137"/>
      <c r="VEH45" s="137"/>
      <c r="VEI45" s="137"/>
      <c r="VEJ45" s="137"/>
      <c r="VEK45" s="137"/>
      <c r="VEL45" s="137"/>
      <c r="VEM45" s="137"/>
      <c r="VEN45" s="137"/>
      <c r="VEO45" s="137"/>
      <c r="VEP45" s="137"/>
      <c r="VEQ45" s="137"/>
      <c r="VER45" s="137"/>
      <c r="VES45" s="137"/>
      <c r="VET45" s="137"/>
      <c r="VEU45" s="137"/>
      <c r="VEV45" s="137"/>
      <c r="VEW45" s="137"/>
      <c r="VEX45" s="137"/>
      <c r="VEY45" s="137"/>
      <c r="VEZ45" s="137"/>
      <c r="VFA45" s="137"/>
      <c r="VFB45" s="137"/>
      <c r="VFC45" s="137"/>
      <c r="VFD45" s="137"/>
      <c r="VFE45" s="137"/>
      <c r="VFF45" s="137"/>
      <c r="VFG45" s="137"/>
      <c r="VFH45" s="137"/>
      <c r="VFI45" s="137"/>
      <c r="VFJ45" s="137"/>
      <c r="VFK45" s="137"/>
      <c r="VFL45" s="137"/>
      <c r="VFM45" s="137"/>
      <c r="VFN45" s="137"/>
      <c r="VFO45" s="137"/>
      <c r="VFP45" s="137"/>
      <c r="VFQ45" s="137"/>
      <c r="VFR45" s="137"/>
      <c r="VFS45" s="137"/>
      <c r="VFT45" s="137"/>
      <c r="VFU45" s="137"/>
      <c r="VFV45" s="137"/>
      <c r="VFW45" s="137"/>
      <c r="VFX45" s="137"/>
      <c r="VFY45" s="137"/>
      <c r="VFZ45" s="137"/>
      <c r="VGA45" s="137"/>
      <c r="VGB45" s="137"/>
      <c r="VGC45" s="137"/>
      <c r="VGD45" s="137"/>
      <c r="VGE45" s="137"/>
      <c r="VGF45" s="137"/>
      <c r="VGG45" s="137"/>
      <c r="VGH45" s="137"/>
      <c r="VGI45" s="137"/>
      <c r="VGJ45" s="137"/>
      <c r="VGK45" s="137"/>
      <c r="VGL45" s="137"/>
      <c r="VGM45" s="137"/>
      <c r="VGN45" s="137"/>
      <c r="VGO45" s="137"/>
      <c r="VGP45" s="137"/>
      <c r="VGQ45" s="137"/>
      <c r="VGR45" s="137"/>
      <c r="VGS45" s="137"/>
      <c r="VGT45" s="137"/>
      <c r="VGU45" s="137"/>
      <c r="VGV45" s="137"/>
      <c r="VGW45" s="137"/>
      <c r="VGX45" s="137"/>
      <c r="VGY45" s="137"/>
      <c r="VGZ45" s="137"/>
      <c r="VHA45" s="137"/>
      <c r="VHB45" s="137"/>
      <c r="VHC45" s="137"/>
      <c r="VHD45" s="137"/>
      <c r="VHE45" s="137"/>
      <c r="VHF45" s="137"/>
      <c r="VHG45" s="137"/>
      <c r="VHH45" s="137"/>
      <c r="VHI45" s="137"/>
      <c r="VHJ45" s="137"/>
      <c r="VHK45" s="137"/>
      <c r="VHL45" s="137"/>
      <c r="VHM45" s="137"/>
      <c r="VHN45" s="137"/>
      <c r="VHO45" s="137"/>
      <c r="VHP45" s="137"/>
      <c r="VHQ45" s="137"/>
      <c r="VHR45" s="137"/>
      <c r="VHS45" s="137"/>
      <c r="VHT45" s="137"/>
      <c r="VHU45" s="137"/>
      <c r="VHV45" s="137"/>
      <c r="VHW45" s="137"/>
      <c r="VHX45" s="137"/>
      <c r="VHY45" s="137"/>
      <c r="VHZ45" s="137"/>
      <c r="VIA45" s="137"/>
      <c r="VIB45" s="137"/>
      <c r="VIC45" s="137"/>
      <c r="VID45" s="137"/>
      <c r="VIE45" s="137"/>
      <c r="VIF45" s="137"/>
      <c r="VIG45" s="137"/>
      <c r="VIH45" s="137"/>
      <c r="VII45" s="137"/>
      <c r="VIJ45" s="137"/>
      <c r="VIK45" s="137"/>
      <c r="VIL45" s="137"/>
      <c r="VIM45" s="137"/>
      <c r="VIN45" s="137"/>
      <c r="VIO45" s="137"/>
      <c r="VIP45" s="137"/>
      <c r="VIQ45" s="137"/>
      <c r="VIR45" s="137"/>
      <c r="VIS45" s="137"/>
      <c r="VIT45" s="137"/>
      <c r="VIU45" s="137"/>
      <c r="VIV45" s="137"/>
      <c r="VIW45" s="137"/>
      <c r="VIX45" s="137"/>
      <c r="VIY45" s="137"/>
      <c r="VIZ45" s="137"/>
      <c r="VJA45" s="137"/>
      <c r="VJB45" s="137"/>
      <c r="VJC45" s="137"/>
      <c r="VJD45" s="137"/>
      <c r="VJE45" s="137"/>
      <c r="VJF45" s="137"/>
      <c r="VJG45" s="137"/>
      <c r="VJH45" s="137"/>
      <c r="VJI45" s="137"/>
      <c r="VJJ45" s="137"/>
      <c r="VJK45" s="137"/>
      <c r="VJL45" s="137"/>
      <c r="VJM45" s="137"/>
      <c r="VJN45" s="137"/>
      <c r="VJO45" s="137"/>
      <c r="VJP45" s="137"/>
      <c r="VJQ45" s="137"/>
      <c r="VJR45" s="137"/>
      <c r="VJS45" s="137"/>
      <c r="VJT45" s="137"/>
      <c r="VJU45" s="137"/>
      <c r="VJV45" s="137"/>
      <c r="VJW45" s="137"/>
      <c r="VJX45" s="137"/>
      <c r="VJY45" s="137"/>
      <c r="VJZ45" s="137"/>
      <c r="VKA45" s="137"/>
      <c r="VKB45" s="137"/>
      <c r="VKC45" s="137"/>
      <c r="VKD45" s="137"/>
      <c r="VKE45" s="137"/>
      <c r="VKF45" s="137"/>
      <c r="VKG45" s="137"/>
      <c r="VKH45" s="137"/>
      <c r="VKI45" s="137"/>
      <c r="VKJ45" s="137"/>
      <c r="VKK45" s="137"/>
      <c r="VKL45" s="137"/>
      <c r="VKM45" s="137"/>
      <c r="VKN45" s="137"/>
      <c r="VKO45" s="137"/>
      <c r="VKP45" s="137"/>
      <c r="VKQ45" s="137"/>
      <c r="VKR45" s="137"/>
      <c r="VKS45" s="137"/>
      <c r="VKT45" s="137"/>
      <c r="VKU45" s="137"/>
      <c r="VKV45" s="137"/>
      <c r="VKW45" s="137"/>
      <c r="VKX45" s="137"/>
      <c r="VKY45" s="137"/>
      <c r="VKZ45" s="137"/>
      <c r="VLA45" s="137"/>
      <c r="VLB45" s="137"/>
      <c r="VLC45" s="137"/>
      <c r="VLD45" s="137"/>
      <c r="VLE45" s="137"/>
      <c r="VLF45" s="137"/>
      <c r="VLG45" s="137"/>
      <c r="VLH45" s="137"/>
      <c r="VLI45" s="137"/>
      <c r="VLJ45" s="137"/>
      <c r="VLK45" s="137"/>
      <c r="VLL45" s="137"/>
      <c r="VLM45" s="137"/>
      <c r="VLN45" s="137"/>
      <c r="VLO45" s="137"/>
      <c r="VLP45" s="137"/>
      <c r="VLQ45" s="137"/>
      <c r="VLR45" s="137"/>
      <c r="VLS45" s="137"/>
      <c r="VLT45" s="137"/>
      <c r="VLU45" s="137"/>
      <c r="VLV45" s="137"/>
      <c r="VLW45" s="137"/>
      <c r="VLX45" s="137"/>
      <c r="VLY45" s="137"/>
      <c r="VLZ45" s="137"/>
      <c r="VMA45" s="137"/>
      <c r="VMB45" s="137"/>
      <c r="VMC45" s="137"/>
      <c r="VMD45" s="137"/>
      <c r="VME45" s="137"/>
      <c r="VMF45" s="137"/>
      <c r="VMG45" s="137"/>
      <c r="VMH45" s="137"/>
      <c r="VMI45" s="137"/>
      <c r="VMJ45" s="137"/>
      <c r="VMK45" s="137"/>
      <c r="VML45" s="137"/>
      <c r="VMM45" s="137"/>
      <c r="VMN45" s="137"/>
      <c r="VMO45" s="137"/>
      <c r="VMP45" s="137"/>
      <c r="VMQ45" s="137"/>
      <c r="VMR45" s="137"/>
      <c r="VMS45" s="137"/>
      <c r="VMT45" s="137"/>
      <c r="VMU45" s="137"/>
      <c r="VMV45" s="137"/>
      <c r="VMW45" s="137"/>
      <c r="VMX45" s="137"/>
      <c r="VMY45" s="137"/>
      <c r="VMZ45" s="137"/>
      <c r="VNA45" s="137"/>
      <c r="VNB45" s="137"/>
      <c r="VNC45" s="137"/>
      <c r="VND45" s="137"/>
      <c r="VNE45" s="137"/>
      <c r="VNF45" s="137"/>
      <c r="VNG45" s="137"/>
      <c r="VNH45" s="137"/>
      <c r="VNI45" s="137"/>
      <c r="VNJ45" s="137"/>
      <c r="VNK45" s="137"/>
      <c r="VNL45" s="137"/>
      <c r="VNM45" s="137"/>
      <c r="VNN45" s="137"/>
      <c r="VNO45" s="137"/>
      <c r="VNP45" s="137"/>
      <c r="VNQ45" s="137"/>
      <c r="VNR45" s="137"/>
      <c r="VNS45" s="137"/>
      <c r="VNT45" s="137"/>
      <c r="VNU45" s="137"/>
      <c r="VNV45" s="137"/>
      <c r="VNW45" s="137"/>
      <c r="VNX45" s="137"/>
      <c r="VNY45" s="137"/>
      <c r="VNZ45" s="137"/>
      <c r="VOA45" s="137"/>
      <c r="VOB45" s="137"/>
      <c r="VOC45" s="137"/>
      <c r="VOD45" s="137"/>
      <c r="VOE45" s="137"/>
      <c r="VOF45" s="137"/>
      <c r="VOG45" s="137"/>
      <c r="VOH45" s="137"/>
      <c r="VOI45" s="137"/>
      <c r="VOJ45" s="137"/>
      <c r="VOK45" s="137"/>
      <c r="VOL45" s="137"/>
      <c r="VOM45" s="137"/>
      <c r="VON45" s="137"/>
      <c r="VOO45" s="137"/>
      <c r="VOP45" s="137"/>
      <c r="VOQ45" s="137"/>
      <c r="VOR45" s="137"/>
      <c r="VOS45" s="137"/>
      <c r="VOT45" s="137"/>
      <c r="VOU45" s="137"/>
      <c r="VOV45" s="137"/>
      <c r="VOW45" s="137"/>
      <c r="VOX45" s="137"/>
      <c r="VOY45" s="137"/>
      <c r="VOZ45" s="137"/>
      <c r="VPA45" s="137"/>
      <c r="VPB45" s="137"/>
      <c r="VPC45" s="137"/>
      <c r="VPD45" s="137"/>
      <c r="VPE45" s="137"/>
      <c r="VPF45" s="137"/>
      <c r="VPG45" s="137"/>
      <c r="VPH45" s="137"/>
      <c r="VPI45" s="137"/>
      <c r="VPJ45" s="137"/>
      <c r="VPK45" s="137"/>
      <c r="VPL45" s="137"/>
      <c r="VPM45" s="137"/>
      <c r="VPN45" s="137"/>
      <c r="VPO45" s="137"/>
      <c r="VPP45" s="137"/>
      <c r="VPQ45" s="137"/>
      <c r="VPR45" s="137"/>
      <c r="VPS45" s="137"/>
      <c r="VPT45" s="137"/>
      <c r="VPU45" s="137"/>
      <c r="VPV45" s="137"/>
      <c r="VPW45" s="137"/>
      <c r="VPX45" s="137"/>
      <c r="VPY45" s="137"/>
      <c r="VPZ45" s="137"/>
      <c r="VQA45" s="137"/>
      <c r="VQB45" s="137"/>
      <c r="VQC45" s="137"/>
      <c r="VQD45" s="137"/>
      <c r="VQE45" s="137"/>
      <c r="VQF45" s="137"/>
      <c r="VQG45" s="137"/>
      <c r="VQH45" s="137"/>
      <c r="VQI45" s="137"/>
      <c r="VQJ45" s="137"/>
      <c r="VQK45" s="137"/>
      <c r="VQL45" s="137"/>
      <c r="VQM45" s="137"/>
      <c r="VQN45" s="137"/>
      <c r="VQO45" s="137"/>
      <c r="VQP45" s="137"/>
      <c r="VQQ45" s="137"/>
      <c r="VQR45" s="137"/>
      <c r="VQS45" s="137"/>
      <c r="VQT45" s="137"/>
      <c r="VQU45" s="137"/>
      <c r="VQV45" s="137"/>
      <c r="VQW45" s="137"/>
      <c r="VQX45" s="137"/>
      <c r="VQY45" s="137"/>
      <c r="VQZ45" s="137"/>
      <c r="VRA45" s="137"/>
      <c r="VRB45" s="137"/>
      <c r="VRC45" s="137"/>
      <c r="VRD45" s="137"/>
      <c r="VRE45" s="137"/>
      <c r="VRF45" s="137"/>
      <c r="VRG45" s="137"/>
      <c r="VRH45" s="137"/>
      <c r="VRI45" s="137"/>
      <c r="VRJ45" s="137"/>
      <c r="VRK45" s="137"/>
      <c r="VRL45" s="137"/>
      <c r="VRM45" s="137"/>
      <c r="VRN45" s="137"/>
      <c r="VRO45" s="137"/>
      <c r="VRP45" s="137"/>
      <c r="VRQ45" s="137"/>
      <c r="VRR45" s="137"/>
      <c r="VRS45" s="137"/>
      <c r="VRT45" s="137"/>
      <c r="VRU45" s="137"/>
      <c r="VRV45" s="137"/>
      <c r="VRW45" s="137"/>
      <c r="VRX45" s="137"/>
      <c r="VRY45" s="137"/>
      <c r="VRZ45" s="137"/>
      <c r="VSA45" s="137"/>
      <c r="VSB45" s="137"/>
      <c r="VSC45" s="137"/>
      <c r="VSD45" s="137"/>
      <c r="VSE45" s="137"/>
      <c r="VSF45" s="137"/>
      <c r="VSG45" s="137"/>
      <c r="VSH45" s="137"/>
      <c r="VSI45" s="137"/>
      <c r="VSJ45" s="137"/>
      <c r="VSK45" s="137"/>
      <c r="VSL45" s="137"/>
      <c r="VSM45" s="137"/>
      <c r="VSN45" s="137"/>
      <c r="VSO45" s="137"/>
      <c r="VSP45" s="137"/>
      <c r="VSQ45" s="137"/>
      <c r="VSR45" s="137"/>
      <c r="VSS45" s="137"/>
      <c r="VST45" s="137"/>
      <c r="VSU45" s="137"/>
      <c r="VSV45" s="137"/>
      <c r="VSW45" s="137"/>
      <c r="VSX45" s="137"/>
      <c r="VSY45" s="137"/>
      <c r="VSZ45" s="137"/>
      <c r="VTA45" s="137"/>
      <c r="VTB45" s="137"/>
      <c r="VTC45" s="137"/>
      <c r="VTD45" s="137"/>
      <c r="VTE45" s="137"/>
      <c r="VTF45" s="137"/>
      <c r="VTG45" s="137"/>
      <c r="VTH45" s="137"/>
      <c r="VTI45" s="137"/>
      <c r="VTJ45" s="137"/>
      <c r="VTK45" s="137"/>
      <c r="VTL45" s="137"/>
      <c r="VTM45" s="137"/>
      <c r="VTN45" s="137"/>
      <c r="VTO45" s="137"/>
      <c r="VTP45" s="137"/>
      <c r="VTQ45" s="137"/>
      <c r="VTR45" s="137"/>
      <c r="VTS45" s="137"/>
      <c r="VTT45" s="137"/>
      <c r="VTU45" s="137"/>
      <c r="VTV45" s="137"/>
      <c r="VTW45" s="137"/>
      <c r="VTX45" s="137"/>
      <c r="VTY45" s="137"/>
      <c r="VTZ45" s="137"/>
      <c r="VUA45" s="137"/>
      <c r="VUB45" s="137"/>
      <c r="VUC45" s="137"/>
      <c r="VUD45" s="137"/>
      <c r="VUE45" s="137"/>
      <c r="VUF45" s="137"/>
      <c r="VUG45" s="137"/>
      <c r="VUH45" s="137"/>
      <c r="VUI45" s="137"/>
      <c r="VUJ45" s="137"/>
      <c r="VUK45" s="137"/>
      <c r="VUL45" s="137"/>
      <c r="VUM45" s="137"/>
      <c r="VUN45" s="137"/>
      <c r="VUO45" s="137"/>
      <c r="VUP45" s="137"/>
      <c r="VUQ45" s="137"/>
      <c r="VUR45" s="137"/>
      <c r="VUS45" s="137"/>
      <c r="VUT45" s="137"/>
      <c r="VUU45" s="137"/>
      <c r="VUV45" s="137"/>
      <c r="VUW45" s="137"/>
      <c r="VUX45" s="137"/>
      <c r="VUY45" s="137"/>
      <c r="VUZ45" s="137"/>
      <c r="VVA45" s="137"/>
      <c r="VVB45" s="137"/>
      <c r="VVC45" s="137"/>
      <c r="VVD45" s="137"/>
      <c r="VVE45" s="137"/>
      <c r="VVF45" s="137"/>
      <c r="VVG45" s="137"/>
      <c r="VVH45" s="137"/>
      <c r="VVI45" s="137"/>
      <c r="VVJ45" s="137"/>
      <c r="VVK45" s="137"/>
      <c r="VVL45" s="137"/>
      <c r="VVM45" s="137"/>
      <c r="VVN45" s="137"/>
      <c r="VVO45" s="137"/>
      <c r="VVP45" s="137"/>
      <c r="VVQ45" s="137"/>
      <c r="VVR45" s="137"/>
      <c r="VVS45" s="137"/>
      <c r="VVT45" s="137"/>
      <c r="VVU45" s="137"/>
      <c r="VVV45" s="137"/>
      <c r="VVW45" s="137"/>
      <c r="VVX45" s="137"/>
      <c r="VVY45" s="137"/>
      <c r="VVZ45" s="137"/>
      <c r="VWA45" s="137"/>
      <c r="VWB45" s="137"/>
      <c r="VWC45" s="137"/>
      <c r="VWD45" s="137"/>
      <c r="VWE45" s="137"/>
      <c r="VWF45" s="137"/>
      <c r="VWG45" s="137"/>
      <c r="VWH45" s="137"/>
      <c r="VWI45" s="137"/>
      <c r="VWJ45" s="137"/>
      <c r="VWK45" s="137"/>
      <c r="VWL45" s="137"/>
      <c r="VWM45" s="137"/>
      <c r="VWN45" s="137"/>
      <c r="VWO45" s="137"/>
      <c r="VWP45" s="137"/>
      <c r="VWQ45" s="137"/>
      <c r="VWR45" s="137"/>
      <c r="VWS45" s="137"/>
      <c r="VWT45" s="137"/>
      <c r="VWU45" s="137"/>
      <c r="VWV45" s="137"/>
      <c r="VWW45" s="137"/>
      <c r="VWX45" s="137"/>
      <c r="VWY45" s="137"/>
      <c r="VWZ45" s="137"/>
      <c r="VXA45" s="137"/>
      <c r="VXB45" s="137"/>
      <c r="VXC45" s="137"/>
      <c r="VXD45" s="137"/>
      <c r="VXE45" s="137"/>
      <c r="VXF45" s="137"/>
      <c r="VXG45" s="137"/>
      <c r="VXH45" s="137"/>
      <c r="VXI45" s="137"/>
      <c r="VXJ45" s="137"/>
      <c r="VXK45" s="137"/>
      <c r="VXL45" s="137"/>
      <c r="VXM45" s="137"/>
      <c r="VXN45" s="137"/>
      <c r="VXO45" s="137"/>
      <c r="VXP45" s="137"/>
      <c r="VXQ45" s="137"/>
      <c r="VXR45" s="137"/>
      <c r="VXS45" s="137"/>
      <c r="VXT45" s="137"/>
      <c r="VXU45" s="137"/>
      <c r="VXV45" s="137"/>
      <c r="VXW45" s="137"/>
      <c r="VXX45" s="137"/>
      <c r="VXY45" s="137"/>
      <c r="VXZ45" s="137"/>
      <c r="VYA45" s="137"/>
      <c r="VYB45" s="137"/>
      <c r="VYC45" s="137"/>
      <c r="VYD45" s="137"/>
      <c r="VYE45" s="137"/>
      <c r="VYF45" s="137"/>
      <c r="VYG45" s="137"/>
      <c r="VYH45" s="137"/>
      <c r="VYI45" s="137"/>
      <c r="VYJ45" s="137"/>
      <c r="VYK45" s="137"/>
      <c r="VYL45" s="137"/>
      <c r="VYM45" s="137"/>
      <c r="VYN45" s="137"/>
      <c r="VYO45" s="137"/>
      <c r="VYP45" s="137"/>
      <c r="VYQ45" s="137"/>
      <c r="VYR45" s="137"/>
      <c r="VYS45" s="137"/>
      <c r="VYT45" s="137"/>
      <c r="VYU45" s="137"/>
      <c r="VYV45" s="137"/>
      <c r="VYW45" s="137"/>
      <c r="VYX45" s="137"/>
      <c r="VYY45" s="137"/>
      <c r="VYZ45" s="137"/>
      <c r="VZA45" s="137"/>
      <c r="VZB45" s="137"/>
      <c r="VZC45" s="137"/>
      <c r="VZD45" s="137"/>
      <c r="VZE45" s="137"/>
      <c r="VZF45" s="137"/>
      <c r="VZG45" s="137"/>
      <c r="VZH45" s="137"/>
      <c r="VZI45" s="137"/>
      <c r="VZJ45" s="137"/>
      <c r="VZK45" s="137"/>
      <c r="VZL45" s="137"/>
      <c r="VZM45" s="137"/>
      <c r="VZN45" s="137"/>
      <c r="VZO45" s="137"/>
      <c r="VZP45" s="137"/>
      <c r="VZQ45" s="137"/>
      <c r="VZR45" s="137"/>
      <c r="VZS45" s="137"/>
      <c r="VZT45" s="137"/>
      <c r="VZU45" s="137"/>
      <c r="VZV45" s="137"/>
      <c r="VZW45" s="137"/>
      <c r="VZX45" s="137"/>
      <c r="VZY45" s="137"/>
      <c r="VZZ45" s="137"/>
      <c r="WAA45" s="137"/>
      <c r="WAB45" s="137"/>
      <c r="WAC45" s="137"/>
      <c r="WAD45" s="137"/>
      <c r="WAE45" s="137"/>
      <c r="WAF45" s="137"/>
      <c r="WAG45" s="137"/>
      <c r="WAH45" s="137"/>
      <c r="WAI45" s="137"/>
      <c r="WAJ45" s="137"/>
      <c r="WAK45" s="137"/>
      <c r="WAL45" s="137"/>
      <c r="WAM45" s="137"/>
      <c r="WAN45" s="137"/>
      <c r="WAO45" s="137"/>
      <c r="WAP45" s="137"/>
      <c r="WAQ45" s="137"/>
      <c r="WAR45" s="137"/>
      <c r="WAS45" s="137"/>
      <c r="WAT45" s="137"/>
      <c r="WAU45" s="137"/>
      <c r="WAV45" s="137"/>
      <c r="WAW45" s="137"/>
      <c r="WAX45" s="137"/>
      <c r="WAY45" s="137"/>
      <c r="WAZ45" s="137"/>
      <c r="WBA45" s="137"/>
      <c r="WBB45" s="137"/>
      <c r="WBC45" s="137"/>
      <c r="WBD45" s="137"/>
      <c r="WBE45" s="137"/>
      <c r="WBF45" s="137"/>
      <c r="WBG45" s="137"/>
      <c r="WBH45" s="137"/>
      <c r="WBI45" s="137"/>
      <c r="WBJ45" s="137"/>
      <c r="WBK45" s="137"/>
      <c r="WBL45" s="137"/>
      <c r="WBM45" s="137"/>
      <c r="WBN45" s="137"/>
      <c r="WBO45" s="137"/>
      <c r="WBP45" s="137"/>
      <c r="WBQ45" s="137"/>
      <c r="WBR45" s="137"/>
      <c r="WBS45" s="137"/>
      <c r="WBT45" s="137"/>
      <c r="WBU45" s="137"/>
      <c r="WBV45" s="137"/>
      <c r="WBW45" s="137"/>
      <c r="WBX45" s="137"/>
      <c r="WBY45" s="137"/>
      <c r="WBZ45" s="137"/>
      <c r="WCA45" s="137"/>
      <c r="WCB45" s="137"/>
      <c r="WCC45" s="137"/>
      <c r="WCD45" s="137"/>
      <c r="WCE45" s="137"/>
      <c r="WCF45" s="137"/>
      <c r="WCG45" s="137"/>
      <c r="WCH45" s="137"/>
      <c r="WCI45" s="137"/>
      <c r="WCJ45" s="137"/>
      <c r="WCK45" s="137"/>
      <c r="WCL45" s="137"/>
      <c r="WCM45" s="137"/>
      <c r="WCN45" s="137"/>
      <c r="WCO45" s="137"/>
      <c r="WCP45" s="137"/>
      <c r="WCQ45" s="137"/>
      <c r="WCR45" s="137"/>
      <c r="WCS45" s="137"/>
      <c r="WCT45" s="137"/>
      <c r="WCU45" s="137"/>
      <c r="WCV45" s="137"/>
      <c r="WCW45" s="137"/>
      <c r="WCX45" s="137"/>
      <c r="WCY45" s="137"/>
      <c r="WCZ45" s="137"/>
      <c r="WDA45" s="137"/>
      <c r="WDB45" s="137"/>
      <c r="WDC45" s="137"/>
      <c r="WDD45" s="137"/>
      <c r="WDE45" s="137"/>
      <c r="WDF45" s="137"/>
      <c r="WDG45" s="137"/>
      <c r="WDH45" s="137"/>
      <c r="WDI45" s="137"/>
      <c r="WDJ45" s="137"/>
      <c r="WDK45" s="137"/>
      <c r="WDL45" s="137"/>
      <c r="WDM45" s="137"/>
      <c r="WDN45" s="137"/>
      <c r="WDO45" s="137"/>
      <c r="WDP45" s="137"/>
      <c r="WDQ45" s="137"/>
      <c r="WDR45" s="137"/>
      <c r="WDS45" s="137"/>
      <c r="WDT45" s="137"/>
      <c r="WDU45" s="137"/>
      <c r="WDV45" s="137"/>
      <c r="WDW45" s="137"/>
      <c r="WDX45" s="137"/>
      <c r="WDY45" s="137"/>
      <c r="WDZ45" s="137"/>
      <c r="WEA45" s="137"/>
      <c r="WEB45" s="137"/>
      <c r="WEC45" s="137"/>
      <c r="WED45" s="137"/>
      <c r="WEE45" s="137"/>
      <c r="WEF45" s="137"/>
      <c r="WEG45" s="137"/>
      <c r="WEH45" s="137"/>
      <c r="WEI45" s="137"/>
      <c r="WEJ45" s="137"/>
      <c r="WEK45" s="137"/>
      <c r="WEL45" s="137"/>
      <c r="WEM45" s="137"/>
      <c r="WEN45" s="137"/>
      <c r="WEO45" s="137"/>
      <c r="WEP45" s="137"/>
      <c r="WEQ45" s="137"/>
      <c r="WER45" s="137"/>
      <c r="WES45" s="137"/>
      <c r="WET45" s="137"/>
      <c r="WEU45" s="137"/>
      <c r="WEV45" s="137"/>
      <c r="WEW45" s="137"/>
      <c r="WEX45" s="137"/>
      <c r="WEY45" s="137"/>
      <c r="WEZ45" s="137"/>
      <c r="WFA45" s="137"/>
      <c r="WFB45" s="137"/>
      <c r="WFC45" s="137"/>
      <c r="WFD45" s="137"/>
      <c r="WFE45" s="137"/>
      <c r="WFF45" s="137"/>
      <c r="WFG45" s="137"/>
      <c r="WFH45" s="137"/>
      <c r="WFI45" s="137"/>
      <c r="WFJ45" s="137"/>
      <c r="WFK45" s="137"/>
      <c r="WFL45" s="137"/>
      <c r="WFM45" s="137"/>
      <c r="WFN45" s="137"/>
      <c r="WFO45" s="137"/>
      <c r="WFP45" s="137"/>
      <c r="WFQ45" s="137"/>
      <c r="WFR45" s="137"/>
      <c r="WFS45" s="137"/>
      <c r="WFT45" s="137"/>
      <c r="WFU45" s="137"/>
      <c r="WFV45" s="137"/>
      <c r="WFW45" s="137"/>
      <c r="WFX45" s="137"/>
      <c r="WFY45" s="137"/>
      <c r="WFZ45" s="137"/>
      <c r="WGA45" s="137"/>
      <c r="WGB45" s="137"/>
      <c r="WGC45" s="137"/>
      <c r="WGD45" s="137"/>
      <c r="WGE45" s="137"/>
      <c r="WGF45" s="137"/>
      <c r="WGG45" s="137"/>
      <c r="WGH45" s="137"/>
      <c r="WGI45" s="137"/>
      <c r="WGJ45" s="137"/>
      <c r="WGK45" s="137"/>
      <c r="WGL45" s="137"/>
      <c r="WGM45" s="137"/>
      <c r="WGN45" s="137"/>
      <c r="WGO45" s="137"/>
      <c r="WGP45" s="137"/>
      <c r="WGQ45" s="137"/>
      <c r="WGR45" s="137"/>
      <c r="WGS45" s="137"/>
      <c r="WGT45" s="137"/>
      <c r="WGU45" s="137"/>
      <c r="WGV45" s="137"/>
      <c r="WGW45" s="137"/>
      <c r="WGX45" s="137"/>
      <c r="WGY45" s="137"/>
      <c r="WGZ45" s="137"/>
      <c r="WHA45" s="137"/>
      <c r="WHB45" s="137"/>
      <c r="WHC45" s="137"/>
      <c r="WHD45" s="137"/>
      <c r="WHE45" s="137"/>
      <c r="WHF45" s="137"/>
      <c r="WHG45" s="137"/>
      <c r="WHH45" s="137"/>
      <c r="WHI45" s="137"/>
      <c r="WHJ45" s="137"/>
      <c r="WHK45" s="137"/>
      <c r="WHL45" s="137"/>
      <c r="WHM45" s="137"/>
      <c r="WHN45" s="137"/>
      <c r="WHO45" s="137"/>
      <c r="WHP45" s="137"/>
      <c r="WHQ45" s="137"/>
      <c r="WHR45" s="137"/>
      <c r="WHS45" s="137"/>
      <c r="WHT45" s="137"/>
      <c r="WHU45" s="137"/>
      <c r="WHV45" s="137"/>
      <c r="WHW45" s="137"/>
      <c r="WHX45" s="137"/>
      <c r="WHY45" s="137"/>
      <c r="WHZ45" s="137"/>
      <c r="WIA45" s="137"/>
      <c r="WIB45" s="137"/>
      <c r="WIC45" s="137"/>
      <c r="WID45" s="137"/>
      <c r="WIE45" s="137"/>
      <c r="WIF45" s="137"/>
      <c r="WIG45" s="137"/>
      <c r="WIH45" s="137"/>
      <c r="WII45" s="137"/>
      <c r="WIJ45" s="137"/>
      <c r="WIK45" s="137"/>
      <c r="WIL45" s="137"/>
      <c r="WIM45" s="137"/>
      <c r="WIN45" s="137"/>
      <c r="WIO45" s="137"/>
      <c r="WIP45" s="137"/>
      <c r="WIQ45" s="137"/>
      <c r="WIR45" s="137"/>
      <c r="WIS45" s="137"/>
      <c r="WIT45" s="137"/>
      <c r="WIU45" s="137"/>
      <c r="WIV45" s="137"/>
      <c r="WIW45" s="137"/>
      <c r="WIX45" s="137"/>
      <c r="WIY45" s="137"/>
      <c r="WIZ45" s="137"/>
      <c r="WJA45" s="137"/>
      <c r="WJB45" s="137"/>
      <c r="WJC45" s="137"/>
      <c r="WJD45" s="137"/>
      <c r="WJE45" s="137"/>
      <c r="WJF45" s="137"/>
      <c r="WJG45" s="137"/>
      <c r="WJH45" s="137"/>
      <c r="WJI45" s="137"/>
      <c r="WJJ45" s="137"/>
      <c r="WJK45" s="137"/>
      <c r="WJL45" s="137"/>
      <c r="WJM45" s="137"/>
      <c r="WJN45" s="137"/>
      <c r="WJO45" s="137"/>
      <c r="WJP45" s="137"/>
      <c r="WJQ45" s="137"/>
      <c r="WJR45" s="137"/>
      <c r="WJS45" s="137"/>
      <c r="WJT45" s="137"/>
      <c r="WJU45" s="137"/>
      <c r="WJV45" s="137"/>
      <c r="WJW45" s="137"/>
      <c r="WJX45" s="137"/>
      <c r="WJY45" s="137"/>
      <c r="WJZ45" s="137"/>
      <c r="WKA45" s="137"/>
      <c r="WKB45" s="137"/>
      <c r="WKC45" s="137"/>
      <c r="WKD45" s="137"/>
      <c r="WKE45" s="137"/>
      <c r="WKF45" s="137"/>
      <c r="WKG45" s="137"/>
      <c r="WKH45" s="137"/>
      <c r="WKI45" s="137"/>
      <c r="WKJ45" s="137"/>
      <c r="WKK45" s="137"/>
      <c r="WKL45" s="137"/>
      <c r="WKM45" s="137"/>
      <c r="WKN45" s="137"/>
      <c r="WKO45" s="137"/>
      <c r="WKP45" s="137"/>
      <c r="WKQ45" s="137"/>
      <c r="WKR45" s="137"/>
      <c r="WKS45" s="137"/>
      <c r="WKT45" s="137"/>
      <c r="WKU45" s="137"/>
      <c r="WKV45" s="137"/>
      <c r="WKW45" s="137"/>
      <c r="WKX45" s="137"/>
      <c r="WKY45" s="137"/>
      <c r="WKZ45" s="137"/>
      <c r="WLA45" s="137"/>
      <c r="WLB45" s="137"/>
      <c r="WLC45" s="137"/>
      <c r="WLD45" s="137"/>
      <c r="WLE45" s="137"/>
      <c r="WLF45" s="137"/>
      <c r="WLG45" s="137"/>
      <c r="WLH45" s="137"/>
      <c r="WLI45" s="137"/>
      <c r="WLJ45" s="137"/>
      <c r="WLK45" s="137"/>
      <c r="WLL45" s="137"/>
      <c r="WLM45" s="137"/>
      <c r="WLN45" s="137"/>
      <c r="WLO45" s="137"/>
      <c r="WLP45" s="137"/>
      <c r="WLQ45" s="137"/>
      <c r="WLR45" s="137"/>
      <c r="WLS45" s="137"/>
      <c r="WLT45" s="137"/>
      <c r="WLU45" s="137"/>
      <c r="WLV45" s="137"/>
      <c r="WLW45" s="137"/>
      <c r="WLX45" s="137"/>
      <c r="WLY45" s="137"/>
      <c r="WLZ45" s="137"/>
      <c r="WMA45" s="137"/>
      <c r="WMB45" s="137"/>
      <c r="WMC45" s="137"/>
      <c r="WMD45" s="137"/>
      <c r="WME45" s="137"/>
      <c r="WMF45" s="137"/>
      <c r="WMG45" s="137"/>
      <c r="WMH45" s="137"/>
      <c r="WMI45" s="137"/>
      <c r="WMJ45" s="137"/>
      <c r="WMK45" s="137"/>
      <c r="WML45" s="137"/>
      <c r="WMM45" s="137"/>
      <c r="WMN45" s="137"/>
      <c r="WMO45" s="137"/>
      <c r="WMP45" s="137"/>
      <c r="WMQ45" s="137"/>
      <c r="WMR45" s="137"/>
      <c r="WMS45" s="137"/>
      <c r="WMT45" s="137"/>
      <c r="WMU45" s="137"/>
      <c r="WMV45" s="137"/>
      <c r="WMW45" s="137"/>
      <c r="WMX45" s="137"/>
      <c r="WMY45" s="137"/>
      <c r="WMZ45" s="137"/>
      <c r="WNA45" s="137"/>
      <c r="WNB45" s="137"/>
      <c r="WNC45" s="137"/>
      <c r="WND45" s="137"/>
      <c r="WNE45" s="137"/>
      <c r="WNF45" s="137"/>
      <c r="WNG45" s="137"/>
      <c r="WNH45" s="137"/>
      <c r="WNI45" s="137"/>
      <c r="WNJ45" s="137"/>
      <c r="WNK45" s="137"/>
      <c r="WNL45" s="137"/>
      <c r="WNM45" s="137"/>
      <c r="WNN45" s="137"/>
      <c r="WNO45" s="137"/>
      <c r="WNP45" s="137"/>
      <c r="WNQ45" s="137"/>
      <c r="WNR45" s="137"/>
      <c r="WNS45" s="137"/>
      <c r="WNT45" s="137"/>
      <c r="WNU45" s="137"/>
      <c r="WNV45" s="137"/>
      <c r="WNW45" s="137"/>
      <c r="WNX45" s="137"/>
      <c r="WNY45" s="137"/>
      <c r="WNZ45" s="137"/>
      <c r="WOA45" s="137"/>
      <c r="WOB45" s="137"/>
      <c r="WOC45" s="137"/>
      <c r="WOD45" s="137"/>
      <c r="WOE45" s="137"/>
      <c r="WOF45" s="137"/>
      <c r="WOG45" s="137"/>
      <c r="WOH45" s="137"/>
      <c r="WOI45" s="137"/>
      <c r="WOJ45" s="137"/>
      <c r="WOK45" s="137"/>
      <c r="WOL45" s="137"/>
      <c r="WOM45" s="137"/>
      <c r="WON45" s="137"/>
      <c r="WOO45" s="137"/>
      <c r="WOP45" s="137"/>
      <c r="WOQ45" s="137"/>
      <c r="WOR45" s="137"/>
      <c r="WOS45" s="137"/>
      <c r="WOT45" s="137"/>
      <c r="WOU45" s="137"/>
      <c r="WOV45" s="137"/>
      <c r="WOW45" s="137"/>
      <c r="WOX45" s="137"/>
      <c r="WOY45" s="137"/>
      <c r="WOZ45" s="137"/>
      <c r="WPA45" s="137"/>
      <c r="WPB45" s="137"/>
      <c r="WPC45" s="137"/>
      <c r="WPD45" s="137"/>
      <c r="WPE45" s="137"/>
      <c r="WPF45" s="137"/>
      <c r="WPG45" s="137"/>
      <c r="WPH45" s="137"/>
      <c r="WPI45" s="137"/>
      <c r="WPJ45" s="137"/>
      <c r="WPK45" s="137"/>
      <c r="WPL45" s="137"/>
      <c r="WPM45" s="137"/>
      <c r="WPN45" s="137"/>
      <c r="WPO45" s="137"/>
      <c r="WPP45" s="137"/>
      <c r="WPQ45" s="137"/>
      <c r="WPR45" s="137"/>
      <c r="WPS45" s="137"/>
      <c r="WPT45" s="137"/>
      <c r="WPU45" s="137"/>
      <c r="WPV45" s="137"/>
      <c r="WPW45" s="137"/>
      <c r="WPX45" s="137"/>
      <c r="WPY45" s="137"/>
      <c r="WPZ45" s="137"/>
      <c r="WQA45" s="137"/>
      <c r="WQB45" s="137"/>
      <c r="WQC45" s="137"/>
      <c r="WQD45" s="137"/>
      <c r="WQE45" s="137"/>
      <c r="WQF45" s="137"/>
      <c r="WQG45" s="137"/>
      <c r="WQH45" s="137"/>
      <c r="WQI45" s="137"/>
      <c r="WQJ45" s="137"/>
      <c r="WQK45" s="137"/>
      <c r="WQL45" s="137"/>
      <c r="WQM45" s="137"/>
      <c r="WQN45" s="137"/>
      <c r="WQO45" s="137"/>
      <c r="WQP45" s="137"/>
      <c r="WQQ45" s="137"/>
      <c r="WQR45" s="137"/>
      <c r="WQS45" s="137"/>
      <c r="WQT45" s="137"/>
      <c r="WQU45" s="137"/>
      <c r="WQV45" s="137"/>
      <c r="WQW45" s="137"/>
      <c r="WQX45" s="137"/>
      <c r="WQY45" s="137"/>
      <c r="WQZ45" s="137"/>
      <c r="WRA45" s="137"/>
      <c r="WRB45" s="137"/>
      <c r="WRC45" s="137"/>
      <c r="WRD45" s="137"/>
      <c r="WRE45" s="137"/>
      <c r="WRF45" s="137"/>
      <c r="WRG45" s="137"/>
      <c r="WRH45" s="137"/>
      <c r="WRI45" s="137"/>
      <c r="WRJ45" s="137"/>
      <c r="WRK45" s="137"/>
      <c r="WRL45" s="137"/>
      <c r="WRM45" s="137"/>
      <c r="WRN45" s="137"/>
      <c r="WRO45" s="137"/>
      <c r="WRP45" s="137"/>
      <c r="WRQ45" s="137"/>
      <c r="WRR45" s="137"/>
      <c r="WRS45" s="137"/>
      <c r="WRT45" s="137"/>
      <c r="WRU45" s="137"/>
      <c r="WRV45" s="137"/>
      <c r="WRW45" s="137"/>
      <c r="WRX45" s="137"/>
      <c r="WRY45" s="137"/>
      <c r="WRZ45" s="137"/>
      <c r="WSA45" s="137"/>
      <c r="WSB45" s="137"/>
      <c r="WSC45" s="137"/>
      <c r="WSD45" s="137"/>
      <c r="WSE45" s="137"/>
      <c r="WSF45" s="137"/>
      <c r="WSG45" s="137"/>
      <c r="WSH45" s="137"/>
      <c r="WSI45" s="137"/>
      <c r="WSJ45" s="137"/>
      <c r="WSK45" s="137"/>
      <c r="WSL45" s="137"/>
      <c r="WSM45" s="137"/>
      <c r="WSN45" s="137"/>
      <c r="WSO45" s="137"/>
      <c r="WSP45" s="137"/>
      <c r="WSQ45" s="137"/>
      <c r="WSR45" s="137"/>
      <c r="WSS45" s="137"/>
      <c r="WST45" s="137"/>
      <c r="WSU45" s="137"/>
      <c r="WSV45" s="137"/>
      <c r="WSW45" s="137"/>
      <c r="WSX45" s="137"/>
      <c r="WSY45" s="137"/>
      <c r="WSZ45" s="137"/>
      <c r="WTA45" s="137"/>
      <c r="WTB45" s="137"/>
      <c r="WTC45" s="137"/>
      <c r="WTD45" s="137"/>
      <c r="WTE45" s="137"/>
      <c r="WTF45" s="137"/>
      <c r="WTG45" s="137"/>
      <c r="WTH45" s="137"/>
      <c r="WTI45" s="137"/>
      <c r="WTJ45" s="137"/>
      <c r="WTK45" s="137"/>
      <c r="WTL45" s="137"/>
      <c r="WTM45" s="137"/>
      <c r="WTN45" s="137"/>
      <c r="WTO45" s="137"/>
      <c r="WTP45" s="137"/>
      <c r="WTQ45" s="137"/>
      <c r="WTR45" s="137"/>
      <c r="WTS45" s="137"/>
      <c r="WTT45" s="137"/>
      <c r="WTU45" s="137"/>
      <c r="WTV45" s="137"/>
      <c r="WTW45" s="137"/>
      <c r="WTX45" s="137"/>
      <c r="WTY45" s="137"/>
      <c r="WTZ45" s="137"/>
      <c r="WUA45" s="137"/>
      <c r="WUB45" s="137"/>
      <c r="WUC45" s="137"/>
      <c r="WUD45" s="137"/>
      <c r="WUE45" s="137"/>
      <c r="WUF45" s="137"/>
      <c r="WUG45" s="137"/>
      <c r="WUH45" s="137"/>
      <c r="WUI45" s="137"/>
      <c r="WUJ45" s="137"/>
      <c r="WUK45" s="137"/>
      <c r="WUL45" s="137"/>
      <c r="WUM45" s="137"/>
      <c r="WUN45" s="137"/>
      <c r="WUO45" s="137"/>
      <c r="WUP45" s="137"/>
      <c r="WUQ45" s="137"/>
      <c r="WUR45" s="137"/>
      <c r="WUS45" s="137"/>
      <c r="WUT45" s="137"/>
      <c r="WUU45" s="137"/>
      <c r="WUV45" s="137"/>
      <c r="WUW45" s="137"/>
      <c r="WUX45" s="137"/>
      <c r="WUY45" s="137"/>
      <c r="WUZ45" s="137"/>
      <c r="WVA45" s="137"/>
      <c r="WVB45" s="137"/>
      <c r="WVC45" s="137"/>
      <c r="WVD45" s="137"/>
      <c r="WVE45" s="137"/>
      <c r="WVF45" s="137"/>
      <c r="WVG45" s="137"/>
      <c r="WVH45" s="137"/>
      <c r="WVI45" s="137"/>
      <c r="WVJ45" s="137"/>
      <c r="WVK45" s="137"/>
      <c r="WVL45" s="137"/>
      <c r="WVM45" s="137"/>
      <c r="WVN45" s="137"/>
      <c r="WVO45" s="137"/>
      <c r="WVP45" s="137"/>
      <c r="WVQ45" s="137"/>
      <c r="WVR45" s="137"/>
      <c r="WVS45" s="137"/>
      <c r="WVT45" s="137"/>
      <c r="WVU45" s="137"/>
      <c r="WVV45" s="137"/>
      <c r="WVW45" s="137"/>
      <c r="WVX45" s="137"/>
      <c r="WVY45" s="137"/>
      <c r="WVZ45" s="137"/>
      <c r="WWA45" s="137"/>
      <c r="WWB45" s="137"/>
      <c r="WWC45" s="137"/>
      <c r="WWD45" s="137"/>
      <c r="WWE45" s="137"/>
      <c r="WWF45" s="137"/>
      <c r="WWG45" s="137"/>
      <c r="WWH45" s="137"/>
      <c r="WWI45" s="137"/>
      <c r="WWJ45" s="137"/>
      <c r="WWK45" s="137"/>
      <c r="WWL45" s="137"/>
      <c r="WWM45" s="137"/>
      <c r="WWN45" s="137"/>
      <c r="WWO45" s="137"/>
      <c r="WWP45" s="137"/>
      <c r="WWQ45" s="137"/>
      <c r="WWR45" s="137"/>
      <c r="WWS45" s="137"/>
      <c r="WWT45" s="137"/>
      <c r="WWU45" s="137"/>
      <c r="WWV45" s="137"/>
      <c r="WWW45" s="137"/>
      <c r="WWX45" s="137"/>
      <c r="WWY45" s="137"/>
      <c r="WWZ45" s="137"/>
      <c r="WXA45" s="137"/>
      <c r="WXB45" s="137"/>
      <c r="WXC45" s="137"/>
      <c r="WXD45" s="137"/>
      <c r="WXE45" s="137"/>
      <c r="WXF45" s="137"/>
      <c r="WXG45" s="137"/>
      <c r="WXH45" s="137"/>
      <c r="WXI45" s="137"/>
      <c r="WXJ45" s="137"/>
      <c r="WXK45" s="137"/>
      <c r="WXL45" s="137"/>
      <c r="WXM45" s="137"/>
      <c r="WXN45" s="137"/>
      <c r="WXO45" s="137"/>
      <c r="WXP45" s="137"/>
      <c r="WXQ45" s="137"/>
      <c r="WXR45" s="137"/>
      <c r="WXS45" s="137"/>
      <c r="WXT45" s="137"/>
      <c r="WXU45" s="137"/>
      <c r="WXV45" s="137"/>
      <c r="WXW45" s="137"/>
      <c r="WXX45" s="137"/>
      <c r="WXY45" s="137"/>
      <c r="WXZ45" s="137"/>
      <c r="WYA45" s="137"/>
      <c r="WYB45" s="137"/>
      <c r="WYC45" s="137"/>
      <c r="WYD45" s="137"/>
      <c r="WYE45" s="137"/>
      <c r="WYF45" s="137"/>
      <c r="WYG45" s="137"/>
      <c r="WYH45" s="137"/>
      <c r="WYI45" s="137"/>
      <c r="WYJ45" s="137"/>
      <c r="WYK45" s="137"/>
      <c r="WYL45" s="137"/>
      <c r="WYM45" s="137"/>
      <c r="WYN45" s="137"/>
      <c r="WYO45" s="137"/>
      <c r="WYP45" s="137"/>
      <c r="WYQ45" s="137"/>
      <c r="WYR45" s="137"/>
      <c r="WYS45" s="137"/>
      <c r="WYT45" s="137"/>
      <c r="WYU45" s="137"/>
      <c r="WYV45" s="137"/>
      <c r="WYW45" s="137"/>
      <c r="WYX45" s="137"/>
      <c r="WYY45" s="137"/>
      <c r="WYZ45" s="137"/>
      <c r="WZA45" s="137"/>
      <c r="WZB45" s="137"/>
      <c r="WZC45" s="137"/>
      <c r="WZD45" s="137"/>
      <c r="WZE45" s="137"/>
      <c r="WZF45" s="137"/>
      <c r="WZG45" s="137"/>
      <c r="WZH45" s="137"/>
      <c r="WZI45" s="137"/>
      <c r="WZJ45" s="137"/>
      <c r="WZK45" s="137"/>
      <c r="WZL45" s="137"/>
      <c r="WZM45" s="137"/>
      <c r="WZN45" s="137"/>
      <c r="WZO45" s="137"/>
      <c r="WZP45" s="137"/>
      <c r="WZQ45" s="137"/>
      <c r="WZR45" s="137"/>
      <c r="WZS45" s="137"/>
      <c r="WZT45" s="137"/>
      <c r="WZU45" s="137"/>
      <c r="WZV45" s="137"/>
      <c r="WZW45" s="137"/>
      <c r="WZX45" s="137"/>
      <c r="WZY45" s="137"/>
      <c r="WZZ45" s="137"/>
      <c r="XAA45" s="137"/>
      <c r="XAB45" s="137"/>
      <c r="XAC45" s="137"/>
      <c r="XAD45" s="137"/>
      <c r="XAE45" s="137"/>
      <c r="XAF45" s="137"/>
      <c r="XAG45" s="137"/>
      <c r="XAH45" s="137"/>
      <c r="XAI45" s="137"/>
      <c r="XAJ45" s="137"/>
      <c r="XAK45" s="137"/>
      <c r="XAL45" s="137"/>
      <c r="XAM45" s="137"/>
      <c r="XAN45" s="137"/>
      <c r="XAO45" s="137"/>
      <c r="XAP45" s="137"/>
      <c r="XAQ45" s="137"/>
      <c r="XAR45" s="137"/>
      <c r="XAS45" s="137"/>
      <c r="XAT45" s="137"/>
      <c r="XAU45" s="137"/>
      <c r="XAV45" s="137"/>
      <c r="XAW45" s="137"/>
      <c r="XAX45" s="137"/>
      <c r="XAY45" s="137"/>
      <c r="XAZ45" s="137"/>
      <c r="XBA45" s="137"/>
      <c r="XBB45" s="137"/>
      <c r="XBC45" s="137"/>
      <c r="XBD45" s="137"/>
      <c r="XBE45" s="137"/>
      <c r="XBF45" s="137"/>
      <c r="XBG45" s="137"/>
      <c r="XBH45" s="137"/>
      <c r="XBI45" s="137"/>
      <c r="XBJ45" s="137"/>
      <c r="XBK45" s="137"/>
      <c r="XBL45" s="137"/>
      <c r="XBM45" s="137"/>
      <c r="XBN45" s="137"/>
      <c r="XBO45" s="137"/>
      <c r="XBP45" s="137"/>
      <c r="XBQ45" s="137"/>
      <c r="XBR45" s="137"/>
      <c r="XBS45" s="137"/>
      <c r="XBT45" s="137"/>
      <c r="XBU45" s="137"/>
      <c r="XBV45" s="137"/>
      <c r="XBW45" s="137"/>
      <c r="XBX45" s="137"/>
      <c r="XBY45" s="137"/>
      <c r="XBZ45" s="137"/>
      <c r="XCA45" s="137"/>
      <c r="XCB45" s="137"/>
      <c r="XCC45" s="137"/>
      <c r="XCD45" s="137"/>
      <c r="XCE45" s="137"/>
      <c r="XCF45" s="137"/>
      <c r="XCG45" s="137"/>
      <c r="XCH45" s="137"/>
      <c r="XCI45" s="137"/>
      <c r="XCJ45" s="137"/>
      <c r="XCK45" s="137"/>
      <c r="XCL45" s="137"/>
      <c r="XCM45" s="137"/>
      <c r="XCN45" s="137"/>
      <c r="XCO45" s="137"/>
      <c r="XCP45" s="137"/>
      <c r="XCQ45" s="137"/>
      <c r="XCR45" s="137"/>
      <c r="XCS45" s="137"/>
      <c r="XCT45" s="137"/>
      <c r="XCU45" s="137"/>
      <c r="XCV45" s="137"/>
      <c r="XCW45" s="137"/>
      <c r="XCX45" s="137"/>
      <c r="XCY45" s="137"/>
      <c r="XCZ45" s="137"/>
      <c r="XDA45" s="137"/>
      <c r="XDB45" s="137"/>
      <c r="XDC45" s="137"/>
      <c r="XDD45" s="137"/>
      <c r="XDE45" s="137"/>
      <c r="XDF45" s="137"/>
      <c r="XDG45" s="137"/>
      <c r="XDH45" s="137"/>
      <c r="XDI45" s="137"/>
      <c r="XDJ45" s="137"/>
      <c r="XDK45" s="137"/>
      <c r="XDL45" s="137"/>
      <c r="XDM45" s="137"/>
      <c r="XDN45" s="137"/>
      <c r="XDO45" s="137"/>
      <c r="XDP45" s="137"/>
      <c r="XDQ45" s="137"/>
      <c r="XDR45" s="137"/>
      <c r="XDS45" s="137"/>
      <c r="XDT45" s="137"/>
      <c r="XDU45" s="137"/>
      <c r="XDV45" s="137"/>
      <c r="XDW45" s="137"/>
      <c r="XDX45" s="137"/>
      <c r="XDY45" s="137"/>
      <c r="XDZ45" s="137"/>
      <c r="XEA45" s="137"/>
      <c r="XEB45" s="137"/>
      <c r="XEC45" s="137"/>
      <c r="XED45" s="137"/>
      <c r="XEE45" s="137"/>
      <c r="XEF45" s="137"/>
      <c r="XEG45" s="137"/>
      <c r="XEH45" s="137"/>
      <c r="XEI45" s="137"/>
      <c r="XEJ45" s="137"/>
      <c r="XEK45" s="137"/>
      <c r="XEL45" s="137"/>
      <c r="XEM45" s="137"/>
      <c r="XEN45" s="137"/>
      <c r="XEO45" s="137"/>
      <c r="XEP45" s="137"/>
      <c r="XEQ45" s="137"/>
      <c r="XER45" s="137"/>
      <c r="XES45" s="137"/>
      <c r="XET45" s="137"/>
      <c r="XEU45" s="137"/>
      <c r="XEV45" s="137"/>
      <c r="XEW45" s="137"/>
      <c r="XEX45" s="137"/>
      <c r="XEY45" s="137"/>
      <c r="XEZ45" s="137"/>
      <c r="XFA45" s="137"/>
      <c r="XFB45" s="137"/>
      <c r="XFC45" s="137"/>
    </row>
    <row r="46" spans="1:16383" s="98" customFormat="1" ht="26.25" customHeight="1">
      <c r="A46" s="136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9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  <c r="JF46" s="137"/>
      <c r="JG46" s="137"/>
      <c r="JH46" s="137"/>
      <c r="JI46" s="137"/>
      <c r="JJ46" s="137"/>
      <c r="JK46" s="137"/>
      <c r="JL46" s="137"/>
      <c r="JM46" s="137"/>
      <c r="JN46" s="137"/>
      <c r="JO46" s="137"/>
      <c r="JP46" s="137"/>
      <c r="JQ46" s="137"/>
      <c r="JR46" s="137"/>
      <c r="JS46" s="137"/>
      <c r="JT46" s="137"/>
      <c r="JU46" s="137"/>
      <c r="JV46" s="137"/>
      <c r="JW46" s="137"/>
      <c r="JX46" s="137"/>
      <c r="JY46" s="137"/>
      <c r="JZ46" s="137"/>
      <c r="KA46" s="137"/>
      <c r="KB46" s="137"/>
      <c r="KC46" s="137"/>
      <c r="KD46" s="137"/>
      <c r="KE46" s="137"/>
      <c r="KF46" s="137"/>
      <c r="KG46" s="137"/>
      <c r="KH46" s="137"/>
      <c r="KI46" s="137"/>
      <c r="KJ46" s="137"/>
      <c r="KK46" s="137"/>
      <c r="KL46" s="137"/>
      <c r="KM46" s="137"/>
      <c r="KN46" s="137"/>
      <c r="KO46" s="137"/>
      <c r="KP46" s="137"/>
      <c r="KQ46" s="137"/>
      <c r="KR46" s="137"/>
      <c r="KS46" s="137"/>
      <c r="KT46" s="137"/>
      <c r="KU46" s="137"/>
      <c r="KV46" s="137"/>
      <c r="KW46" s="137"/>
      <c r="KX46" s="137"/>
      <c r="KY46" s="137"/>
      <c r="KZ46" s="137"/>
      <c r="LA46" s="137"/>
      <c r="LB46" s="137"/>
      <c r="LC46" s="137"/>
      <c r="LD46" s="137"/>
      <c r="LE46" s="137"/>
      <c r="LF46" s="137"/>
      <c r="LG46" s="137"/>
      <c r="LH46" s="137"/>
      <c r="LI46" s="137"/>
      <c r="LJ46" s="137"/>
      <c r="LK46" s="137"/>
      <c r="LL46" s="137"/>
      <c r="LM46" s="137"/>
      <c r="LN46" s="137"/>
      <c r="LO46" s="137"/>
      <c r="LP46" s="137"/>
      <c r="LQ46" s="137"/>
      <c r="LR46" s="137"/>
      <c r="LS46" s="137"/>
      <c r="LT46" s="137"/>
      <c r="LU46" s="137"/>
      <c r="LV46" s="137"/>
      <c r="LW46" s="137"/>
      <c r="LX46" s="137"/>
      <c r="LY46" s="137"/>
      <c r="LZ46" s="137"/>
      <c r="MA46" s="137"/>
      <c r="MB46" s="137"/>
      <c r="MC46" s="137"/>
      <c r="MD46" s="137"/>
      <c r="ME46" s="137"/>
      <c r="MF46" s="137"/>
      <c r="MG46" s="137"/>
      <c r="MH46" s="137"/>
      <c r="MI46" s="137"/>
      <c r="MJ46" s="137"/>
      <c r="MK46" s="137"/>
      <c r="ML46" s="137"/>
      <c r="MM46" s="137"/>
      <c r="MN46" s="137"/>
      <c r="MO46" s="137"/>
      <c r="MP46" s="137"/>
      <c r="MQ46" s="137"/>
      <c r="MR46" s="137"/>
      <c r="MS46" s="137"/>
      <c r="MT46" s="137"/>
      <c r="MU46" s="137"/>
      <c r="MV46" s="137"/>
      <c r="MW46" s="137"/>
      <c r="MX46" s="137"/>
      <c r="MY46" s="137"/>
      <c r="MZ46" s="137"/>
      <c r="NA46" s="137"/>
      <c r="NB46" s="137"/>
      <c r="NC46" s="137"/>
      <c r="ND46" s="137"/>
      <c r="NE46" s="137"/>
      <c r="NF46" s="137"/>
      <c r="NG46" s="137"/>
      <c r="NH46" s="137"/>
      <c r="NI46" s="137"/>
      <c r="NJ46" s="137"/>
      <c r="NK46" s="137"/>
      <c r="NL46" s="137"/>
      <c r="NM46" s="137"/>
      <c r="NN46" s="137"/>
      <c r="NO46" s="137"/>
      <c r="NP46" s="137"/>
      <c r="NQ46" s="137"/>
      <c r="NR46" s="137"/>
      <c r="NS46" s="137"/>
      <c r="NT46" s="137"/>
      <c r="NU46" s="137"/>
      <c r="NV46" s="137"/>
      <c r="NW46" s="137"/>
      <c r="NX46" s="137"/>
      <c r="NY46" s="137"/>
      <c r="NZ46" s="137"/>
      <c r="OA46" s="137"/>
      <c r="OB46" s="137"/>
      <c r="OC46" s="137"/>
      <c r="OD46" s="137"/>
      <c r="OE46" s="137"/>
      <c r="OF46" s="137"/>
      <c r="OG46" s="137"/>
      <c r="OH46" s="137"/>
      <c r="OI46" s="137"/>
      <c r="OJ46" s="137"/>
      <c r="OK46" s="137"/>
      <c r="OL46" s="137"/>
      <c r="OM46" s="137"/>
      <c r="ON46" s="137"/>
      <c r="OO46" s="137"/>
      <c r="OP46" s="137"/>
      <c r="OQ46" s="137"/>
      <c r="OR46" s="137"/>
      <c r="OS46" s="137"/>
      <c r="OT46" s="137"/>
      <c r="OU46" s="137"/>
      <c r="OV46" s="137"/>
      <c r="OW46" s="137"/>
      <c r="OX46" s="137"/>
      <c r="OY46" s="137"/>
      <c r="OZ46" s="137"/>
      <c r="PA46" s="137"/>
      <c r="PB46" s="137"/>
      <c r="PC46" s="137"/>
      <c r="PD46" s="137"/>
      <c r="PE46" s="137"/>
      <c r="PF46" s="137"/>
      <c r="PG46" s="137"/>
      <c r="PH46" s="137"/>
      <c r="PI46" s="137"/>
      <c r="PJ46" s="137"/>
      <c r="PK46" s="137"/>
      <c r="PL46" s="137"/>
      <c r="PM46" s="137"/>
      <c r="PN46" s="137"/>
      <c r="PO46" s="137"/>
      <c r="PP46" s="137"/>
      <c r="PQ46" s="137"/>
      <c r="PR46" s="137"/>
      <c r="PS46" s="137"/>
      <c r="PT46" s="137"/>
      <c r="PU46" s="137"/>
      <c r="PV46" s="137"/>
      <c r="PW46" s="137"/>
      <c r="PX46" s="137"/>
      <c r="PY46" s="137"/>
      <c r="PZ46" s="137"/>
      <c r="QA46" s="137"/>
      <c r="QB46" s="137"/>
      <c r="QC46" s="137"/>
      <c r="QD46" s="137"/>
      <c r="QE46" s="137"/>
      <c r="QF46" s="137"/>
      <c r="QG46" s="137"/>
      <c r="QH46" s="137"/>
      <c r="QI46" s="137"/>
      <c r="QJ46" s="137"/>
      <c r="QK46" s="137"/>
      <c r="QL46" s="137"/>
      <c r="QM46" s="137"/>
      <c r="QN46" s="137"/>
      <c r="QO46" s="137"/>
      <c r="QP46" s="137"/>
      <c r="QQ46" s="137"/>
      <c r="QR46" s="137"/>
      <c r="QS46" s="137"/>
      <c r="QT46" s="137"/>
      <c r="QU46" s="137"/>
      <c r="QV46" s="137"/>
      <c r="QW46" s="137"/>
      <c r="QX46" s="137"/>
      <c r="QY46" s="137"/>
      <c r="QZ46" s="137"/>
      <c r="RA46" s="137"/>
      <c r="RB46" s="137"/>
      <c r="RC46" s="137"/>
      <c r="RD46" s="137"/>
      <c r="RE46" s="137"/>
      <c r="RF46" s="137"/>
      <c r="RG46" s="137"/>
      <c r="RH46" s="137"/>
      <c r="RI46" s="137"/>
      <c r="RJ46" s="137"/>
      <c r="RK46" s="137"/>
      <c r="RL46" s="137"/>
      <c r="RM46" s="137"/>
      <c r="RN46" s="137"/>
      <c r="RO46" s="137"/>
      <c r="RP46" s="137"/>
      <c r="RQ46" s="137"/>
      <c r="RR46" s="137"/>
      <c r="RS46" s="137"/>
      <c r="RT46" s="137"/>
      <c r="RU46" s="137"/>
      <c r="RV46" s="137"/>
      <c r="RW46" s="137"/>
      <c r="RX46" s="137"/>
      <c r="RY46" s="137"/>
      <c r="RZ46" s="137"/>
      <c r="SA46" s="137"/>
      <c r="SB46" s="137"/>
      <c r="SC46" s="137"/>
      <c r="SD46" s="137"/>
      <c r="SE46" s="137"/>
      <c r="SF46" s="137"/>
      <c r="SG46" s="137"/>
      <c r="SH46" s="137"/>
      <c r="SI46" s="137"/>
      <c r="SJ46" s="137"/>
      <c r="SK46" s="137"/>
      <c r="SL46" s="137"/>
      <c r="SM46" s="137"/>
      <c r="SN46" s="137"/>
      <c r="SO46" s="137"/>
      <c r="SP46" s="137"/>
      <c r="SQ46" s="137"/>
      <c r="SR46" s="137"/>
      <c r="SS46" s="137"/>
      <c r="ST46" s="137"/>
      <c r="SU46" s="137"/>
      <c r="SV46" s="137"/>
      <c r="SW46" s="137"/>
      <c r="SX46" s="137"/>
      <c r="SY46" s="137"/>
      <c r="SZ46" s="137"/>
      <c r="TA46" s="137"/>
      <c r="TB46" s="137"/>
      <c r="TC46" s="137"/>
      <c r="TD46" s="137"/>
      <c r="TE46" s="137"/>
      <c r="TF46" s="137"/>
      <c r="TG46" s="137"/>
      <c r="TH46" s="137"/>
      <c r="TI46" s="137"/>
      <c r="TJ46" s="137"/>
      <c r="TK46" s="137"/>
      <c r="TL46" s="137"/>
      <c r="TM46" s="137"/>
      <c r="TN46" s="137"/>
      <c r="TO46" s="137"/>
      <c r="TP46" s="137"/>
      <c r="TQ46" s="137"/>
      <c r="TR46" s="137"/>
      <c r="TS46" s="137"/>
      <c r="TT46" s="137"/>
      <c r="TU46" s="137"/>
      <c r="TV46" s="137"/>
      <c r="TW46" s="137"/>
      <c r="TX46" s="137"/>
      <c r="TY46" s="137"/>
      <c r="TZ46" s="137"/>
      <c r="UA46" s="137"/>
      <c r="UB46" s="137"/>
      <c r="UC46" s="137"/>
      <c r="UD46" s="137"/>
      <c r="UE46" s="137"/>
      <c r="UF46" s="137"/>
      <c r="UG46" s="137"/>
      <c r="UH46" s="137"/>
      <c r="UI46" s="137"/>
      <c r="UJ46" s="137"/>
      <c r="UK46" s="137"/>
      <c r="UL46" s="137"/>
      <c r="UM46" s="137"/>
      <c r="UN46" s="137"/>
      <c r="UO46" s="137"/>
      <c r="UP46" s="137"/>
      <c r="UQ46" s="137"/>
      <c r="UR46" s="137"/>
      <c r="US46" s="137"/>
      <c r="UT46" s="137"/>
      <c r="UU46" s="137"/>
      <c r="UV46" s="137"/>
      <c r="UW46" s="137"/>
      <c r="UX46" s="137"/>
      <c r="UY46" s="137"/>
      <c r="UZ46" s="137"/>
      <c r="VA46" s="137"/>
      <c r="VB46" s="137"/>
      <c r="VC46" s="137"/>
      <c r="VD46" s="137"/>
      <c r="VE46" s="137"/>
      <c r="VF46" s="137"/>
      <c r="VG46" s="137"/>
      <c r="VH46" s="137"/>
      <c r="VI46" s="137"/>
      <c r="VJ46" s="137"/>
      <c r="VK46" s="137"/>
      <c r="VL46" s="137"/>
      <c r="VM46" s="137"/>
      <c r="VN46" s="137"/>
      <c r="VO46" s="137"/>
      <c r="VP46" s="137"/>
      <c r="VQ46" s="137"/>
      <c r="VR46" s="137"/>
      <c r="VS46" s="137"/>
      <c r="VT46" s="137"/>
      <c r="VU46" s="137"/>
      <c r="VV46" s="137"/>
      <c r="VW46" s="137"/>
      <c r="VX46" s="137"/>
      <c r="VY46" s="137"/>
      <c r="VZ46" s="137"/>
      <c r="WA46" s="137"/>
      <c r="WB46" s="137"/>
      <c r="WC46" s="137"/>
      <c r="WD46" s="137"/>
      <c r="WE46" s="137"/>
      <c r="WF46" s="137"/>
      <c r="WG46" s="137"/>
      <c r="WH46" s="137"/>
      <c r="WI46" s="137"/>
      <c r="WJ46" s="137"/>
      <c r="WK46" s="137"/>
      <c r="WL46" s="137"/>
      <c r="WM46" s="137"/>
      <c r="WN46" s="137"/>
      <c r="WO46" s="137"/>
      <c r="WP46" s="137"/>
      <c r="WQ46" s="137"/>
      <c r="WR46" s="137"/>
      <c r="WS46" s="137"/>
      <c r="WT46" s="137"/>
      <c r="WU46" s="137"/>
      <c r="WV46" s="137"/>
      <c r="WW46" s="137"/>
      <c r="WX46" s="137"/>
      <c r="WY46" s="137"/>
      <c r="WZ46" s="137"/>
      <c r="XA46" s="137"/>
      <c r="XB46" s="137"/>
      <c r="XC46" s="137"/>
      <c r="XD46" s="137"/>
      <c r="XE46" s="137"/>
      <c r="XF46" s="137"/>
      <c r="XG46" s="137"/>
      <c r="XH46" s="137"/>
      <c r="XI46" s="137"/>
      <c r="XJ46" s="137"/>
      <c r="XK46" s="137"/>
      <c r="XL46" s="137"/>
      <c r="XM46" s="137"/>
      <c r="XN46" s="137"/>
      <c r="XO46" s="137"/>
      <c r="XP46" s="137"/>
      <c r="XQ46" s="137"/>
      <c r="XR46" s="137"/>
      <c r="XS46" s="137"/>
      <c r="XT46" s="137"/>
      <c r="XU46" s="137"/>
      <c r="XV46" s="137"/>
      <c r="XW46" s="137"/>
      <c r="XX46" s="137"/>
      <c r="XY46" s="137"/>
      <c r="XZ46" s="137"/>
      <c r="YA46" s="137"/>
      <c r="YB46" s="137"/>
      <c r="YC46" s="137"/>
      <c r="YD46" s="137"/>
      <c r="YE46" s="137"/>
      <c r="YF46" s="137"/>
      <c r="YG46" s="137"/>
      <c r="YH46" s="137"/>
      <c r="YI46" s="137"/>
      <c r="YJ46" s="137"/>
      <c r="YK46" s="137"/>
      <c r="YL46" s="137"/>
      <c r="YM46" s="137"/>
      <c r="YN46" s="137"/>
      <c r="YO46" s="137"/>
      <c r="YP46" s="137"/>
      <c r="YQ46" s="137"/>
      <c r="YR46" s="137"/>
      <c r="YS46" s="137"/>
      <c r="YT46" s="137"/>
      <c r="YU46" s="137"/>
      <c r="YV46" s="137"/>
      <c r="YW46" s="137"/>
      <c r="YX46" s="137"/>
      <c r="YY46" s="137"/>
      <c r="YZ46" s="137"/>
      <c r="ZA46" s="137"/>
      <c r="ZB46" s="137"/>
      <c r="ZC46" s="137"/>
      <c r="ZD46" s="137"/>
      <c r="ZE46" s="137"/>
      <c r="ZF46" s="137"/>
      <c r="ZG46" s="137"/>
      <c r="ZH46" s="137"/>
      <c r="ZI46" s="137"/>
      <c r="ZJ46" s="137"/>
      <c r="ZK46" s="137"/>
      <c r="ZL46" s="137"/>
      <c r="ZM46" s="137"/>
      <c r="ZN46" s="137"/>
      <c r="ZO46" s="137"/>
      <c r="ZP46" s="137"/>
      <c r="ZQ46" s="137"/>
      <c r="ZR46" s="137"/>
      <c r="ZS46" s="137"/>
      <c r="ZT46" s="137"/>
      <c r="ZU46" s="137"/>
      <c r="ZV46" s="137"/>
      <c r="ZW46" s="137"/>
      <c r="ZX46" s="137"/>
      <c r="ZY46" s="137"/>
      <c r="ZZ46" s="137"/>
      <c r="AAA46" s="137"/>
      <c r="AAB46" s="137"/>
      <c r="AAC46" s="137"/>
      <c r="AAD46" s="137"/>
      <c r="AAE46" s="137"/>
      <c r="AAF46" s="137"/>
      <c r="AAG46" s="137"/>
      <c r="AAH46" s="137"/>
      <c r="AAI46" s="137"/>
      <c r="AAJ46" s="137"/>
      <c r="AAK46" s="137"/>
      <c r="AAL46" s="137"/>
      <c r="AAM46" s="137"/>
      <c r="AAN46" s="137"/>
      <c r="AAO46" s="137"/>
      <c r="AAP46" s="137"/>
      <c r="AAQ46" s="137"/>
      <c r="AAR46" s="137"/>
      <c r="AAS46" s="137"/>
      <c r="AAT46" s="137"/>
      <c r="AAU46" s="137"/>
      <c r="AAV46" s="137"/>
      <c r="AAW46" s="137"/>
      <c r="AAX46" s="137"/>
      <c r="AAY46" s="137"/>
      <c r="AAZ46" s="137"/>
      <c r="ABA46" s="137"/>
      <c r="ABB46" s="137"/>
      <c r="ABC46" s="137"/>
      <c r="ABD46" s="137"/>
      <c r="ABE46" s="137"/>
      <c r="ABF46" s="137"/>
      <c r="ABG46" s="137"/>
      <c r="ABH46" s="137"/>
      <c r="ABI46" s="137"/>
      <c r="ABJ46" s="137"/>
      <c r="ABK46" s="137"/>
      <c r="ABL46" s="137"/>
      <c r="ABM46" s="137"/>
      <c r="ABN46" s="137"/>
      <c r="ABO46" s="137"/>
      <c r="ABP46" s="137"/>
      <c r="ABQ46" s="137"/>
      <c r="ABR46" s="137"/>
      <c r="ABS46" s="137"/>
      <c r="ABT46" s="137"/>
      <c r="ABU46" s="137"/>
      <c r="ABV46" s="137"/>
      <c r="ABW46" s="137"/>
      <c r="ABX46" s="137"/>
      <c r="ABY46" s="137"/>
      <c r="ABZ46" s="137"/>
      <c r="ACA46" s="137"/>
      <c r="ACB46" s="137"/>
      <c r="ACC46" s="137"/>
      <c r="ACD46" s="137"/>
      <c r="ACE46" s="137"/>
      <c r="ACF46" s="137"/>
      <c r="ACG46" s="137"/>
      <c r="ACH46" s="137"/>
      <c r="ACI46" s="137"/>
      <c r="ACJ46" s="137"/>
      <c r="ACK46" s="137"/>
      <c r="ACL46" s="137"/>
      <c r="ACM46" s="137"/>
      <c r="ACN46" s="137"/>
      <c r="ACO46" s="137"/>
      <c r="ACP46" s="137"/>
      <c r="ACQ46" s="137"/>
      <c r="ACR46" s="137"/>
      <c r="ACS46" s="137"/>
      <c r="ACT46" s="137"/>
      <c r="ACU46" s="137"/>
      <c r="ACV46" s="137"/>
      <c r="ACW46" s="137"/>
      <c r="ACX46" s="137"/>
      <c r="ACY46" s="137"/>
      <c r="ACZ46" s="137"/>
      <c r="ADA46" s="137"/>
      <c r="ADB46" s="137"/>
      <c r="ADC46" s="137"/>
      <c r="ADD46" s="137"/>
      <c r="ADE46" s="137"/>
      <c r="ADF46" s="137"/>
      <c r="ADG46" s="137"/>
      <c r="ADH46" s="137"/>
      <c r="ADI46" s="137"/>
      <c r="ADJ46" s="137"/>
      <c r="ADK46" s="137"/>
      <c r="ADL46" s="137"/>
      <c r="ADM46" s="137"/>
      <c r="ADN46" s="137"/>
      <c r="ADO46" s="137"/>
      <c r="ADP46" s="137"/>
      <c r="ADQ46" s="137"/>
      <c r="ADR46" s="137"/>
      <c r="ADS46" s="137"/>
      <c r="ADT46" s="137"/>
      <c r="ADU46" s="137"/>
      <c r="ADV46" s="137"/>
      <c r="ADW46" s="137"/>
      <c r="ADX46" s="137"/>
      <c r="ADY46" s="137"/>
      <c r="ADZ46" s="137"/>
      <c r="AEA46" s="137"/>
      <c r="AEB46" s="137"/>
      <c r="AEC46" s="137"/>
      <c r="AED46" s="137"/>
      <c r="AEE46" s="137"/>
      <c r="AEF46" s="137"/>
      <c r="AEG46" s="137"/>
      <c r="AEH46" s="137"/>
      <c r="AEI46" s="137"/>
      <c r="AEJ46" s="137"/>
      <c r="AEK46" s="137"/>
      <c r="AEL46" s="137"/>
      <c r="AEM46" s="137"/>
      <c r="AEN46" s="137"/>
      <c r="AEO46" s="137"/>
      <c r="AEP46" s="137"/>
      <c r="AEQ46" s="137"/>
      <c r="AER46" s="137"/>
      <c r="AES46" s="137"/>
      <c r="AET46" s="137"/>
      <c r="AEU46" s="137"/>
      <c r="AEV46" s="137"/>
      <c r="AEW46" s="137"/>
      <c r="AEX46" s="137"/>
      <c r="AEY46" s="137"/>
      <c r="AEZ46" s="137"/>
      <c r="AFA46" s="137"/>
      <c r="AFB46" s="137"/>
      <c r="AFC46" s="137"/>
      <c r="AFD46" s="137"/>
      <c r="AFE46" s="137"/>
      <c r="AFF46" s="137"/>
      <c r="AFG46" s="137"/>
      <c r="AFH46" s="137"/>
      <c r="AFI46" s="137"/>
      <c r="AFJ46" s="137"/>
      <c r="AFK46" s="137"/>
      <c r="AFL46" s="137"/>
      <c r="AFM46" s="137"/>
      <c r="AFN46" s="137"/>
      <c r="AFO46" s="137"/>
      <c r="AFP46" s="137"/>
      <c r="AFQ46" s="137"/>
      <c r="AFR46" s="137"/>
      <c r="AFS46" s="137"/>
      <c r="AFT46" s="137"/>
      <c r="AFU46" s="137"/>
      <c r="AFV46" s="137"/>
      <c r="AFW46" s="137"/>
      <c r="AFX46" s="137"/>
      <c r="AFY46" s="137"/>
      <c r="AFZ46" s="137"/>
      <c r="AGA46" s="137"/>
      <c r="AGB46" s="137"/>
      <c r="AGC46" s="137"/>
      <c r="AGD46" s="137"/>
      <c r="AGE46" s="137"/>
      <c r="AGF46" s="137"/>
      <c r="AGG46" s="137"/>
      <c r="AGH46" s="137"/>
      <c r="AGI46" s="137"/>
      <c r="AGJ46" s="137"/>
      <c r="AGK46" s="137"/>
      <c r="AGL46" s="137"/>
      <c r="AGM46" s="137"/>
      <c r="AGN46" s="137"/>
      <c r="AGO46" s="137"/>
      <c r="AGP46" s="137"/>
      <c r="AGQ46" s="137"/>
      <c r="AGR46" s="137"/>
      <c r="AGS46" s="137"/>
      <c r="AGT46" s="137"/>
      <c r="AGU46" s="137"/>
      <c r="AGV46" s="137"/>
      <c r="AGW46" s="137"/>
      <c r="AGX46" s="137"/>
      <c r="AGY46" s="137"/>
      <c r="AGZ46" s="137"/>
      <c r="AHA46" s="137"/>
      <c r="AHB46" s="137"/>
      <c r="AHC46" s="137"/>
      <c r="AHD46" s="137"/>
      <c r="AHE46" s="137"/>
      <c r="AHF46" s="137"/>
      <c r="AHG46" s="137"/>
      <c r="AHH46" s="137"/>
      <c r="AHI46" s="137"/>
      <c r="AHJ46" s="137"/>
      <c r="AHK46" s="137"/>
      <c r="AHL46" s="137"/>
      <c r="AHM46" s="137"/>
      <c r="AHN46" s="137"/>
      <c r="AHO46" s="137"/>
      <c r="AHP46" s="137"/>
      <c r="AHQ46" s="137"/>
      <c r="AHR46" s="137"/>
      <c r="AHS46" s="137"/>
      <c r="AHT46" s="137"/>
      <c r="AHU46" s="137"/>
      <c r="AHV46" s="137"/>
      <c r="AHW46" s="137"/>
      <c r="AHX46" s="137"/>
      <c r="AHY46" s="137"/>
      <c r="AHZ46" s="137"/>
      <c r="AIA46" s="137"/>
      <c r="AIB46" s="137"/>
      <c r="AIC46" s="137"/>
      <c r="AID46" s="137"/>
      <c r="AIE46" s="137"/>
      <c r="AIF46" s="137"/>
      <c r="AIG46" s="137"/>
      <c r="AIH46" s="137"/>
      <c r="AII46" s="137"/>
      <c r="AIJ46" s="137"/>
      <c r="AIK46" s="137"/>
      <c r="AIL46" s="137"/>
      <c r="AIM46" s="137"/>
      <c r="AIN46" s="137"/>
      <c r="AIO46" s="137"/>
      <c r="AIP46" s="137"/>
      <c r="AIQ46" s="137"/>
      <c r="AIR46" s="137"/>
      <c r="AIS46" s="137"/>
      <c r="AIT46" s="137"/>
      <c r="AIU46" s="137"/>
      <c r="AIV46" s="137"/>
      <c r="AIW46" s="137"/>
      <c r="AIX46" s="137"/>
      <c r="AIY46" s="137"/>
      <c r="AIZ46" s="137"/>
      <c r="AJA46" s="137"/>
      <c r="AJB46" s="137"/>
      <c r="AJC46" s="137"/>
      <c r="AJD46" s="137"/>
      <c r="AJE46" s="137"/>
      <c r="AJF46" s="137"/>
      <c r="AJG46" s="137"/>
      <c r="AJH46" s="137"/>
      <c r="AJI46" s="137"/>
      <c r="AJJ46" s="137"/>
      <c r="AJK46" s="137"/>
      <c r="AJL46" s="137"/>
      <c r="AJM46" s="137"/>
      <c r="AJN46" s="137"/>
      <c r="AJO46" s="137"/>
      <c r="AJP46" s="137"/>
      <c r="AJQ46" s="137"/>
      <c r="AJR46" s="137"/>
      <c r="AJS46" s="137"/>
      <c r="AJT46" s="137"/>
      <c r="AJU46" s="137"/>
      <c r="AJV46" s="137"/>
      <c r="AJW46" s="137"/>
      <c r="AJX46" s="137"/>
      <c r="AJY46" s="137"/>
      <c r="AJZ46" s="137"/>
      <c r="AKA46" s="137"/>
      <c r="AKB46" s="137"/>
      <c r="AKC46" s="137"/>
      <c r="AKD46" s="137"/>
      <c r="AKE46" s="137"/>
      <c r="AKF46" s="137"/>
      <c r="AKG46" s="137"/>
      <c r="AKH46" s="137"/>
      <c r="AKI46" s="137"/>
      <c r="AKJ46" s="137"/>
      <c r="AKK46" s="137"/>
      <c r="AKL46" s="137"/>
      <c r="AKM46" s="137"/>
      <c r="AKN46" s="137"/>
      <c r="AKO46" s="137"/>
      <c r="AKP46" s="137"/>
      <c r="AKQ46" s="137"/>
      <c r="AKR46" s="137"/>
      <c r="AKS46" s="137"/>
      <c r="AKT46" s="137"/>
      <c r="AKU46" s="137"/>
      <c r="AKV46" s="137"/>
      <c r="AKW46" s="137"/>
      <c r="AKX46" s="137"/>
      <c r="AKY46" s="137"/>
      <c r="AKZ46" s="137"/>
      <c r="ALA46" s="137"/>
      <c r="ALB46" s="137"/>
      <c r="ALC46" s="137"/>
      <c r="ALD46" s="137"/>
      <c r="ALE46" s="137"/>
      <c r="ALF46" s="137"/>
      <c r="ALG46" s="137"/>
      <c r="ALH46" s="137"/>
      <c r="ALI46" s="137"/>
      <c r="ALJ46" s="137"/>
      <c r="ALK46" s="137"/>
      <c r="ALL46" s="137"/>
      <c r="ALM46" s="137"/>
      <c r="ALN46" s="137"/>
      <c r="ALO46" s="137"/>
      <c r="ALP46" s="137"/>
      <c r="ALQ46" s="137"/>
      <c r="ALR46" s="137"/>
      <c r="ALS46" s="137"/>
      <c r="ALT46" s="137"/>
      <c r="ALU46" s="137"/>
      <c r="ALV46" s="137"/>
      <c r="ALW46" s="137"/>
      <c r="ALX46" s="137"/>
      <c r="ALY46" s="137"/>
      <c r="ALZ46" s="137"/>
      <c r="AMA46" s="137"/>
      <c r="AMB46" s="137"/>
      <c r="AMC46" s="137"/>
      <c r="AMD46" s="137"/>
      <c r="AME46" s="137"/>
      <c r="AMF46" s="137"/>
      <c r="AMG46" s="137"/>
      <c r="AMH46" s="137"/>
      <c r="AMI46" s="137"/>
      <c r="AMJ46" s="137"/>
      <c r="AMK46" s="137"/>
      <c r="AML46" s="137"/>
      <c r="AMM46" s="137"/>
      <c r="AMN46" s="137"/>
      <c r="AMO46" s="137"/>
      <c r="AMP46" s="137"/>
      <c r="AMQ46" s="137"/>
      <c r="AMR46" s="137"/>
      <c r="AMS46" s="137"/>
      <c r="AMT46" s="137"/>
      <c r="AMU46" s="137"/>
      <c r="AMV46" s="137"/>
      <c r="AMW46" s="137"/>
      <c r="AMX46" s="137"/>
      <c r="AMY46" s="137"/>
      <c r="AMZ46" s="137"/>
      <c r="ANA46" s="137"/>
      <c r="ANB46" s="137"/>
      <c r="ANC46" s="137"/>
      <c r="AND46" s="137"/>
      <c r="ANE46" s="137"/>
      <c r="ANF46" s="137"/>
      <c r="ANG46" s="137"/>
      <c r="ANH46" s="137"/>
      <c r="ANI46" s="137"/>
      <c r="ANJ46" s="137"/>
      <c r="ANK46" s="137"/>
      <c r="ANL46" s="137"/>
      <c r="ANM46" s="137"/>
      <c r="ANN46" s="137"/>
      <c r="ANO46" s="137"/>
      <c r="ANP46" s="137"/>
      <c r="ANQ46" s="137"/>
      <c r="ANR46" s="137"/>
      <c r="ANS46" s="137"/>
      <c r="ANT46" s="137"/>
      <c r="ANU46" s="137"/>
      <c r="ANV46" s="137"/>
      <c r="ANW46" s="137"/>
      <c r="ANX46" s="137"/>
      <c r="ANY46" s="137"/>
      <c r="ANZ46" s="137"/>
      <c r="AOA46" s="137"/>
      <c r="AOB46" s="137"/>
      <c r="AOC46" s="137"/>
      <c r="AOD46" s="137"/>
      <c r="AOE46" s="137"/>
      <c r="AOF46" s="137"/>
      <c r="AOG46" s="137"/>
      <c r="AOH46" s="137"/>
      <c r="AOI46" s="137"/>
      <c r="AOJ46" s="137"/>
      <c r="AOK46" s="137"/>
      <c r="AOL46" s="137"/>
      <c r="AOM46" s="137"/>
      <c r="AON46" s="137"/>
      <c r="AOO46" s="137"/>
      <c r="AOP46" s="137"/>
      <c r="AOQ46" s="137"/>
      <c r="AOR46" s="137"/>
      <c r="AOS46" s="137"/>
      <c r="AOT46" s="137"/>
      <c r="AOU46" s="137"/>
      <c r="AOV46" s="137"/>
      <c r="AOW46" s="137"/>
      <c r="AOX46" s="137"/>
      <c r="AOY46" s="137"/>
      <c r="AOZ46" s="137"/>
      <c r="APA46" s="137"/>
      <c r="APB46" s="137"/>
      <c r="APC46" s="137"/>
      <c r="APD46" s="137"/>
      <c r="APE46" s="137"/>
      <c r="APF46" s="137"/>
      <c r="APG46" s="137"/>
      <c r="APH46" s="137"/>
      <c r="API46" s="137"/>
      <c r="APJ46" s="137"/>
      <c r="APK46" s="137"/>
      <c r="APL46" s="137"/>
      <c r="APM46" s="137"/>
      <c r="APN46" s="137"/>
      <c r="APO46" s="137"/>
      <c r="APP46" s="137"/>
      <c r="APQ46" s="137"/>
      <c r="APR46" s="137"/>
      <c r="APS46" s="137"/>
      <c r="APT46" s="137"/>
      <c r="APU46" s="137"/>
      <c r="APV46" s="137"/>
      <c r="APW46" s="137"/>
      <c r="APX46" s="137"/>
      <c r="APY46" s="137"/>
      <c r="APZ46" s="137"/>
      <c r="AQA46" s="137"/>
      <c r="AQB46" s="137"/>
      <c r="AQC46" s="137"/>
      <c r="AQD46" s="137"/>
      <c r="AQE46" s="137"/>
      <c r="AQF46" s="137"/>
      <c r="AQG46" s="137"/>
      <c r="AQH46" s="137"/>
      <c r="AQI46" s="137"/>
      <c r="AQJ46" s="137"/>
      <c r="AQK46" s="137"/>
      <c r="AQL46" s="137"/>
      <c r="AQM46" s="137"/>
      <c r="AQN46" s="137"/>
      <c r="AQO46" s="137"/>
      <c r="AQP46" s="137"/>
      <c r="AQQ46" s="137"/>
      <c r="AQR46" s="137"/>
      <c r="AQS46" s="137"/>
      <c r="AQT46" s="137"/>
      <c r="AQU46" s="137"/>
      <c r="AQV46" s="137"/>
      <c r="AQW46" s="137"/>
      <c r="AQX46" s="137"/>
      <c r="AQY46" s="137"/>
      <c r="AQZ46" s="137"/>
      <c r="ARA46" s="137"/>
      <c r="ARB46" s="137"/>
      <c r="ARC46" s="137"/>
      <c r="ARD46" s="137"/>
      <c r="ARE46" s="137"/>
      <c r="ARF46" s="137"/>
      <c r="ARG46" s="137"/>
      <c r="ARH46" s="137"/>
      <c r="ARI46" s="137"/>
      <c r="ARJ46" s="137"/>
      <c r="ARK46" s="137"/>
      <c r="ARL46" s="137"/>
      <c r="ARM46" s="137"/>
      <c r="ARN46" s="137"/>
      <c r="ARO46" s="137"/>
      <c r="ARP46" s="137"/>
      <c r="ARQ46" s="137"/>
      <c r="ARR46" s="137"/>
      <c r="ARS46" s="137"/>
      <c r="ART46" s="137"/>
      <c r="ARU46" s="137"/>
      <c r="ARV46" s="137"/>
      <c r="ARW46" s="137"/>
      <c r="ARX46" s="137"/>
      <c r="ARY46" s="137"/>
      <c r="ARZ46" s="137"/>
      <c r="ASA46" s="137"/>
      <c r="ASB46" s="137"/>
      <c r="ASC46" s="137"/>
      <c r="ASD46" s="137"/>
      <c r="ASE46" s="137"/>
      <c r="ASF46" s="137"/>
      <c r="ASG46" s="137"/>
      <c r="ASH46" s="137"/>
      <c r="ASI46" s="137"/>
      <c r="ASJ46" s="137"/>
      <c r="ASK46" s="137"/>
      <c r="ASL46" s="137"/>
      <c r="ASM46" s="137"/>
      <c r="ASN46" s="137"/>
      <c r="ASO46" s="137"/>
      <c r="ASP46" s="137"/>
      <c r="ASQ46" s="137"/>
      <c r="ASR46" s="137"/>
      <c r="ASS46" s="137"/>
      <c r="AST46" s="137"/>
      <c r="ASU46" s="137"/>
      <c r="ASV46" s="137"/>
      <c r="ASW46" s="137"/>
      <c r="ASX46" s="137"/>
      <c r="ASY46" s="137"/>
      <c r="ASZ46" s="137"/>
      <c r="ATA46" s="137"/>
      <c r="ATB46" s="137"/>
      <c r="ATC46" s="137"/>
      <c r="ATD46" s="137"/>
      <c r="ATE46" s="137"/>
      <c r="ATF46" s="137"/>
      <c r="ATG46" s="137"/>
      <c r="ATH46" s="137"/>
      <c r="ATI46" s="137"/>
      <c r="ATJ46" s="137"/>
      <c r="ATK46" s="137"/>
      <c r="ATL46" s="137"/>
      <c r="ATM46" s="137"/>
      <c r="ATN46" s="137"/>
      <c r="ATO46" s="137"/>
      <c r="ATP46" s="137"/>
      <c r="ATQ46" s="137"/>
      <c r="ATR46" s="137"/>
      <c r="ATS46" s="137"/>
      <c r="ATT46" s="137"/>
      <c r="ATU46" s="137"/>
      <c r="ATV46" s="137"/>
      <c r="ATW46" s="137"/>
      <c r="ATX46" s="137"/>
      <c r="ATY46" s="137"/>
      <c r="ATZ46" s="137"/>
      <c r="AUA46" s="137"/>
      <c r="AUB46" s="137"/>
      <c r="AUC46" s="137"/>
      <c r="AUD46" s="137"/>
      <c r="AUE46" s="137"/>
      <c r="AUF46" s="137"/>
      <c r="AUG46" s="137"/>
      <c r="AUH46" s="137"/>
      <c r="AUI46" s="137"/>
      <c r="AUJ46" s="137"/>
      <c r="AUK46" s="137"/>
      <c r="AUL46" s="137"/>
      <c r="AUM46" s="137"/>
      <c r="AUN46" s="137"/>
      <c r="AUO46" s="137"/>
      <c r="AUP46" s="137"/>
      <c r="AUQ46" s="137"/>
      <c r="AUR46" s="137"/>
      <c r="AUS46" s="137"/>
      <c r="AUT46" s="137"/>
      <c r="AUU46" s="137"/>
      <c r="AUV46" s="137"/>
      <c r="AUW46" s="137"/>
      <c r="AUX46" s="137"/>
      <c r="AUY46" s="137"/>
      <c r="AUZ46" s="137"/>
      <c r="AVA46" s="137"/>
      <c r="AVB46" s="137"/>
      <c r="AVC46" s="137"/>
      <c r="AVD46" s="137"/>
      <c r="AVE46" s="137"/>
      <c r="AVF46" s="137"/>
      <c r="AVG46" s="137"/>
      <c r="AVH46" s="137"/>
      <c r="AVI46" s="137"/>
      <c r="AVJ46" s="137"/>
      <c r="AVK46" s="137"/>
      <c r="AVL46" s="137"/>
      <c r="AVM46" s="137"/>
      <c r="AVN46" s="137"/>
      <c r="AVO46" s="137"/>
      <c r="AVP46" s="137"/>
      <c r="AVQ46" s="137"/>
      <c r="AVR46" s="137"/>
      <c r="AVS46" s="137"/>
      <c r="AVT46" s="137"/>
      <c r="AVU46" s="137"/>
      <c r="AVV46" s="137"/>
      <c r="AVW46" s="137"/>
      <c r="AVX46" s="137"/>
      <c r="AVY46" s="137"/>
      <c r="AVZ46" s="137"/>
      <c r="AWA46" s="137"/>
      <c r="AWB46" s="137"/>
      <c r="AWC46" s="137"/>
      <c r="AWD46" s="137"/>
      <c r="AWE46" s="137"/>
      <c r="AWF46" s="137"/>
      <c r="AWG46" s="137"/>
      <c r="AWH46" s="137"/>
      <c r="AWI46" s="137"/>
      <c r="AWJ46" s="137"/>
      <c r="AWK46" s="137"/>
      <c r="AWL46" s="137"/>
      <c r="AWM46" s="137"/>
      <c r="AWN46" s="137"/>
      <c r="AWO46" s="137"/>
      <c r="AWP46" s="137"/>
      <c r="AWQ46" s="137"/>
      <c r="AWR46" s="137"/>
      <c r="AWS46" s="137"/>
      <c r="AWT46" s="137"/>
      <c r="AWU46" s="137"/>
      <c r="AWV46" s="137"/>
      <c r="AWW46" s="137"/>
      <c r="AWX46" s="137"/>
      <c r="AWY46" s="137"/>
      <c r="AWZ46" s="137"/>
      <c r="AXA46" s="137"/>
      <c r="AXB46" s="137"/>
      <c r="AXC46" s="137"/>
      <c r="AXD46" s="137"/>
      <c r="AXE46" s="137"/>
      <c r="AXF46" s="137"/>
      <c r="AXG46" s="137"/>
      <c r="AXH46" s="137"/>
      <c r="AXI46" s="137"/>
      <c r="AXJ46" s="137"/>
      <c r="AXK46" s="137"/>
      <c r="AXL46" s="137"/>
      <c r="AXM46" s="137"/>
      <c r="AXN46" s="137"/>
      <c r="AXO46" s="137"/>
      <c r="AXP46" s="137"/>
      <c r="AXQ46" s="137"/>
      <c r="AXR46" s="137"/>
      <c r="AXS46" s="137"/>
      <c r="AXT46" s="137"/>
      <c r="AXU46" s="137"/>
      <c r="AXV46" s="137"/>
      <c r="AXW46" s="137"/>
      <c r="AXX46" s="137"/>
      <c r="AXY46" s="137"/>
      <c r="AXZ46" s="137"/>
      <c r="AYA46" s="137"/>
      <c r="AYB46" s="137"/>
      <c r="AYC46" s="137"/>
      <c r="AYD46" s="137"/>
      <c r="AYE46" s="137"/>
      <c r="AYF46" s="137"/>
      <c r="AYG46" s="137"/>
      <c r="AYH46" s="137"/>
      <c r="AYI46" s="137"/>
      <c r="AYJ46" s="137"/>
      <c r="AYK46" s="137"/>
      <c r="AYL46" s="137"/>
      <c r="AYM46" s="137"/>
      <c r="AYN46" s="137"/>
      <c r="AYO46" s="137"/>
      <c r="AYP46" s="137"/>
      <c r="AYQ46" s="137"/>
      <c r="AYR46" s="137"/>
      <c r="AYS46" s="137"/>
      <c r="AYT46" s="137"/>
      <c r="AYU46" s="137"/>
      <c r="AYV46" s="137"/>
      <c r="AYW46" s="137"/>
      <c r="AYX46" s="137"/>
      <c r="AYY46" s="137"/>
      <c r="AYZ46" s="137"/>
      <c r="AZA46" s="137"/>
      <c r="AZB46" s="137"/>
      <c r="AZC46" s="137"/>
      <c r="AZD46" s="137"/>
      <c r="AZE46" s="137"/>
      <c r="AZF46" s="137"/>
      <c r="AZG46" s="137"/>
      <c r="AZH46" s="137"/>
      <c r="AZI46" s="137"/>
      <c r="AZJ46" s="137"/>
      <c r="AZK46" s="137"/>
      <c r="AZL46" s="137"/>
      <c r="AZM46" s="137"/>
      <c r="AZN46" s="137"/>
      <c r="AZO46" s="137"/>
      <c r="AZP46" s="137"/>
      <c r="AZQ46" s="137"/>
      <c r="AZR46" s="137"/>
      <c r="AZS46" s="137"/>
      <c r="AZT46" s="137"/>
      <c r="AZU46" s="137"/>
      <c r="AZV46" s="137"/>
      <c r="AZW46" s="137"/>
      <c r="AZX46" s="137"/>
      <c r="AZY46" s="137"/>
      <c r="AZZ46" s="137"/>
      <c r="BAA46" s="137"/>
      <c r="BAB46" s="137"/>
      <c r="BAC46" s="137"/>
      <c r="BAD46" s="137"/>
      <c r="BAE46" s="137"/>
      <c r="BAF46" s="137"/>
      <c r="BAG46" s="137"/>
      <c r="BAH46" s="137"/>
      <c r="BAI46" s="137"/>
      <c r="BAJ46" s="137"/>
      <c r="BAK46" s="137"/>
      <c r="BAL46" s="137"/>
      <c r="BAM46" s="137"/>
      <c r="BAN46" s="137"/>
      <c r="BAO46" s="137"/>
      <c r="BAP46" s="137"/>
      <c r="BAQ46" s="137"/>
      <c r="BAR46" s="137"/>
      <c r="BAS46" s="137"/>
      <c r="BAT46" s="137"/>
      <c r="BAU46" s="137"/>
      <c r="BAV46" s="137"/>
      <c r="BAW46" s="137"/>
      <c r="BAX46" s="137"/>
      <c r="BAY46" s="137"/>
      <c r="BAZ46" s="137"/>
      <c r="BBA46" s="137"/>
      <c r="BBB46" s="137"/>
      <c r="BBC46" s="137"/>
      <c r="BBD46" s="137"/>
      <c r="BBE46" s="137"/>
      <c r="BBF46" s="137"/>
      <c r="BBG46" s="137"/>
      <c r="BBH46" s="137"/>
      <c r="BBI46" s="137"/>
      <c r="BBJ46" s="137"/>
      <c r="BBK46" s="137"/>
      <c r="BBL46" s="137"/>
      <c r="BBM46" s="137"/>
      <c r="BBN46" s="137"/>
      <c r="BBO46" s="137"/>
      <c r="BBP46" s="137"/>
      <c r="BBQ46" s="137"/>
      <c r="BBR46" s="137"/>
      <c r="BBS46" s="137"/>
      <c r="BBT46" s="137"/>
      <c r="BBU46" s="137"/>
      <c r="BBV46" s="137"/>
      <c r="BBW46" s="137"/>
      <c r="BBX46" s="137"/>
      <c r="BBY46" s="137"/>
      <c r="BBZ46" s="137"/>
      <c r="BCA46" s="137"/>
      <c r="BCB46" s="137"/>
      <c r="BCC46" s="137"/>
      <c r="BCD46" s="137"/>
      <c r="BCE46" s="137"/>
      <c r="BCF46" s="137"/>
      <c r="BCG46" s="137"/>
      <c r="BCH46" s="137"/>
      <c r="BCI46" s="137"/>
      <c r="BCJ46" s="137"/>
      <c r="BCK46" s="137"/>
      <c r="BCL46" s="137"/>
      <c r="BCM46" s="137"/>
      <c r="BCN46" s="137"/>
      <c r="BCO46" s="137"/>
      <c r="BCP46" s="137"/>
      <c r="BCQ46" s="137"/>
      <c r="BCR46" s="137"/>
      <c r="BCS46" s="137"/>
      <c r="BCT46" s="137"/>
      <c r="BCU46" s="137"/>
      <c r="BCV46" s="137"/>
      <c r="BCW46" s="137"/>
      <c r="BCX46" s="137"/>
      <c r="BCY46" s="137"/>
      <c r="BCZ46" s="137"/>
      <c r="BDA46" s="137"/>
      <c r="BDB46" s="137"/>
      <c r="BDC46" s="137"/>
      <c r="BDD46" s="137"/>
      <c r="BDE46" s="137"/>
      <c r="BDF46" s="137"/>
      <c r="BDG46" s="137"/>
      <c r="BDH46" s="137"/>
      <c r="BDI46" s="137"/>
      <c r="BDJ46" s="137"/>
      <c r="BDK46" s="137"/>
      <c r="BDL46" s="137"/>
      <c r="BDM46" s="137"/>
      <c r="BDN46" s="137"/>
      <c r="BDO46" s="137"/>
      <c r="BDP46" s="137"/>
      <c r="BDQ46" s="137"/>
      <c r="BDR46" s="137"/>
      <c r="BDS46" s="137"/>
      <c r="BDT46" s="137"/>
      <c r="BDU46" s="137"/>
      <c r="BDV46" s="137"/>
      <c r="BDW46" s="137"/>
      <c r="BDX46" s="137"/>
      <c r="BDY46" s="137"/>
      <c r="BDZ46" s="137"/>
      <c r="BEA46" s="137"/>
      <c r="BEB46" s="137"/>
      <c r="BEC46" s="137"/>
      <c r="BED46" s="137"/>
      <c r="BEE46" s="137"/>
      <c r="BEF46" s="137"/>
      <c r="BEG46" s="137"/>
      <c r="BEH46" s="137"/>
      <c r="BEI46" s="137"/>
      <c r="BEJ46" s="137"/>
      <c r="BEK46" s="137"/>
      <c r="BEL46" s="137"/>
      <c r="BEM46" s="137"/>
      <c r="BEN46" s="137"/>
      <c r="BEO46" s="137"/>
      <c r="BEP46" s="137"/>
      <c r="BEQ46" s="137"/>
      <c r="BER46" s="137"/>
      <c r="BES46" s="137"/>
      <c r="BET46" s="137"/>
      <c r="BEU46" s="137"/>
      <c r="BEV46" s="137"/>
      <c r="BEW46" s="137"/>
      <c r="BEX46" s="137"/>
      <c r="BEY46" s="137"/>
      <c r="BEZ46" s="137"/>
      <c r="BFA46" s="137"/>
      <c r="BFB46" s="137"/>
      <c r="BFC46" s="137"/>
      <c r="BFD46" s="137"/>
      <c r="BFE46" s="137"/>
      <c r="BFF46" s="137"/>
      <c r="BFG46" s="137"/>
      <c r="BFH46" s="137"/>
      <c r="BFI46" s="137"/>
      <c r="BFJ46" s="137"/>
      <c r="BFK46" s="137"/>
      <c r="BFL46" s="137"/>
      <c r="BFM46" s="137"/>
      <c r="BFN46" s="137"/>
      <c r="BFO46" s="137"/>
      <c r="BFP46" s="137"/>
      <c r="BFQ46" s="137"/>
      <c r="BFR46" s="137"/>
      <c r="BFS46" s="137"/>
      <c r="BFT46" s="137"/>
      <c r="BFU46" s="137"/>
      <c r="BFV46" s="137"/>
      <c r="BFW46" s="137"/>
      <c r="BFX46" s="137"/>
      <c r="BFY46" s="137"/>
      <c r="BFZ46" s="137"/>
      <c r="BGA46" s="137"/>
      <c r="BGB46" s="137"/>
      <c r="BGC46" s="137"/>
      <c r="BGD46" s="137"/>
      <c r="BGE46" s="137"/>
      <c r="BGF46" s="137"/>
      <c r="BGG46" s="137"/>
      <c r="BGH46" s="137"/>
      <c r="BGI46" s="137"/>
      <c r="BGJ46" s="137"/>
      <c r="BGK46" s="137"/>
      <c r="BGL46" s="137"/>
      <c r="BGM46" s="137"/>
      <c r="BGN46" s="137"/>
      <c r="BGO46" s="137"/>
      <c r="BGP46" s="137"/>
      <c r="BGQ46" s="137"/>
      <c r="BGR46" s="137"/>
      <c r="BGS46" s="137"/>
      <c r="BGT46" s="137"/>
      <c r="BGU46" s="137"/>
      <c r="BGV46" s="137"/>
      <c r="BGW46" s="137"/>
      <c r="BGX46" s="137"/>
      <c r="BGY46" s="137"/>
      <c r="BGZ46" s="137"/>
      <c r="BHA46" s="137"/>
      <c r="BHB46" s="137"/>
      <c r="BHC46" s="137"/>
      <c r="BHD46" s="137"/>
      <c r="BHE46" s="137"/>
      <c r="BHF46" s="137"/>
      <c r="BHG46" s="137"/>
      <c r="BHH46" s="137"/>
      <c r="BHI46" s="137"/>
      <c r="BHJ46" s="137"/>
      <c r="BHK46" s="137"/>
      <c r="BHL46" s="137"/>
      <c r="BHM46" s="137"/>
      <c r="BHN46" s="137"/>
      <c r="BHO46" s="137"/>
      <c r="BHP46" s="137"/>
      <c r="BHQ46" s="137"/>
      <c r="BHR46" s="137"/>
      <c r="BHS46" s="137"/>
      <c r="BHT46" s="137"/>
      <c r="BHU46" s="137"/>
      <c r="BHV46" s="137"/>
      <c r="BHW46" s="137"/>
      <c r="BHX46" s="137"/>
      <c r="BHY46" s="137"/>
      <c r="BHZ46" s="137"/>
      <c r="BIA46" s="137"/>
      <c r="BIB46" s="137"/>
      <c r="BIC46" s="137"/>
      <c r="BID46" s="137"/>
      <c r="BIE46" s="137"/>
      <c r="BIF46" s="137"/>
      <c r="BIG46" s="137"/>
      <c r="BIH46" s="137"/>
      <c r="BII46" s="137"/>
      <c r="BIJ46" s="137"/>
      <c r="BIK46" s="137"/>
      <c r="BIL46" s="137"/>
      <c r="BIM46" s="137"/>
      <c r="BIN46" s="137"/>
      <c r="BIO46" s="137"/>
      <c r="BIP46" s="137"/>
      <c r="BIQ46" s="137"/>
      <c r="BIR46" s="137"/>
      <c r="BIS46" s="137"/>
      <c r="BIT46" s="137"/>
      <c r="BIU46" s="137"/>
      <c r="BIV46" s="137"/>
      <c r="BIW46" s="137"/>
      <c r="BIX46" s="137"/>
      <c r="BIY46" s="137"/>
      <c r="BIZ46" s="137"/>
      <c r="BJA46" s="137"/>
      <c r="BJB46" s="137"/>
      <c r="BJC46" s="137"/>
      <c r="BJD46" s="137"/>
      <c r="BJE46" s="137"/>
      <c r="BJF46" s="137"/>
      <c r="BJG46" s="137"/>
      <c r="BJH46" s="137"/>
      <c r="BJI46" s="137"/>
      <c r="BJJ46" s="137"/>
      <c r="BJK46" s="137"/>
      <c r="BJL46" s="137"/>
      <c r="BJM46" s="137"/>
      <c r="BJN46" s="137"/>
      <c r="BJO46" s="137"/>
      <c r="BJP46" s="137"/>
      <c r="BJQ46" s="137"/>
      <c r="BJR46" s="137"/>
      <c r="BJS46" s="137"/>
      <c r="BJT46" s="137"/>
      <c r="BJU46" s="137"/>
      <c r="BJV46" s="137"/>
      <c r="BJW46" s="137"/>
      <c r="BJX46" s="137"/>
      <c r="BJY46" s="137"/>
      <c r="BJZ46" s="137"/>
      <c r="BKA46" s="137"/>
      <c r="BKB46" s="137"/>
      <c r="BKC46" s="137"/>
      <c r="BKD46" s="137"/>
      <c r="BKE46" s="137"/>
      <c r="BKF46" s="137"/>
      <c r="BKG46" s="137"/>
      <c r="BKH46" s="137"/>
      <c r="BKI46" s="137"/>
      <c r="BKJ46" s="137"/>
      <c r="BKK46" s="137"/>
      <c r="BKL46" s="137"/>
      <c r="BKM46" s="137"/>
      <c r="BKN46" s="137"/>
      <c r="BKO46" s="137"/>
      <c r="BKP46" s="137"/>
      <c r="BKQ46" s="137"/>
      <c r="BKR46" s="137"/>
      <c r="BKS46" s="137"/>
      <c r="BKT46" s="137"/>
      <c r="BKU46" s="137"/>
      <c r="BKV46" s="137"/>
      <c r="BKW46" s="137"/>
      <c r="BKX46" s="137"/>
      <c r="BKY46" s="137"/>
      <c r="BKZ46" s="137"/>
      <c r="BLA46" s="137"/>
      <c r="BLB46" s="137"/>
      <c r="BLC46" s="137"/>
      <c r="BLD46" s="137"/>
      <c r="BLE46" s="137"/>
      <c r="BLF46" s="137"/>
      <c r="BLG46" s="137"/>
      <c r="BLH46" s="137"/>
      <c r="BLI46" s="137"/>
      <c r="BLJ46" s="137"/>
      <c r="BLK46" s="137"/>
      <c r="BLL46" s="137"/>
      <c r="BLM46" s="137"/>
      <c r="BLN46" s="137"/>
      <c r="BLO46" s="137"/>
      <c r="BLP46" s="137"/>
      <c r="BLQ46" s="137"/>
      <c r="BLR46" s="137"/>
      <c r="BLS46" s="137"/>
      <c r="BLT46" s="137"/>
      <c r="BLU46" s="137"/>
      <c r="BLV46" s="137"/>
      <c r="BLW46" s="137"/>
      <c r="BLX46" s="137"/>
      <c r="BLY46" s="137"/>
      <c r="BLZ46" s="137"/>
      <c r="BMA46" s="137"/>
      <c r="BMB46" s="137"/>
      <c r="BMC46" s="137"/>
      <c r="BMD46" s="137"/>
      <c r="BME46" s="137"/>
      <c r="BMF46" s="137"/>
      <c r="BMG46" s="137"/>
      <c r="BMH46" s="137"/>
      <c r="BMI46" s="137"/>
      <c r="BMJ46" s="137"/>
      <c r="BMK46" s="137"/>
      <c r="BML46" s="137"/>
      <c r="BMM46" s="137"/>
      <c r="BMN46" s="137"/>
      <c r="BMO46" s="137"/>
      <c r="BMP46" s="137"/>
      <c r="BMQ46" s="137"/>
      <c r="BMR46" s="137"/>
      <c r="BMS46" s="137"/>
      <c r="BMT46" s="137"/>
      <c r="BMU46" s="137"/>
      <c r="BMV46" s="137"/>
      <c r="BMW46" s="137"/>
      <c r="BMX46" s="137"/>
      <c r="BMY46" s="137"/>
      <c r="BMZ46" s="137"/>
      <c r="BNA46" s="137"/>
      <c r="BNB46" s="137"/>
      <c r="BNC46" s="137"/>
      <c r="BND46" s="137"/>
      <c r="BNE46" s="137"/>
      <c r="BNF46" s="137"/>
      <c r="BNG46" s="137"/>
      <c r="BNH46" s="137"/>
      <c r="BNI46" s="137"/>
      <c r="BNJ46" s="137"/>
      <c r="BNK46" s="137"/>
      <c r="BNL46" s="137"/>
      <c r="BNM46" s="137"/>
      <c r="BNN46" s="137"/>
      <c r="BNO46" s="137"/>
      <c r="BNP46" s="137"/>
      <c r="BNQ46" s="137"/>
      <c r="BNR46" s="137"/>
      <c r="BNS46" s="137"/>
      <c r="BNT46" s="137"/>
      <c r="BNU46" s="137"/>
      <c r="BNV46" s="137"/>
      <c r="BNW46" s="137"/>
      <c r="BNX46" s="137"/>
      <c r="BNY46" s="137"/>
      <c r="BNZ46" s="137"/>
      <c r="BOA46" s="137"/>
      <c r="BOB46" s="137"/>
      <c r="BOC46" s="137"/>
      <c r="BOD46" s="137"/>
      <c r="BOE46" s="137"/>
      <c r="BOF46" s="137"/>
      <c r="BOG46" s="137"/>
      <c r="BOH46" s="137"/>
      <c r="BOI46" s="137"/>
      <c r="BOJ46" s="137"/>
      <c r="BOK46" s="137"/>
      <c r="BOL46" s="137"/>
      <c r="BOM46" s="137"/>
      <c r="BON46" s="137"/>
      <c r="BOO46" s="137"/>
      <c r="BOP46" s="137"/>
      <c r="BOQ46" s="137"/>
      <c r="BOR46" s="137"/>
      <c r="BOS46" s="137"/>
      <c r="BOT46" s="137"/>
      <c r="BOU46" s="137"/>
      <c r="BOV46" s="137"/>
      <c r="BOW46" s="137"/>
      <c r="BOX46" s="137"/>
      <c r="BOY46" s="137"/>
      <c r="BOZ46" s="137"/>
      <c r="BPA46" s="137"/>
      <c r="BPB46" s="137"/>
      <c r="BPC46" s="137"/>
      <c r="BPD46" s="137"/>
      <c r="BPE46" s="137"/>
      <c r="BPF46" s="137"/>
      <c r="BPG46" s="137"/>
      <c r="BPH46" s="137"/>
      <c r="BPI46" s="137"/>
      <c r="BPJ46" s="137"/>
      <c r="BPK46" s="137"/>
      <c r="BPL46" s="137"/>
      <c r="BPM46" s="137"/>
      <c r="BPN46" s="137"/>
      <c r="BPO46" s="137"/>
      <c r="BPP46" s="137"/>
      <c r="BPQ46" s="137"/>
      <c r="BPR46" s="137"/>
      <c r="BPS46" s="137"/>
      <c r="BPT46" s="137"/>
      <c r="BPU46" s="137"/>
      <c r="BPV46" s="137"/>
      <c r="BPW46" s="137"/>
      <c r="BPX46" s="137"/>
      <c r="BPY46" s="137"/>
      <c r="BPZ46" s="137"/>
      <c r="BQA46" s="137"/>
      <c r="BQB46" s="137"/>
      <c r="BQC46" s="137"/>
      <c r="BQD46" s="137"/>
      <c r="BQE46" s="137"/>
      <c r="BQF46" s="137"/>
      <c r="BQG46" s="137"/>
      <c r="BQH46" s="137"/>
      <c r="BQI46" s="137"/>
      <c r="BQJ46" s="137"/>
      <c r="BQK46" s="137"/>
      <c r="BQL46" s="137"/>
      <c r="BQM46" s="137"/>
      <c r="BQN46" s="137"/>
      <c r="BQO46" s="137"/>
      <c r="BQP46" s="137"/>
      <c r="BQQ46" s="137"/>
      <c r="BQR46" s="137"/>
      <c r="BQS46" s="137"/>
      <c r="BQT46" s="137"/>
      <c r="BQU46" s="137"/>
      <c r="BQV46" s="137"/>
      <c r="BQW46" s="137"/>
      <c r="BQX46" s="137"/>
      <c r="BQY46" s="137"/>
      <c r="BQZ46" s="137"/>
      <c r="BRA46" s="137"/>
      <c r="BRB46" s="137"/>
      <c r="BRC46" s="137"/>
      <c r="BRD46" s="137"/>
      <c r="BRE46" s="137"/>
      <c r="BRF46" s="137"/>
      <c r="BRG46" s="137"/>
      <c r="BRH46" s="137"/>
      <c r="BRI46" s="137"/>
      <c r="BRJ46" s="137"/>
      <c r="BRK46" s="137"/>
      <c r="BRL46" s="137"/>
      <c r="BRM46" s="137"/>
      <c r="BRN46" s="137"/>
      <c r="BRO46" s="137"/>
      <c r="BRP46" s="137"/>
      <c r="BRQ46" s="137"/>
      <c r="BRR46" s="137"/>
      <c r="BRS46" s="137"/>
      <c r="BRT46" s="137"/>
      <c r="BRU46" s="137"/>
      <c r="BRV46" s="137"/>
      <c r="BRW46" s="137"/>
      <c r="BRX46" s="137"/>
      <c r="BRY46" s="137"/>
      <c r="BRZ46" s="137"/>
      <c r="BSA46" s="137"/>
      <c r="BSB46" s="137"/>
      <c r="BSC46" s="137"/>
      <c r="BSD46" s="137"/>
      <c r="BSE46" s="137"/>
      <c r="BSF46" s="137"/>
      <c r="BSG46" s="137"/>
      <c r="BSH46" s="137"/>
      <c r="BSI46" s="137"/>
      <c r="BSJ46" s="137"/>
      <c r="BSK46" s="137"/>
      <c r="BSL46" s="137"/>
      <c r="BSM46" s="137"/>
      <c r="BSN46" s="137"/>
      <c r="BSO46" s="137"/>
      <c r="BSP46" s="137"/>
      <c r="BSQ46" s="137"/>
      <c r="BSR46" s="137"/>
      <c r="BSS46" s="137"/>
      <c r="BST46" s="137"/>
      <c r="BSU46" s="137"/>
      <c r="BSV46" s="137"/>
      <c r="BSW46" s="137"/>
      <c r="BSX46" s="137"/>
      <c r="BSY46" s="137"/>
      <c r="BSZ46" s="137"/>
      <c r="BTA46" s="137"/>
      <c r="BTB46" s="137"/>
      <c r="BTC46" s="137"/>
      <c r="BTD46" s="137"/>
      <c r="BTE46" s="137"/>
      <c r="BTF46" s="137"/>
      <c r="BTG46" s="137"/>
      <c r="BTH46" s="137"/>
      <c r="BTI46" s="137"/>
      <c r="BTJ46" s="137"/>
      <c r="BTK46" s="137"/>
      <c r="BTL46" s="137"/>
      <c r="BTM46" s="137"/>
      <c r="BTN46" s="137"/>
      <c r="BTO46" s="137"/>
      <c r="BTP46" s="137"/>
      <c r="BTQ46" s="137"/>
      <c r="BTR46" s="137"/>
      <c r="BTS46" s="137"/>
      <c r="BTT46" s="137"/>
      <c r="BTU46" s="137"/>
      <c r="BTV46" s="137"/>
      <c r="BTW46" s="137"/>
      <c r="BTX46" s="137"/>
      <c r="BTY46" s="137"/>
      <c r="BTZ46" s="137"/>
      <c r="BUA46" s="137"/>
      <c r="BUB46" s="137"/>
      <c r="BUC46" s="137"/>
      <c r="BUD46" s="137"/>
      <c r="BUE46" s="137"/>
      <c r="BUF46" s="137"/>
      <c r="BUG46" s="137"/>
      <c r="BUH46" s="137"/>
      <c r="BUI46" s="137"/>
      <c r="BUJ46" s="137"/>
      <c r="BUK46" s="137"/>
      <c r="BUL46" s="137"/>
      <c r="BUM46" s="137"/>
      <c r="BUN46" s="137"/>
      <c r="BUO46" s="137"/>
      <c r="BUP46" s="137"/>
      <c r="BUQ46" s="137"/>
      <c r="BUR46" s="137"/>
      <c r="BUS46" s="137"/>
      <c r="BUT46" s="137"/>
      <c r="BUU46" s="137"/>
      <c r="BUV46" s="137"/>
      <c r="BUW46" s="137"/>
      <c r="BUX46" s="137"/>
      <c r="BUY46" s="137"/>
      <c r="BUZ46" s="137"/>
      <c r="BVA46" s="137"/>
      <c r="BVB46" s="137"/>
      <c r="BVC46" s="137"/>
      <c r="BVD46" s="137"/>
      <c r="BVE46" s="137"/>
      <c r="BVF46" s="137"/>
      <c r="BVG46" s="137"/>
      <c r="BVH46" s="137"/>
      <c r="BVI46" s="137"/>
      <c r="BVJ46" s="137"/>
      <c r="BVK46" s="137"/>
      <c r="BVL46" s="137"/>
      <c r="BVM46" s="137"/>
      <c r="BVN46" s="137"/>
      <c r="BVO46" s="137"/>
      <c r="BVP46" s="137"/>
      <c r="BVQ46" s="137"/>
      <c r="BVR46" s="137"/>
      <c r="BVS46" s="137"/>
      <c r="BVT46" s="137"/>
      <c r="BVU46" s="137"/>
      <c r="BVV46" s="137"/>
      <c r="BVW46" s="137"/>
      <c r="BVX46" s="137"/>
      <c r="BVY46" s="137"/>
      <c r="BVZ46" s="137"/>
      <c r="BWA46" s="137"/>
      <c r="BWB46" s="137"/>
      <c r="BWC46" s="137"/>
      <c r="BWD46" s="137"/>
      <c r="BWE46" s="137"/>
      <c r="BWF46" s="137"/>
      <c r="BWG46" s="137"/>
      <c r="BWH46" s="137"/>
      <c r="BWI46" s="137"/>
      <c r="BWJ46" s="137"/>
      <c r="BWK46" s="137"/>
      <c r="BWL46" s="137"/>
      <c r="BWM46" s="137"/>
      <c r="BWN46" s="137"/>
      <c r="BWO46" s="137"/>
      <c r="BWP46" s="137"/>
      <c r="BWQ46" s="137"/>
      <c r="BWR46" s="137"/>
      <c r="BWS46" s="137"/>
      <c r="BWT46" s="137"/>
      <c r="BWU46" s="137"/>
      <c r="BWV46" s="137"/>
      <c r="BWW46" s="137"/>
      <c r="BWX46" s="137"/>
      <c r="BWY46" s="137"/>
      <c r="BWZ46" s="137"/>
      <c r="BXA46" s="137"/>
      <c r="BXB46" s="137"/>
      <c r="BXC46" s="137"/>
      <c r="BXD46" s="137"/>
      <c r="BXE46" s="137"/>
      <c r="BXF46" s="137"/>
      <c r="BXG46" s="137"/>
      <c r="BXH46" s="137"/>
      <c r="BXI46" s="137"/>
      <c r="BXJ46" s="137"/>
      <c r="BXK46" s="137"/>
      <c r="BXL46" s="137"/>
      <c r="BXM46" s="137"/>
      <c r="BXN46" s="137"/>
      <c r="BXO46" s="137"/>
      <c r="BXP46" s="137"/>
      <c r="BXQ46" s="137"/>
      <c r="BXR46" s="137"/>
      <c r="BXS46" s="137"/>
      <c r="BXT46" s="137"/>
      <c r="BXU46" s="137"/>
      <c r="BXV46" s="137"/>
      <c r="BXW46" s="137"/>
      <c r="BXX46" s="137"/>
      <c r="BXY46" s="137"/>
      <c r="BXZ46" s="137"/>
      <c r="BYA46" s="137"/>
      <c r="BYB46" s="137"/>
      <c r="BYC46" s="137"/>
      <c r="BYD46" s="137"/>
      <c r="BYE46" s="137"/>
      <c r="BYF46" s="137"/>
      <c r="BYG46" s="137"/>
      <c r="BYH46" s="137"/>
      <c r="BYI46" s="137"/>
      <c r="BYJ46" s="137"/>
      <c r="BYK46" s="137"/>
      <c r="BYL46" s="137"/>
      <c r="BYM46" s="137"/>
      <c r="BYN46" s="137"/>
      <c r="BYO46" s="137"/>
      <c r="BYP46" s="137"/>
      <c r="BYQ46" s="137"/>
      <c r="BYR46" s="137"/>
      <c r="BYS46" s="137"/>
      <c r="BYT46" s="137"/>
      <c r="BYU46" s="137"/>
      <c r="BYV46" s="137"/>
      <c r="BYW46" s="137"/>
      <c r="BYX46" s="137"/>
      <c r="BYY46" s="137"/>
      <c r="BYZ46" s="137"/>
      <c r="BZA46" s="137"/>
      <c r="BZB46" s="137"/>
      <c r="BZC46" s="137"/>
      <c r="BZD46" s="137"/>
      <c r="BZE46" s="137"/>
      <c r="BZF46" s="137"/>
      <c r="BZG46" s="137"/>
      <c r="BZH46" s="137"/>
      <c r="BZI46" s="137"/>
      <c r="BZJ46" s="137"/>
      <c r="BZK46" s="137"/>
      <c r="BZL46" s="137"/>
      <c r="BZM46" s="137"/>
      <c r="BZN46" s="137"/>
      <c r="BZO46" s="137"/>
      <c r="BZP46" s="137"/>
      <c r="BZQ46" s="137"/>
      <c r="BZR46" s="137"/>
      <c r="BZS46" s="137"/>
      <c r="BZT46" s="137"/>
      <c r="BZU46" s="137"/>
      <c r="BZV46" s="137"/>
      <c r="BZW46" s="137"/>
      <c r="BZX46" s="137"/>
      <c r="BZY46" s="137"/>
      <c r="BZZ46" s="137"/>
      <c r="CAA46" s="137"/>
      <c r="CAB46" s="137"/>
      <c r="CAC46" s="137"/>
      <c r="CAD46" s="137"/>
      <c r="CAE46" s="137"/>
      <c r="CAF46" s="137"/>
      <c r="CAG46" s="137"/>
      <c r="CAH46" s="137"/>
      <c r="CAI46" s="137"/>
      <c r="CAJ46" s="137"/>
      <c r="CAK46" s="137"/>
      <c r="CAL46" s="137"/>
      <c r="CAM46" s="137"/>
      <c r="CAN46" s="137"/>
      <c r="CAO46" s="137"/>
      <c r="CAP46" s="137"/>
      <c r="CAQ46" s="137"/>
      <c r="CAR46" s="137"/>
      <c r="CAS46" s="137"/>
      <c r="CAT46" s="137"/>
      <c r="CAU46" s="137"/>
      <c r="CAV46" s="137"/>
      <c r="CAW46" s="137"/>
      <c r="CAX46" s="137"/>
      <c r="CAY46" s="137"/>
      <c r="CAZ46" s="137"/>
      <c r="CBA46" s="137"/>
      <c r="CBB46" s="137"/>
      <c r="CBC46" s="137"/>
      <c r="CBD46" s="137"/>
      <c r="CBE46" s="137"/>
      <c r="CBF46" s="137"/>
      <c r="CBG46" s="137"/>
      <c r="CBH46" s="137"/>
      <c r="CBI46" s="137"/>
      <c r="CBJ46" s="137"/>
      <c r="CBK46" s="137"/>
      <c r="CBL46" s="137"/>
      <c r="CBM46" s="137"/>
      <c r="CBN46" s="137"/>
      <c r="CBO46" s="137"/>
      <c r="CBP46" s="137"/>
      <c r="CBQ46" s="137"/>
      <c r="CBR46" s="137"/>
      <c r="CBS46" s="137"/>
      <c r="CBT46" s="137"/>
      <c r="CBU46" s="137"/>
      <c r="CBV46" s="137"/>
      <c r="CBW46" s="137"/>
      <c r="CBX46" s="137"/>
      <c r="CBY46" s="137"/>
      <c r="CBZ46" s="137"/>
      <c r="CCA46" s="137"/>
      <c r="CCB46" s="137"/>
      <c r="CCC46" s="137"/>
      <c r="CCD46" s="137"/>
      <c r="CCE46" s="137"/>
      <c r="CCF46" s="137"/>
      <c r="CCG46" s="137"/>
      <c r="CCH46" s="137"/>
      <c r="CCI46" s="137"/>
      <c r="CCJ46" s="137"/>
      <c r="CCK46" s="137"/>
      <c r="CCL46" s="137"/>
      <c r="CCM46" s="137"/>
      <c r="CCN46" s="137"/>
      <c r="CCO46" s="137"/>
      <c r="CCP46" s="137"/>
      <c r="CCQ46" s="137"/>
      <c r="CCR46" s="137"/>
      <c r="CCS46" s="137"/>
      <c r="CCT46" s="137"/>
      <c r="CCU46" s="137"/>
      <c r="CCV46" s="137"/>
      <c r="CCW46" s="137"/>
      <c r="CCX46" s="137"/>
      <c r="CCY46" s="137"/>
      <c r="CCZ46" s="137"/>
      <c r="CDA46" s="137"/>
      <c r="CDB46" s="137"/>
      <c r="CDC46" s="137"/>
      <c r="CDD46" s="137"/>
      <c r="CDE46" s="137"/>
      <c r="CDF46" s="137"/>
      <c r="CDG46" s="137"/>
      <c r="CDH46" s="137"/>
      <c r="CDI46" s="137"/>
      <c r="CDJ46" s="137"/>
      <c r="CDK46" s="137"/>
      <c r="CDL46" s="137"/>
      <c r="CDM46" s="137"/>
      <c r="CDN46" s="137"/>
      <c r="CDO46" s="137"/>
      <c r="CDP46" s="137"/>
      <c r="CDQ46" s="137"/>
      <c r="CDR46" s="137"/>
      <c r="CDS46" s="137"/>
      <c r="CDT46" s="137"/>
      <c r="CDU46" s="137"/>
      <c r="CDV46" s="137"/>
      <c r="CDW46" s="137"/>
      <c r="CDX46" s="137"/>
      <c r="CDY46" s="137"/>
      <c r="CDZ46" s="137"/>
      <c r="CEA46" s="137"/>
      <c r="CEB46" s="137"/>
      <c r="CEC46" s="137"/>
      <c r="CED46" s="137"/>
      <c r="CEE46" s="137"/>
      <c r="CEF46" s="137"/>
      <c r="CEG46" s="137"/>
      <c r="CEH46" s="137"/>
      <c r="CEI46" s="137"/>
      <c r="CEJ46" s="137"/>
      <c r="CEK46" s="137"/>
      <c r="CEL46" s="137"/>
      <c r="CEM46" s="137"/>
      <c r="CEN46" s="137"/>
      <c r="CEO46" s="137"/>
      <c r="CEP46" s="137"/>
      <c r="CEQ46" s="137"/>
      <c r="CER46" s="137"/>
      <c r="CES46" s="137"/>
      <c r="CET46" s="137"/>
      <c r="CEU46" s="137"/>
      <c r="CEV46" s="137"/>
      <c r="CEW46" s="137"/>
      <c r="CEX46" s="137"/>
      <c r="CEY46" s="137"/>
      <c r="CEZ46" s="137"/>
      <c r="CFA46" s="137"/>
      <c r="CFB46" s="137"/>
      <c r="CFC46" s="137"/>
      <c r="CFD46" s="137"/>
      <c r="CFE46" s="137"/>
      <c r="CFF46" s="137"/>
      <c r="CFG46" s="137"/>
      <c r="CFH46" s="137"/>
      <c r="CFI46" s="137"/>
      <c r="CFJ46" s="137"/>
      <c r="CFK46" s="137"/>
      <c r="CFL46" s="137"/>
      <c r="CFM46" s="137"/>
      <c r="CFN46" s="137"/>
      <c r="CFO46" s="137"/>
      <c r="CFP46" s="137"/>
      <c r="CFQ46" s="137"/>
      <c r="CFR46" s="137"/>
      <c r="CFS46" s="137"/>
      <c r="CFT46" s="137"/>
      <c r="CFU46" s="137"/>
      <c r="CFV46" s="137"/>
      <c r="CFW46" s="137"/>
      <c r="CFX46" s="137"/>
      <c r="CFY46" s="137"/>
      <c r="CFZ46" s="137"/>
      <c r="CGA46" s="137"/>
      <c r="CGB46" s="137"/>
      <c r="CGC46" s="137"/>
      <c r="CGD46" s="137"/>
      <c r="CGE46" s="137"/>
      <c r="CGF46" s="137"/>
      <c r="CGG46" s="137"/>
      <c r="CGH46" s="137"/>
      <c r="CGI46" s="137"/>
      <c r="CGJ46" s="137"/>
      <c r="CGK46" s="137"/>
      <c r="CGL46" s="137"/>
      <c r="CGM46" s="137"/>
      <c r="CGN46" s="137"/>
      <c r="CGO46" s="137"/>
      <c r="CGP46" s="137"/>
      <c r="CGQ46" s="137"/>
      <c r="CGR46" s="137"/>
      <c r="CGS46" s="137"/>
      <c r="CGT46" s="137"/>
      <c r="CGU46" s="137"/>
      <c r="CGV46" s="137"/>
      <c r="CGW46" s="137"/>
      <c r="CGX46" s="137"/>
      <c r="CGY46" s="137"/>
      <c r="CGZ46" s="137"/>
      <c r="CHA46" s="137"/>
      <c r="CHB46" s="137"/>
      <c r="CHC46" s="137"/>
      <c r="CHD46" s="137"/>
      <c r="CHE46" s="137"/>
      <c r="CHF46" s="137"/>
      <c r="CHG46" s="137"/>
      <c r="CHH46" s="137"/>
      <c r="CHI46" s="137"/>
      <c r="CHJ46" s="137"/>
      <c r="CHK46" s="137"/>
      <c r="CHL46" s="137"/>
      <c r="CHM46" s="137"/>
      <c r="CHN46" s="137"/>
      <c r="CHO46" s="137"/>
      <c r="CHP46" s="137"/>
      <c r="CHQ46" s="137"/>
      <c r="CHR46" s="137"/>
      <c r="CHS46" s="137"/>
      <c r="CHT46" s="137"/>
      <c r="CHU46" s="137"/>
      <c r="CHV46" s="137"/>
      <c r="CHW46" s="137"/>
      <c r="CHX46" s="137"/>
      <c r="CHY46" s="137"/>
      <c r="CHZ46" s="137"/>
      <c r="CIA46" s="137"/>
      <c r="CIB46" s="137"/>
      <c r="CIC46" s="137"/>
      <c r="CID46" s="137"/>
      <c r="CIE46" s="137"/>
      <c r="CIF46" s="137"/>
      <c r="CIG46" s="137"/>
      <c r="CIH46" s="137"/>
      <c r="CII46" s="137"/>
      <c r="CIJ46" s="137"/>
      <c r="CIK46" s="137"/>
      <c r="CIL46" s="137"/>
      <c r="CIM46" s="137"/>
      <c r="CIN46" s="137"/>
      <c r="CIO46" s="137"/>
      <c r="CIP46" s="137"/>
      <c r="CIQ46" s="137"/>
      <c r="CIR46" s="137"/>
      <c r="CIS46" s="137"/>
      <c r="CIT46" s="137"/>
      <c r="CIU46" s="137"/>
      <c r="CIV46" s="137"/>
      <c r="CIW46" s="137"/>
      <c r="CIX46" s="137"/>
      <c r="CIY46" s="137"/>
      <c r="CIZ46" s="137"/>
      <c r="CJA46" s="137"/>
      <c r="CJB46" s="137"/>
      <c r="CJC46" s="137"/>
      <c r="CJD46" s="137"/>
      <c r="CJE46" s="137"/>
      <c r="CJF46" s="137"/>
      <c r="CJG46" s="137"/>
      <c r="CJH46" s="137"/>
      <c r="CJI46" s="137"/>
      <c r="CJJ46" s="137"/>
      <c r="CJK46" s="137"/>
      <c r="CJL46" s="137"/>
      <c r="CJM46" s="137"/>
      <c r="CJN46" s="137"/>
      <c r="CJO46" s="137"/>
      <c r="CJP46" s="137"/>
      <c r="CJQ46" s="137"/>
      <c r="CJR46" s="137"/>
      <c r="CJS46" s="137"/>
      <c r="CJT46" s="137"/>
      <c r="CJU46" s="137"/>
      <c r="CJV46" s="137"/>
      <c r="CJW46" s="137"/>
      <c r="CJX46" s="137"/>
      <c r="CJY46" s="137"/>
      <c r="CJZ46" s="137"/>
      <c r="CKA46" s="137"/>
      <c r="CKB46" s="137"/>
      <c r="CKC46" s="137"/>
      <c r="CKD46" s="137"/>
      <c r="CKE46" s="137"/>
      <c r="CKF46" s="137"/>
      <c r="CKG46" s="137"/>
      <c r="CKH46" s="137"/>
      <c r="CKI46" s="137"/>
      <c r="CKJ46" s="137"/>
      <c r="CKK46" s="137"/>
      <c r="CKL46" s="137"/>
      <c r="CKM46" s="137"/>
      <c r="CKN46" s="137"/>
      <c r="CKO46" s="137"/>
      <c r="CKP46" s="137"/>
      <c r="CKQ46" s="137"/>
      <c r="CKR46" s="137"/>
      <c r="CKS46" s="137"/>
      <c r="CKT46" s="137"/>
      <c r="CKU46" s="137"/>
      <c r="CKV46" s="137"/>
      <c r="CKW46" s="137"/>
      <c r="CKX46" s="137"/>
      <c r="CKY46" s="137"/>
      <c r="CKZ46" s="137"/>
      <c r="CLA46" s="137"/>
      <c r="CLB46" s="137"/>
      <c r="CLC46" s="137"/>
      <c r="CLD46" s="137"/>
      <c r="CLE46" s="137"/>
      <c r="CLF46" s="137"/>
      <c r="CLG46" s="137"/>
      <c r="CLH46" s="137"/>
      <c r="CLI46" s="137"/>
      <c r="CLJ46" s="137"/>
      <c r="CLK46" s="137"/>
      <c r="CLL46" s="137"/>
      <c r="CLM46" s="137"/>
      <c r="CLN46" s="137"/>
      <c r="CLO46" s="137"/>
      <c r="CLP46" s="137"/>
      <c r="CLQ46" s="137"/>
      <c r="CLR46" s="137"/>
      <c r="CLS46" s="137"/>
      <c r="CLT46" s="137"/>
      <c r="CLU46" s="137"/>
      <c r="CLV46" s="137"/>
      <c r="CLW46" s="137"/>
      <c r="CLX46" s="137"/>
      <c r="CLY46" s="137"/>
      <c r="CLZ46" s="137"/>
      <c r="CMA46" s="137"/>
      <c r="CMB46" s="137"/>
      <c r="CMC46" s="137"/>
      <c r="CMD46" s="137"/>
      <c r="CME46" s="137"/>
      <c r="CMF46" s="137"/>
      <c r="CMG46" s="137"/>
      <c r="CMH46" s="137"/>
      <c r="CMI46" s="137"/>
      <c r="CMJ46" s="137"/>
      <c r="CMK46" s="137"/>
      <c r="CML46" s="137"/>
      <c r="CMM46" s="137"/>
      <c r="CMN46" s="137"/>
      <c r="CMO46" s="137"/>
      <c r="CMP46" s="137"/>
      <c r="CMQ46" s="137"/>
      <c r="CMR46" s="137"/>
      <c r="CMS46" s="137"/>
      <c r="CMT46" s="137"/>
      <c r="CMU46" s="137"/>
      <c r="CMV46" s="137"/>
      <c r="CMW46" s="137"/>
      <c r="CMX46" s="137"/>
      <c r="CMY46" s="137"/>
      <c r="CMZ46" s="137"/>
      <c r="CNA46" s="137"/>
      <c r="CNB46" s="137"/>
      <c r="CNC46" s="137"/>
      <c r="CND46" s="137"/>
      <c r="CNE46" s="137"/>
      <c r="CNF46" s="137"/>
      <c r="CNG46" s="137"/>
      <c r="CNH46" s="137"/>
      <c r="CNI46" s="137"/>
      <c r="CNJ46" s="137"/>
      <c r="CNK46" s="137"/>
      <c r="CNL46" s="137"/>
      <c r="CNM46" s="137"/>
      <c r="CNN46" s="137"/>
      <c r="CNO46" s="137"/>
      <c r="CNP46" s="137"/>
      <c r="CNQ46" s="137"/>
      <c r="CNR46" s="137"/>
      <c r="CNS46" s="137"/>
      <c r="CNT46" s="137"/>
      <c r="CNU46" s="137"/>
      <c r="CNV46" s="137"/>
      <c r="CNW46" s="137"/>
      <c r="CNX46" s="137"/>
      <c r="CNY46" s="137"/>
      <c r="CNZ46" s="137"/>
      <c r="COA46" s="137"/>
      <c r="COB46" s="137"/>
      <c r="COC46" s="137"/>
      <c r="COD46" s="137"/>
      <c r="COE46" s="137"/>
      <c r="COF46" s="137"/>
      <c r="COG46" s="137"/>
      <c r="COH46" s="137"/>
      <c r="COI46" s="137"/>
      <c r="COJ46" s="137"/>
      <c r="COK46" s="137"/>
      <c r="COL46" s="137"/>
      <c r="COM46" s="137"/>
      <c r="CON46" s="137"/>
      <c r="COO46" s="137"/>
      <c r="COP46" s="137"/>
      <c r="COQ46" s="137"/>
      <c r="COR46" s="137"/>
      <c r="COS46" s="137"/>
      <c r="COT46" s="137"/>
      <c r="COU46" s="137"/>
      <c r="COV46" s="137"/>
      <c r="COW46" s="137"/>
      <c r="COX46" s="137"/>
      <c r="COY46" s="137"/>
      <c r="COZ46" s="137"/>
      <c r="CPA46" s="137"/>
      <c r="CPB46" s="137"/>
      <c r="CPC46" s="137"/>
      <c r="CPD46" s="137"/>
      <c r="CPE46" s="137"/>
      <c r="CPF46" s="137"/>
      <c r="CPG46" s="137"/>
      <c r="CPH46" s="137"/>
      <c r="CPI46" s="137"/>
      <c r="CPJ46" s="137"/>
      <c r="CPK46" s="137"/>
      <c r="CPL46" s="137"/>
      <c r="CPM46" s="137"/>
      <c r="CPN46" s="137"/>
      <c r="CPO46" s="137"/>
      <c r="CPP46" s="137"/>
      <c r="CPQ46" s="137"/>
      <c r="CPR46" s="137"/>
      <c r="CPS46" s="137"/>
      <c r="CPT46" s="137"/>
      <c r="CPU46" s="137"/>
      <c r="CPV46" s="137"/>
      <c r="CPW46" s="137"/>
      <c r="CPX46" s="137"/>
      <c r="CPY46" s="137"/>
      <c r="CPZ46" s="137"/>
      <c r="CQA46" s="137"/>
      <c r="CQB46" s="137"/>
      <c r="CQC46" s="137"/>
      <c r="CQD46" s="137"/>
      <c r="CQE46" s="137"/>
      <c r="CQF46" s="137"/>
      <c r="CQG46" s="137"/>
      <c r="CQH46" s="137"/>
      <c r="CQI46" s="137"/>
      <c r="CQJ46" s="137"/>
      <c r="CQK46" s="137"/>
      <c r="CQL46" s="137"/>
      <c r="CQM46" s="137"/>
      <c r="CQN46" s="137"/>
      <c r="CQO46" s="137"/>
      <c r="CQP46" s="137"/>
      <c r="CQQ46" s="137"/>
      <c r="CQR46" s="137"/>
      <c r="CQS46" s="137"/>
      <c r="CQT46" s="137"/>
      <c r="CQU46" s="137"/>
      <c r="CQV46" s="137"/>
      <c r="CQW46" s="137"/>
      <c r="CQX46" s="137"/>
      <c r="CQY46" s="137"/>
      <c r="CQZ46" s="137"/>
      <c r="CRA46" s="137"/>
      <c r="CRB46" s="137"/>
      <c r="CRC46" s="137"/>
      <c r="CRD46" s="137"/>
      <c r="CRE46" s="137"/>
      <c r="CRF46" s="137"/>
      <c r="CRG46" s="137"/>
      <c r="CRH46" s="137"/>
      <c r="CRI46" s="137"/>
      <c r="CRJ46" s="137"/>
      <c r="CRK46" s="137"/>
      <c r="CRL46" s="137"/>
      <c r="CRM46" s="137"/>
      <c r="CRN46" s="137"/>
      <c r="CRO46" s="137"/>
      <c r="CRP46" s="137"/>
      <c r="CRQ46" s="137"/>
      <c r="CRR46" s="137"/>
      <c r="CRS46" s="137"/>
      <c r="CRT46" s="137"/>
      <c r="CRU46" s="137"/>
      <c r="CRV46" s="137"/>
      <c r="CRW46" s="137"/>
      <c r="CRX46" s="137"/>
      <c r="CRY46" s="137"/>
      <c r="CRZ46" s="137"/>
      <c r="CSA46" s="137"/>
      <c r="CSB46" s="137"/>
      <c r="CSC46" s="137"/>
      <c r="CSD46" s="137"/>
      <c r="CSE46" s="137"/>
      <c r="CSF46" s="137"/>
      <c r="CSG46" s="137"/>
      <c r="CSH46" s="137"/>
      <c r="CSI46" s="137"/>
      <c r="CSJ46" s="137"/>
      <c r="CSK46" s="137"/>
      <c r="CSL46" s="137"/>
      <c r="CSM46" s="137"/>
      <c r="CSN46" s="137"/>
      <c r="CSO46" s="137"/>
      <c r="CSP46" s="137"/>
      <c r="CSQ46" s="137"/>
      <c r="CSR46" s="137"/>
      <c r="CSS46" s="137"/>
      <c r="CST46" s="137"/>
      <c r="CSU46" s="137"/>
      <c r="CSV46" s="137"/>
      <c r="CSW46" s="137"/>
      <c r="CSX46" s="137"/>
      <c r="CSY46" s="137"/>
      <c r="CSZ46" s="137"/>
      <c r="CTA46" s="137"/>
      <c r="CTB46" s="137"/>
      <c r="CTC46" s="137"/>
      <c r="CTD46" s="137"/>
      <c r="CTE46" s="137"/>
      <c r="CTF46" s="137"/>
      <c r="CTG46" s="137"/>
      <c r="CTH46" s="137"/>
      <c r="CTI46" s="137"/>
      <c r="CTJ46" s="137"/>
      <c r="CTK46" s="137"/>
      <c r="CTL46" s="137"/>
      <c r="CTM46" s="137"/>
      <c r="CTN46" s="137"/>
      <c r="CTO46" s="137"/>
      <c r="CTP46" s="137"/>
      <c r="CTQ46" s="137"/>
      <c r="CTR46" s="137"/>
      <c r="CTS46" s="137"/>
      <c r="CTT46" s="137"/>
      <c r="CTU46" s="137"/>
      <c r="CTV46" s="137"/>
      <c r="CTW46" s="137"/>
      <c r="CTX46" s="137"/>
      <c r="CTY46" s="137"/>
      <c r="CTZ46" s="137"/>
      <c r="CUA46" s="137"/>
      <c r="CUB46" s="137"/>
      <c r="CUC46" s="137"/>
      <c r="CUD46" s="137"/>
      <c r="CUE46" s="137"/>
      <c r="CUF46" s="137"/>
      <c r="CUG46" s="137"/>
      <c r="CUH46" s="137"/>
      <c r="CUI46" s="137"/>
      <c r="CUJ46" s="137"/>
      <c r="CUK46" s="137"/>
      <c r="CUL46" s="137"/>
      <c r="CUM46" s="137"/>
      <c r="CUN46" s="137"/>
      <c r="CUO46" s="137"/>
      <c r="CUP46" s="137"/>
      <c r="CUQ46" s="137"/>
      <c r="CUR46" s="137"/>
      <c r="CUS46" s="137"/>
      <c r="CUT46" s="137"/>
      <c r="CUU46" s="137"/>
      <c r="CUV46" s="137"/>
      <c r="CUW46" s="137"/>
      <c r="CUX46" s="137"/>
      <c r="CUY46" s="137"/>
      <c r="CUZ46" s="137"/>
      <c r="CVA46" s="137"/>
      <c r="CVB46" s="137"/>
      <c r="CVC46" s="137"/>
      <c r="CVD46" s="137"/>
      <c r="CVE46" s="137"/>
      <c r="CVF46" s="137"/>
      <c r="CVG46" s="137"/>
      <c r="CVH46" s="137"/>
      <c r="CVI46" s="137"/>
      <c r="CVJ46" s="137"/>
      <c r="CVK46" s="137"/>
      <c r="CVL46" s="137"/>
      <c r="CVM46" s="137"/>
      <c r="CVN46" s="137"/>
      <c r="CVO46" s="137"/>
      <c r="CVP46" s="137"/>
      <c r="CVQ46" s="137"/>
      <c r="CVR46" s="137"/>
      <c r="CVS46" s="137"/>
      <c r="CVT46" s="137"/>
      <c r="CVU46" s="137"/>
      <c r="CVV46" s="137"/>
      <c r="CVW46" s="137"/>
      <c r="CVX46" s="137"/>
      <c r="CVY46" s="137"/>
      <c r="CVZ46" s="137"/>
      <c r="CWA46" s="137"/>
      <c r="CWB46" s="137"/>
      <c r="CWC46" s="137"/>
      <c r="CWD46" s="137"/>
      <c r="CWE46" s="137"/>
      <c r="CWF46" s="137"/>
      <c r="CWG46" s="137"/>
      <c r="CWH46" s="137"/>
      <c r="CWI46" s="137"/>
      <c r="CWJ46" s="137"/>
      <c r="CWK46" s="137"/>
      <c r="CWL46" s="137"/>
      <c r="CWM46" s="137"/>
      <c r="CWN46" s="137"/>
      <c r="CWO46" s="137"/>
      <c r="CWP46" s="137"/>
      <c r="CWQ46" s="137"/>
      <c r="CWR46" s="137"/>
      <c r="CWS46" s="137"/>
      <c r="CWT46" s="137"/>
      <c r="CWU46" s="137"/>
      <c r="CWV46" s="137"/>
      <c r="CWW46" s="137"/>
      <c r="CWX46" s="137"/>
      <c r="CWY46" s="137"/>
      <c r="CWZ46" s="137"/>
      <c r="CXA46" s="137"/>
      <c r="CXB46" s="137"/>
      <c r="CXC46" s="137"/>
      <c r="CXD46" s="137"/>
      <c r="CXE46" s="137"/>
      <c r="CXF46" s="137"/>
      <c r="CXG46" s="137"/>
      <c r="CXH46" s="137"/>
      <c r="CXI46" s="137"/>
      <c r="CXJ46" s="137"/>
      <c r="CXK46" s="137"/>
      <c r="CXL46" s="137"/>
      <c r="CXM46" s="137"/>
      <c r="CXN46" s="137"/>
      <c r="CXO46" s="137"/>
      <c r="CXP46" s="137"/>
      <c r="CXQ46" s="137"/>
      <c r="CXR46" s="137"/>
      <c r="CXS46" s="137"/>
      <c r="CXT46" s="137"/>
      <c r="CXU46" s="137"/>
      <c r="CXV46" s="137"/>
      <c r="CXW46" s="137"/>
      <c r="CXX46" s="137"/>
      <c r="CXY46" s="137"/>
      <c r="CXZ46" s="137"/>
      <c r="CYA46" s="137"/>
      <c r="CYB46" s="137"/>
      <c r="CYC46" s="137"/>
      <c r="CYD46" s="137"/>
      <c r="CYE46" s="137"/>
      <c r="CYF46" s="137"/>
      <c r="CYG46" s="137"/>
      <c r="CYH46" s="137"/>
      <c r="CYI46" s="137"/>
      <c r="CYJ46" s="137"/>
      <c r="CYK46" s="137"/>
      <c r="CYL46" s="137"/>
      <c r="CYM46" s="137"/>
      <c r="CYN46" s="137"/>
      <c r="CYO46" s="137"/>
      <c r="CYP46" s="137"/>
      <c r="CYQ46" s="137"/>
      <c r="CYR46" s="137"/>
      <c r="CYS46" s="137"/>
      <c r="CYT46" s="137"/>
      <c r="CYU46" s="137"/>
      <c r="CYV46" s="137"/>
      <c r="CYW46" s="137"/>
      <c r="CYX46" s="137"/>
      <c r="CYY46" s="137"/>
      <c r="CYZ46" s="137"/>
      <c r="CZA46" s="137"/>
      <c r="CZB46" s="137"/>
      <c r="CZC46" s="137"/>
      <c r="CZD46" s="137"/>
      <c r="CZE46" s="137"/>
      <c r="CZF46" s="137"/>
      <c r="CZG46" s="137"/>
      <c r="CZH46" s="137"/>
      <c r="CZI46" s="137"/>
      <c r="CZJ46" s="137"/>
      <c r="CZK46" s="137"/>
      <c r="CZL46" s="137"/>
      <c r="CZM46" s="137"/>
      <c r="CZN46" s="137"/>
      <c r="CZO46" s="137"/>
      <c r="CZP46" s="137"/>
      <c r="CZQ46" s="137"/>
      <c r="CZR46" s="137"/>
      <c r="CZS46" s="137"/>
      <c r="CZT46" s="137"/>
      <c r="CZU46" s="137"/>
      <c r="CZV46" s="137"/>
      <c r="CZW46" s="137"/>
      <c r="CZX46" s="137"/>
      <c r="CZY46" s="137"/>
      <c r="CZZ46" s="137"/>
      <c r="DAA46" s="137"/>
      <c r="DAB46" s="137"/>
      <c r="DAC46" s="137"/>
      <c r="DAD46" s="137"/>
      <c r="DAE46" s="137"/>
      <c r="DAF46" s="137"/>
      <c r="DAG46" s="137"/>
      <c r="DAH46" s="137"/>
      <c r="DAI46" s="137"/>
      <c r="DAJ46" s="137"/>
      <c r="DAK46" s="137"/>
      <c r="DAL46" s="137"/>
      <c r="DAM46" s="137"/>
      <c r="DAN46" s="137"/>
      <c r="DAO46" s="137"/>
      <c r="DAP46" s="137"/>
      <c r="DAQ46" s="137"/>
      <c r="DAR46" s="137"/>
      <c r="DAS46" s="137"/>
      <c r="DAT46" s="137"/>
      <c r="DAU46" s="137"/>
      <c r="DAV46" s="137"/>
      <c r="DAW46" s="137"/>
      <c r="DAX46" s="137"/>
      <c r="DAY46" s="137"/>
      <c r="DAZ46" s="137"/>
      <c r="DBA46" s="137"/>
      <c r="DBB46" s="137"/>
      <c r="DBC46" s="137"/>
      <c r="DBD46" s="137"/>
      <c r="DBE46" s="137"/>
      <c r="DBF46" s="137"/>
      <c r="DBG46" s="137"/>
      <c r="DBH46" s="137"/>
      <c r="DBI46" s="137"/>
      <c r="DBJ46" s="137"/>
      <c r="DBK46" s="137"/>
      <c r="DBL46" s="137"/>
      <c r="DBM46" s="137"/>
      <c r="DBN46" s="137"/>
      <c r="DBO46" s="137"/>
      <c r="DBP46" s="137"/>
      <c r="DBQ46" s="137"/>
      <c r="DBR46" s="137"/>
      <c r="DBS46" s="137"/>
      <c r="DBT46" s="137"/>
      <c r="DBU46" s="137"/>
      <c r="DBV46" s="137"/>
      <c r="DBW46" s="137"/>
      <c r="DBX46" s="137"/>
      <c r="DBY46" s="137"/>
      <c r="DBZ46" s="137"/>
      <c r="DCA46" s="137"/>
      <c r="DCB46" s="137"/>
      <c r="DCC46" s="137"/>
      <c r="DCD46" s="137"/>
      <c r="DCE46" s="137"/>
      <c r="DCF46" s="137"/>
      <c r="DCG46" s="137"/>
      <c r="DCH46" s="137"/>
      <c r="DCI46" s="137"/>
      <c r="DCJ46" s="137"/>
      <c r="DCK46" s="137"/>
      <c r="DCL46" s="137"/>
      <c r="DCM46" s="137"/>
      <c r="DCN46" s="137"/>
      <c r="DCO46" s="137"/>
      <c r="DCP46" s="137"/>
      <c r="DCQ46" s="137"/>
      <c r="DCR46" s="137"/>
      <c r="DCS46" s="137"/>
      <c r="DCT46" s="137"/>
      <c r="DCU46" s="137"/>
      <c r="DCV46" s="137"/>
      <c r="DCW46" s="137"/>
      <c r="DCX46" s="137"/>
      <c r="DCY46" s="137"/>
      <c r="DCZ46" s="137"/>
      <c r="DDA46" s="137"/>
      <c r="DDB46" s="137"/>
      <c r="DDC46" s="137"/>
      <c r="DDD46" s="137"/>
      <c r="DDE46" s="137"/>
      <c r="DDF46" s="137"/>
      <c r="DDG46" s="137"/>
      <c r="DDH46" s="137"/>
      <c r="DDI46" s="137"/>
      <c r="DDJ46" s="137"/>
      <c r="DDK46" s="137"/>
      <c r="DDL46" s="137"/>
      <c r="DDM46" s="137"/>
      <c r="DDN46" s="137"/>
      <c r="DDO46" s="137"/>
      <c r="DDP46" s="137"/>
      <c r="DDQ46" s="137"/>
      <c r="DDR46" s="137"/>
      <c r="DDS46" s="137"/>
      <c r="DDT46" s="137"/>
      <c r="DDU46" s="137"/>
      <c r="DDV46" s="137"/>
      <c r="DDW46" s="137"/>
      <c r="DDX46" s="137"/>
      <c r="DDY46" s="137"/>
      <c r="DDZ46" s="137"/>
      <c r="DEA46" s="137"/>
      <c r="DEB46" s="137"/>
      <c r="DEC46" s="137"/>
      <c r="DED46" s="137"/>
      <c r="DEE46" s="137"/>
      <c r="DEF46" s="137"/>
      <c r="DEG46" s="137"/>
      <c r="DEH46" s="137"/>
      <c r="DEI46" s="137"/>
      <c r="DEJ46" s="137"/>
      <c r="DEK46" s="137"/>
      <c r="DEL46" s="137"/>
      <c r="DEM46" s="137"/>
      <c r="DEN46" s="137"/>
      <c r="DEO46" s="137"/>
      <c r="DEP46" s="137"/>
      <c r="DEQ46" s="137"/>
      <c r="DER46" s="137"/>
      <c r="DES46" s="137"/>
      <c r="DET46" s="137"/>
      <c r="DEU46" s="137"/>
      <c r="DEV46" s="137"/>
      <c r="DEW46" s="137"/>
      <c r="DEX46" s="137"/>
      <c r="DEY46" s="137"/>
      <c r="DEZ46" s="137"/>
      <c r="DFA46" s="137"/>
      <c r="DFB46" s="137"/>
      <c r="DFC46" s="137"/>
      <c r="DFD46" s="137"/>
      <c r="DFE46" s="137"/>
      <c r="DFF46" s="137"/>
      <c r="DFG46" s="137"/>
      <c r="DFH46" s="137"/>
      <c r="DFI46" s="137"/>
      <c r="DFJ46" s="137"/>
      <c r="DFK46" s="137"/>
      <c r="DFL46" s="137"/>
      <c r="DFM46" s="137"/>
      <c r="DFN46" s="137"/>
      <c r="DFO46" s="137"/>
      <c r="DFP46" s="137"/>
      <c r="DFQ46" s="137"/>
      <c r="DFR46" s="137"/>
      <c r="DFS46" s="137"/>
      <c r="DFT46" s="137"/>
      <c r="DFU46" s="137"/>
      <c r="DFV46" s="137"/>
      <c r="DFW46" s="137"/>
      <c r="DFX46" s="137"/>
      <c r="DFY46" s="137"/>
      <c r="DFZ46" s="137"/>
      <c r="DGA46" s="137"/>
      <c r="DGB46" s="137"/>
      <c r="DGC46" s="137"/>
      <c r="DGD46" s="137"/>
      <c r="DGE46" s="137"/>
      <c r="DGF46" s="137"/>
      <c r="DGG46" s="137"/>
      <c r="DGH46" s="137"/>
      <c r="DGI46" s="137"/>
      <c r="DGJ46" s="137"/>
      <c r="DGK46" s="137"/>
      <c r="DGL46" s="137"/>
      <c r="DGM46" s="137"/>
      <c r="DGN46" s="137"/>
      <c r="DGO46" s="137"/>
      <c r="DGP46" s="137"/>
      <c r="DGQ46" s="137"/>
      <c r="DGR46" s="137"/>
      <c r="DGS46" s="137"/>
      <c r="DGT46" s="137"/>
      <c r="DGU46" s="137"/>
      <c r="DGV46" s="137"/>
      <c r="DGW46" s="137"/>
      <c r="DGX46" s="137"/>
      <c r="DGY46" s="137"/>
      <c r="DGZ46" s="137"/>
      <c r="DHA46" s="137"/>
      <c r="DHB46" s="137"/>
      <c r="DHC46" s="137"/>
      <c r="DHD46" s="137"/>
      <c r="DHE46" s="137"/>
      <c r="DHF46" s="137"/>
      <c r="DHG46" s="137"/>
      <c r="DHH46" s="137"/>
      <c r="DHI46" s="137"/>
      <c r="DHJ46" s="137"/>
      <c r="DHK46" s="137"/>
      <c r="DHL46" s="137"/>
      <c r="DHM46" s="137"/>
      <c r="DHN46" s="137"/>
      <c r="DHO46" s="137"/>
      <c r="DHP46" s="137"/>
      <c r="DHQ46" s="137"/>
      <c r="DHR46" s="137"/>
      <c r="DHS46" s="137"/>
      <c r="DHT46" s="137"/>
      <c r="DHU46" s="137"/>
      <c r="DHV46" s="137"/>
      <c r="DHW46" s="137"/>
      <c r="DHX46" s="137"/>
      <c r="DHY46" s="137"/>
      <c r="DHZ46" s="137"/>
      <c r="DIA46" s="137"/>
      <c r="DIB46" s="137"/>
      <c r="DIC46" s="137"/>
      <c r="DID46" s="137"/>
      <c r="DIE46" s="137"/>
      <c r="DIF46" s="137"/>
      <c r="DIG46" s="137"/>
      <c r="DIH46" s="137"/>
      <c r="DII46" s="137"/>
      <c r="DIJ46" s="137"/>
      <c r="DIK46" s="137"/>
      <c r="DIL46" s="137"/>
      <c r="DIM46" s="137"/>
      <c r="DIN46" s="137"/>
      <c r="DIO46" s="137"/>
      <c r="DIP46" s="137"/>
      <c r="DIQ46" s="137"/>
      <c r="DIR46" s="137"/>
      <c r="DIS46" s="137"/>
      <c r="DIT46" s="137"/>
      <c r="DIU46" s="137"/>
      <c r="DIV46" s="137"/>
      <c r="DIW46" s="137"/>
      <c r="DIX46" s="137"/>
      <c r="DIY46" s="137"/>
      <c r="DIZ46" s="137"/>
      <c r="DJA46" s="137"/>
      <c r="DJB46" s="137"/>
      <c r="DJC46" s="137"/>
      <c r="DJD46" s="137"/>
      <c r="DJE46" s="137"/>
      <c r="DJF46" s="137"/>
      <c r="DJG46" s="137"/>
      <c r="DJH46" s="137"/>
      <c r="DJI46" s="137"/>
      <c r="DJJ46" s="137"/>
      <c r="DJK46" s="137"/>
      <c r="DJL46" s="137"/>
      <c r="DJM46" s="137"/>
      <c r="DJN46" s="137"/>
      <c r="DJO46" s="137"/>
      <c r="DJP46" s="137"/>
      <c r="DJQ46" s="137"/>
      <c r="DJR46" s="137"/>
      <c r="DJS46" s="137"/>
      <c r="DJT46" s="137"/>
      <c r="DJU46" s="137"/>
      <c r="DJV46" s="137"/>
      <c r="DJW46" s="137"/>
      <c r="DJX46" s="137"/>
      <c r="DJY46" s="137"/>
      <c r="DJZ46" s="137"/>
      <c r="DKA46" s="137"/>
      <c r="DKB46" s="137"/>
      <c r="DKC46" s="137"/>
      <c r="DKD46" s="137"/>
      <c r="DKE46" s="137"/>
      <c r="DKF46" s="137"/>
      <c r="DKG46" s="137"/>
      <c r="DKH46" s="137"/>
      <c r="DKI46" s="137"/>
      <c r="DKJ46" s="137"/>
      <c r="DKK46" s="137"/>
      <c r="DKL46" s="137"/>
      <c r="DKM46" s="137"/>
      <c r="DKN46" s="137"/>
      <c r="DKO46" s="137"/>
      <c r="DKP46" s="137"/>
      <c r="DKQ46" s="137"/>
      <c r="DKR46" s="137"/>
      <c r="DKS46" s="137"/>
      <c r="DKT46" s="137"/>
      <c r="DKU46" s="137"/>
      <c r="DKV46" s="137"/>
      <c r="DKW46" s="137"/>
      <c r="DKX46" s="137"/>
      <c r="DKY46" s="137"/>
      <c r="DKZ46" s="137"/>
      <c r="DLA46" s="137"/>
      <c r="DLB46" s="137"/>
      <c r="DLC46" s="137"/>
      <c r="DLD46" s="137"/>
      <c r="DLE46" s="137"/>
      <c r="DLF46" s="137"/>
      <c r="DLG46" s="137"/>
      <c r="DLH46" s="137"/>
      <c r="DLI46" s="137"/>
      <c r="DLJ46" s="137"/>
      <c r="DLK46" s="137"/>
      <c r="DLL46" s="137"/>
      <c r="DLM46" s="137"/>
      <c r="DLN46" s="137"/>
      <c r="DLO46" s="137"/>
      <c r="DLP46" s="137"/>
      <c r="DLQ46" s="137"/>
      <c r="DLR46" s="137"/>
      <c r="DLS46" s="137"/>
      <c r="DLT46" s="137"/>
      <c r="DLU46" s="137"/>
      <c r="DLV46" s="137"/>
      <c r="DLW46" s="137"/>
      <c r="DLX46" s="137"/>
      <c r="DLY46" s="137"/>
      <c r="DLZ46" s="137"/>
      <c r="DMA46" s="137"/>
      <c r="DMB46" s="137"/>
      <c r="DMC46" s="137"/>
      <c r="DMD46" s="137"/>
      <c r="DME46" s="137"/>
      <c r="DMF46" s="137"/>
      <c r="DMG46" s="137"/>
      <c r="DMH46" s="137"/>
      <c r="DMI46" s="137"/>
      <c r="DMJ46" s="137"/>
      <c r="DMK46" s="137"/>
      <c r="DML46" s="137"/>
      <c r="DMM46" s="137"/>
      <c r="DMN46" s="137"/>
      <c r="DMO46" s="137"/>
      <c r="DMP46" s="137"/>
      <c r="DMQ46" s="137"/>
      <c r="DMR46" s="137"/>
      <c r="DMS46" s="137"/>
      <c r="DMT46" s="137"/>
      <c r="DMU46" s="137"/>
      <c r="DMV46" s="137"/>
      <c r="DMW46" s="137"/>
      <c r="DMX46" s="137"/>
      <c r="DMY46" s="137"/>
      <c r="DMZ46" s="137"/>
      <c r="DNA46" s="137"/>
      <c r="DNB46" s="137"/>
      <c r="DNC46" s="137"/>
      <c r="DND46" s="137"/>
      <c r="DNE46" s="137"/>
      <c r="DNF46" s="137"/>
      <c r="DNG46" s="137"/>
      <c r="DNH46" s="137"/>
      <c r="DNI46" s="137"/>
      <c r="DNJ46" s="137"/>
      <c r="DNK46" s="137"/>
      <c r="DNL46" s="137"/>
      <c r="DNM46" s="137"/>
      <c r="DNN46" s="137"/>
      <c r="DNO46" s="137"/>
      <c r="DNP46" s="137"/>
      <c r="DNQ46" s="137"/>
      <c r="DNR46" s="137"/>
      <c r="DNS46" s="137"/>
      <c r="DNT46" s="137"/>
      <c r="DNU46" s="137"/>
      <c r="DNV46" s="137"/>
      <c r="DNW46" s="137"/>
      <c r="DNX46" s="137"/>
      <c r="DNY46" s="137"/>
      <c r="DNZ46" s="137"/>
      <c r="DOA46" s="137"/>
      <c r="DOB46" s="137"/>
      <c r="DOC46" s="137"/>
      <c r="DOD46" s="137"/>
      <c r="DOE46" s="137"/>
      <c r="DOF46" s="137"/>
      <c r="DOG46" s="137"/>
      <c r="DOH46" s="137"/>
      <c r="DOI46" s="137"/>
      <c r="DOJ46" s="137"/>
      <c r="DOK46" s="137"/>
      <c r="DOL46" s="137"/>
      <c r="DOM46" s="137"/>
      <c r="DON46" s="137"/>
      <c r="DOO46" s="137"/>
      <c r="DOP46" s="137"/>
      <c r="DOQ46" s="137"/>
      <c r="DOR46" s="137"/>
      <c r="DOS46" s="137"/>
      <c r="DOT46" s="137"/>
      <c r="DOU46" s="137"/>
      <c r="DOV46" s="137"/>
      <c r="DOW46" s="137"/>
      <c r="DOX46" s="137"/>
      <c r="DOY46" s="137"/>
      <c r="DOZ46" s="137"/>
      <c r="DPA46" s="137"/>
      <c r="DPB46" s="137"/>
      <c r="DPC46" s="137"/>
      <c r="DPD46" s="137"/>
      <c r="DPE46" s="137"/>
      <c r="DPF46" s="137"/>
      <c r="DPG46" s="137"/>
      <c r="DPH46" s="137"/>
      <c r="DPI46" s="137"/>
      <c r="DPJ46" s="137"/>
      <c r="DPK46" s="137"/>
      <c r="DPL46" s="137"/>
      <c r="DPM46" s="137"/>
      <c r="DPN46" s="137"/>
      <c r="DPO46" s="137"/>
      <c r="DPP46" s="137"/>
      <c r="DPQ46" s="137"/>
      <c r="DPR46" s="137"/>
      <c r="DPS46" s="137"/>
      <c r="DPT46" s="137"/>
      <c r="DPU46" s="137"/>
      <c r="DPV46" s="137"/>
      <c r="DPW46" s="137"/>
      <c r="DPX46" s="137"/>
      <c r="DPY46" s="137"/>
      <c r="DPZ46" s="137"/>
      <c r="DQA46" s="137"/>
      <c r="DQB46" s="137"/>
      <c r="DQC46" s="137"/>
      <c r="DQD46" s="137"/>
      <c r="DQE46" s="137"/>
      <c r="DQF46" s="137"/>
      <c r="DQG46" s="137"/>
      <c r="DQH46" s="137"/>
      <c r="DQI46" s="137"/>
      <c r="DQJ46" s="137"/>
      <c r="DQK46" s="137"/>
      <c r="DQL46" s="137"/>
      <c r="DQM46" s="137"/>
      <c r="DQN46" s="137"/>
      <c r="DQO46" s="137"/>
      <c r="DQP46" s="137"/>
      <c r="DQQ46" s="137"/>
      <c r="DQR46" s="137"/>
      <c r="DQS46" s="137"/>
      <c r="DQT46" s="137"/>
      <c r="DQU46" s="137"/>
      <c r="DQV46" s="137"/>
      <c r="DQW46" s="137"/>
      <c r="DQX46" s="137"/>
      <c r="DQY46" s="137"/>
      <c r="DQZ46" s="137"/>
      <c r="DRA46" s="137"/>
      <c r="DRB46" s="137"/>
      <c r="DRC46" s="137"/>
      <c r="DRD46" s="137"/>
      <c r="DRE46" s="137"/>
      <c r="DRF46" s="137"/>
      <c r="DRG46" s="137"/>
      <c r="DRH46" s="137"/>
      <c r="DRI46" s="137"/>
      <c r="DRJ46" s="137"/>
      <c r="DRK46" s="137"/>
      <c r="DRL46" s="137"/>
      <c r="DRM46" s="137"/>
      <c r="DRN46" s="137"/>
      <c r="DRO46" s="137"/>
      <c r="DRP46" s="137"/>
      <c r="DRQ46" s="137"/>
      <c r="DRR46" s="137"/>
      <c r="DRS46" s="137"/>
      <c r="DRT46" s="137"/>
      <c r="DRU46" s="137"/>
      <c r="DRV46" s="137"/>
      <c r="DRW46" s="137"/>
      <c r="DRX46" s="137"/>
      <c r="DRY46" s="137"/>
      <c r="DRZ46" s="137"/>
      <c r="DSA46" s="137"/>
      <c r="DSB46" s="137"/>
      <c r="DSC46" s="137"/>
      <c r="DSD46" s="137"/>
      <c r="DSE46" s="137"/>
      <c r="DSF46" s="137"/>
      <c r="DSG46" s="137"/>
      <c r="DSH46" s="137"/>
      <c r="DSI46" s="137"/>
      <c r="DSJ46" s="137"/>
      <c r="DSK46" s="137"/>
      <c r="DSL46" s="137"/>
      <c r="DSM46" s="137"/>
      <c r="DSN46" s="137"/>
      <c r="DSO46" s="137"/>
      <c r="DSP46" s="137"/>
      <c r="DSQ46" s="137"/>
      <c r="DSR46" s="137"/>
      <c r="DSS46" s="137"/>
      <c r="DST46" s="137"/>
      <c r="DSU46" s="137"/>
      <c r="DSV46" s="137"/>
      <c r="DSW46" s="137"/>
      <c r="DSX46" s="137"/>
      <c r="DSY46" s="137"/>
      <c r="DSZ46" s="137"/>
      <c r="DTA46" s="137"/>
      <c r="DTB46" s="137"/>
      <c r="DTC46" s="137"/>
      <c r="DTD46" s="137"/>
      <c r="DTE46" s="137"/>
      <c r="DTF46" s="137"/>
      <c r="DTG46" s="137"/>
      <c r="DTH46" s="137"/>
      <c r="DTI46" s="137"/>
      <c r="DTJ46" s="137"/>
      <c r="DTK46" s="137"/>
      <c r="DTL46" s="137"/>
      <c r="DTM46" s="137"/>
      <c r="DTN46" s="137"/>
      <c r="DTO46" s="137"/>
      <c r="DTP46" s="137"/>
      <c r="DTQ46" s="137"/>
      <c r="DTR46" s="137"/>
      <c r="DTS46" s="137"/>
      <c r="DTT46" s="137"/>
      <c r="DTU46" s="137"/>
      <c r="DTV46" s="137"/>
      <c r="DTW46" s="137"/>
      <c r="DTX46" s="137"/>
      <c r="DTY46" s="137"/>
      <c r="DTZ46" s="137"/>
      <c r="DUA46" s="137"/>
      <c r="DUB46" s="137"/>
      <c r="DUC46" s="137"/>
      <c r="DUD46" s="137"/>
      <c r="DUE46" s="137"/>
      <c r="DUF46" s="137"/>
      <c r="DUG46" s="137"/>
      <c r="DUH46" s="137"/>
      <c r="DUI46" s="137"/>
      <c r="DUJ46" s="137"/>
      <c r="DUK46" s="137"/>
      <c r="DUL46" s="137"/>
      <c r="DUM46" s="137"/>
      <c r="DUN46" s="137"/>
      <c r="DUO46" s="137"/>
      <c r="DUP46" s="137"/>
      <c r="DUQ46" s="137"/>
      <c r="DUR46" s="137"/>
      <c r="DUS46" s="137"/>
      <c r="DUT46" s="137"/>
      <c r="DUU46" s="137"/>
      <c r="DUV46" s="137"/>
      <c r="DUW46" s="137"/>
      <c r="DUX46" s="137"/>
      <c r="DUY46" s="137"/>
      <c r="DUZ46" s="137"/>
      <c r="DVA46" s="137"/>
      <c r="DVB46" s="137"/>
      <c r="DVC46" s="137"/>
      <c r="DVD46" s="137"/>
      <c r="DVE46" s="137"/>
      <c r="DVF46" s="137"/>
      <c r="DVG46" s="137"/>
      <c r="DVH46" s="137"/>
      <c r="DVI46" s="137"/>
      <c r="DVJ46" s="137"/>
      <c r="DVK46" s="137"/>
      <c r="DVL46" s="137"/>
      <c r="DVM46" s="137"/>
      <c r="DVN46" s="137"/>
      <c r="DVO46" s="137"/>
      <c r="DVP46" s="137"/>
      <c r="DVQ46" s="137"/>
      <c r="DVR46" s="137"/>
      <c r="DVS46" s="137"/>
      <c r="DVT46" s="137"/>
      <c r="DVU46" s="137"/>
      <c r="DVV46" s="137"/>
      <c r="DVW46" s="137"/>
      <c r="DVX46" s="137"/>
      <c r="DVY46" s="137"/>
      <c r="DVZ46" s="137"/>
      <c r="DWA46" s="137"/>
      <c r="DWB46" s="137"/>
      <c r="DWC46" s="137"/>
      <c r="DWD46" s="137"/>
      <c r="DWE46" s="137"/>
      <c r="DWF46" s="137"/>
      <c r="DWG46" s="137"/>
      <c r="DWH46" s="137"/>
      <c r="DWI46" s="137"/>
      <c r="DWJ46" s="137"/>
      <c r="DWK46" s="137"/>
      <c r="DWL46" s="137"/>
      <c r="DWM46" s="137"/>
      <c r="DWN46" s="137"/>
      <c r="DWO46" s="137"/>
      <c r="DWP46" s="137"/>
      <c r="DWQ46" s="137"/>
      <c r="DWR46" s="137"/>
      <c r="DWS46" s="137"/>
      <c r="DWT46" s="137"/>
      <c r="DWU46" s="137"/>
      <c r="DWV46" s="137"/>
      <c r="DWW46" s="137"/>
      <c r="DWX46" s="137"/>
      <c r="DWY46" s="137"/>
      <c r="DWZ46" s="137"/>
      <c r="DXA46" s="137"/>
      <c r="DXB46" s="137"/>
      <c r="DXC46" s="137"/>
      <c r="DXD46" s="137"/>
      <c r="DXE46" s="137"/>
      <c r="DXF46" s="137"/>
      <c r="DXG46" s="137"/>
      <c r="DXH46" s="137"/>
      <c r="DXI46" s="137"/>
      <c r="DXJ46" s="137"/>
      <c r="DXK46" s="137"/>
      <c r="DXL46" s="137"/>
      <c r="DXM46" s="137"/>
      <c r="DXN46" s="137"/>
      <c r="DXO46" s="137"/>
      <c r="DXP46" s="137"/>
      <c r="DXQ46" s="137"/>
      <c r="DXR46" s="137"/>
      <c r="DXS46" s="137"/>
      <c r="DXT46" s="137"/>
      <c r="DXU46" s="137"/>
      <c r="DXV46" s="137"/>
      <c r="DXW46" s="137"/>
      <c r="DXX46" s="137"/>
      <c r="DXY46" s="137"/>
      <c r="DXZ46" s="137"/>
      <c r="DYA46" s="137"/>
      <c r="DYB46" s="137"/>
      <c r="DYC46" s="137"/>
      <c r="DYD46" s="137"/>
      <c r="DYE46" s="137"/>
      <c r="DYF46" s="137"/>
      <c r="DYG46" s="137"/>
      <c r="DYH46" s="137"/>
      <c r="DYI46" s="137"/>
      <c r="DYJ46" s="137"/>
      <c r="DYK46" s="137"/>
      <c r="DYL46" s="137"/>
      <c r="DYM46" s="137"/>
      <c r="DYN46" s="137"/>
      <c r="DYO46" s="137"/>
      <c r="DYP46" s="137"/>
      <c r="DYQ46" s="137"/>
      <c r="DYR46" s="137"/>
      <c r="DYS46" s="137"/>
      <c r="DYT46" s="137"/>
      <c r="DYU46" s="137"/>
      <c r="DYV46" s="137"/>
      <c r="DYW46" s="137"/>
      <c r="DYX46" s="137"/>
      <c r="DYY46" s="137"/>
      <c r="DYZ46" s="137"/>
      <c r="DZA46" s="137"/>
      <c r="DZB46" s="137"/>
      <c r="DZC46" s="137"/>
      <c r="DZD46" s="137"/>
      <c r="DZE46" s="137"/>
      <c r="DZF46" s="137"/>
      <c r="DZG46" s="137"/>
      <c r="DZH46" s="137"/>
      <c r="DZI46" s="137"/>
      <c r="DZJ46" s="137"/>
      <c r="DZK46" s="137"/>
      <c r="DZL46" s="137"/>
      <c r="DZM46" s="137"/>
      <c r="DZN46" s="137"/>
      <c r="DZO46" s="137"/>
      <c r="DZP46" s="137"/>
      <c r="DZQ46" s="137"/>
      <c r="DZR46" s="137"/>
      <c r="DZS46" s="137"/>
      <c r="DZT46" s="137"/>
      <c r="DZU46" s="137"/>
      <c r="DZV46" s="137"/>
      <c r="DZW46" s="137"/>
      <c r="DZX46" s="137"/>
      <c r="DZY46" s="137"/>
      <c r="DZZ46" s="137"/>
      <c r="EAA46" s="137"/>
      <c r="EAB46" s="137"/>
      <c r="EAC46" s="137"/>
      <c r="EAD46" s="137"/>
      <c r="EAE46" s="137"/>
      <c r="EAF46" s="137"/>
      <c r="EAG46" s="137"/>
      <c r="EAH46" s="137"/>
      <c r="EAI46" s="137"/>
      <c r="EAJ46" s="137"/>
      <c r="EAK46" s="137"/>
      <c r="EAL46" s="137"/>
      <c r="EAM46" s="137"/>
      <c r="EAN46" s="137"/>
      <c r="EAO46" s="137"/>
      <c r="EAP46" s="137"/>
      <c r="EAQ46" s="137"/>
      <c r="EAR46" s="137"/>
      <c r="EAS46" s="137"/>
      <c r="EAT46" s="137"/>
      <c r="EAU46" s="137"/>
      <c r="EAV46" s="137"/>
      <c r="EAW46" s="137"/>
      <c r="EAX46" s="137"/>
      <c r="EAY46" s="137"/>
      <c r="EAZ46" s="137"/>
      <c r="EBA46" s="137"/>
      <c r="EBB46" s="137"/>
      <c r="EBC46" s="137"/>
      <c r="EBD46" s="137"/>
      <c r="EBE46" s="137"/>
      <c r="EBF46" s="137"/>
      <c r="EBG46" s="137"/>
      <c r="EBH46" s="137"/>
      <c r="EBI46" s="137"/>
      <c r="EBJ46" s="137"/>
      <c r="EBK46" s="137"/>
      <c r="EBL46" s="137"/>
      <c r="EBM46" s="137"/>
      <c r="EBN46" s="137"/>
      <c r="EBO46" s="137"/>
      <c r="EBP46" s="137"/>
      <c r="EBQ46" s="137"/>
      <c r="EBR46" s="137"/>
      <c r="EBS46" s="137"/>
      <c r="EBT46" s="137"/>
      <c r="EBU46" s="137"/>
      <c r="EBV46" s="137"/>
      <c r="EBW46" s="137"/>
      <c r="EBX46" s="137"/>
      <c r="EBY46" s="137"/>
      <c r="EBZ46" s="137"/>
      <c r="ECA46" s="137"/>
      <c r="ECB46" s="137"/>
      <c r="ECC46" s="137"/>
      <c r="ECD46" s="137"/>
      <c r="ECE46" s="137"/>
      <c r="ECF46" s="137"/>
      <c r="ECG46" s="137"/>
      <c r="ECH46" s="137"/>
      <c r="ECI46" s="137"/>
      <c r="ECJ46" s="137"/>
      <c r="ECK46" s="137"/>
      <c r="ECL46" s="137"/>
      <c r="ECM46" s="137"/>
      <c r="ECN46" s="137"/>
      <c r="ECO46" s="137"/>
      <c r="ECP46" s="137"/>
      <c r="ECQ46" s="137"/>
      <c r="ECR46" s="137"/>
      <c r="ECS46" s="137"/>
      <c r="ECT46" s="137"/>
      <c r="ECU46" s="137"/>
      <c r="ECV46" s="137"/>
      <c r="ECW46" s="137"/>
      <c r="ECX46" s="137"/>
      <c r="ECY46" s="137"/>
      <c r="ECZ46" s="137"/>
      <c r="EDA46" s="137"/>
      <c r="EDB46" s="137"/>
      <c r="EDC46" s="137"/>
      <c r="EDD46" s="137"/>
      <c r="EDE46" s="137"/>
      <c r="EDF46" s="137"/>
      <c r="EDG46" s="137"/>
      <c r="EDH46" s="137"/>
      <c r="EDI46" s="137"/>
      <c r="EDJ46" s="137"/>
      <c r="EDK46" s="137"/>
      <c r="EDL46" s="137"/>
      <c r="EDM46" s="137"/>
      <c r="EDN46" s="137"/>
      <c r="EDO46" s="137"/>
      <c r="EDP46" s="137"/>
      <c r="EDQ46" s="137"/>
      <c r="EDR46" s="137"/>
      <c r="EDS46" s="137"/>
      <c r="EDT46" s="137"/>
      <c r="EDU46" s="137"/>
      <c r="EDV46" s="137"/>
      <c r="EDW46" s="137"/>
      <c r="EDX46" s="137"/>
      <c r="EDY46" s="137"/>
      <c r="EDZ46" s="137"/>
      <c r="EEA46" s="137"/>
      <c r="EEB46" s="137"/>
      <c r="EEC46" s="137"/>
      <c r="EED46" s="137"/>
      <c r="EEE46" s="137"/>
      <c r="EEF46" s="137"/>
      <c r="EEG46" s="137"/>
      <c r="EEH46" s="137"/>
      <c r="EEI46" s="137"/>
      <c r="EEJ46" s="137"/>
      <c r="EEK46" s="137"/>
      <c r="EEL46" s="137"/>
      <c r="EEM46" s="137"/>
      <c r="EEN46" s="137"/>
      <c r="EEO46" s="137"/>
      <c r="EEP46" s="137"/>
      <c r="EEQ46" s="137"/>
      <c r="EER46" s="137"/>
      <c r="EES46" s="137"/>
      <c r="EET46" s="137"/>
      <c r="EEU46" s="137"/>
      <c r="EEV46" s="137"/>
      <c r="EEW46" s="137"/>
      <c r="EEX46" s="137"/>
      <c r="EEY46" s="137"/>
      <c r="EEZ46" s="137"/>
      <c r="EFA46" s="137"/>
      <c r="EFB46" s="137"/>
      <c r="EFC46" s="137"/>
      <c r="EFD46" s="137"/>
      <c r="EFE46" s="137"/>
      <c r="EFF46" s="137"/>
      <c r="EFG46" s="137"/>
      <c r="EFH46" s="137"/>
      <c r="EFI46" s="137"/>
      <c r="EFJ46" s="137"/>
      <c r="EFK46" s="137"/>
      <c r="EFL46" s="137"/>
      <c r="EFM46" s="137"/>
      <c r="EFN46" s="137"/>
      <c r="EFO46" s="137"/>
      <c r="EFP46" s="137"/>
      <c r="EFQ46" s="137"/>
      <c r="EFR46" s="137"/>
      <c r="EFS46" s="137"/>
      <c r="EFT46" s="137"/>
      <c r="EFU46" s="137"/>
      <c r="EFV46" s="137"/>
      <c r="EFW46" s="137"/>
      <c r="EFX46" s="137"/>
      <c r="EFY46" s="137"/>
      <c r="EFZ46" s="137"/>
      <c r="EGA46" s="137"/>
      <c r="EGB46" s="137"/>
      <c r="EGC46" s="137"/>
      <c r="EGD46" s="137"/>
      <c r="EGE46" s="137"/>
      <c r="EGF46" s="137"/>
      <c r="EGG46" s="137"/>
      <c r="EGH46" s="137"/>
      <c r="EGI46" s="137"/>
      <c r="EGJ46" s="137"/>
      <c r="EGK46" s="137"/>
      <c r="EGL46" s="137"/>
      <c r="EGM46" s="137"/>
      <c r="EGN46" s="137"/>
      <c r="EGO46" s="137"/>
      <c r="EGP46" s="137"/>
      <c r="EGQ46" s="137"/>
      <c r="EGR46" s="137"/>
      <c r="EGS46" s="137"/>
      <c r="EGT46" s="137"/>
      <c r="EGU46" s="137"/>
      <c r="EGV46" s="137"/>
      <c r="EGW46" s="137"/>
      <c r="EGX46" s="137"/>
      <c r="EGY46" s="137"/>
      <c r="EGZ46" s="137"/>
      <c r="EHA46" s="137"/>
      <c r="EHB46" s="137"/>
      <c r="EHC46" s="137"/>
      <c r="EHD46" s="137"/>
      <c r="EHE46" s="137"/>
      <c r="EHF46" s="137"/>
      <c r="EHG46" s="137"/>
      <c r="EHH46" s="137"/>
      <c r="EHI46" s="137"/>
      <c r="EHJ46" s="137"/>
      <c r="EHK46" s="137"/>
      <c r="EHL46" s="137"/>
      <c r="EHM46" s="137"/>
      <c r="EHN46" s="137"/>
      <c r="EHO46" s="137"/>
      <c r="EHP46" s="137"/>
      <c r="EHQ46" s="137"/>
      <c r="EHR46" s="137"/>
      <c r="EHS46" s="137"/>
      <c r="EHT46" s="137"/>
      <c r="EHU46" s="137"/>
      <c r="EHV46" s="137"/>
      <c r="EHW46" s="137"/>
      <c r="EHX46" s="137"/>
      <c r="EHY46" s="137"/>
      <c r="EHZ46" s="137"/>
      <c r="EIA46" s="137"/>
      <c r="EIB46" s="137"/>
      <c r="EIC46" s="137"/>
      <c r="EID46" s="137"/>
      <c r="EIE46" s="137"/>
      <c r="EIF46" s="137"/>
      <c r="EIG46" s="137"/>
      <c r="EIH46" s="137"/>
      <c r="EII46" s="137"/>
      <c r="EIJ46" s="137"/>
      <c r="EIK46" s="137"/>
      <c r="EIL46" s="137"/>
      <c r="EIM46" s="137"/>
      <c r="EIN46" s="137"/>
      <c r="EIO46" s="137"/>
      <c r="EIP46" s="137"/>
      <c r="EIQ46" s="137"/>
      <c r="EIR46" s="137"/>
      <c r="EIS46" s="137"/>
      <c r="EIT46" s="137"/>
      <c r="EIU46" s="137"/>
      <c r="EIV46" s="137"/>
      <c r="EIW46" s="137"/>
      <c r="EIX46" s="137"/>
      <c r="EIY46" s="137"/>
      <c r="EIZ46" s="137"/>
      <c r="EJA46" s="137"/>
      <c r="EJB46" s="137"/>
      <c r="EJC46" s="137"/>
      <c r="EJD46" s="137"/>
      <c r="EJE46" s="137"/>
      <c r="EJF46" s="137"/>
      <c r="EJG46" s="137"/>
      <c r="EJH46" s="137"/>
      <c r="EJI46" s="137"/>
      <c r="EJJ46" s="137"/>
      <c r="EJK46" s="137"/>
      <c r="EJL46" s="137"/>
      <c r="EJM46" s="137"/>
      <c r="EJN46" s="137"/>
      <c r="EJO46" s="137"/>
      <c r="EJP46" s="137"/>
      <c r="EJQ46" s="137"/>
      <c r="EJR46" s="137"/>
      <c r="EJS46" s="137"/>
      <c r="EJT46" s="137"/>
      <c r="EJU46" s="137"/>
      <c r="EJV46" s="137"/>
      <c r="EJW46" s="137"/>
      <c r="EJX46" s="137"/>
      <c r="EJY46" s="137"/>
      <c r="EJZ46" s="137"/>
      <c r="EKA46" s="137"/>
      <c r="EKB46" s="137"/>
      <c r="EKC46" s="137"/>
      <c r="EKD46" s="137"/>
      <c r="EKE46" s="137"/>
      <c r="EKF46" s="137"/>
      <c r="EKG46" s="137"/>
      <c r="EKH46" s="137"/>
      <c r="EKI46" s="137"/>
      <c r="EKJ46" s="137"/>
      <c r="EKK46" s="137"/>
      <c r="EKL46" s="137"/>
      <c r="EKM46" s="137"/>
      <c r="EKN46" s="137"/>
      <c r="EKO46" s="137"/>
      <c r="EKP46" s="137"/>
      <c r="EKQ46" s="137"/>
      <c r="EKR46" s="137"/>
      <c r="EKS46" s="137"/>
      <c r="EKT46" s="137"/>
      <c r="EKU46" s="137"/>
      <c r="EKV46" s="137"/>
      <c r="EKW46" s="137"/>
      <c r="EKX46" s="137"/>
      <c r="EKY46" s="137"/>
      <c r="EKZ46" s="137"/>
      <c r="ELA46" s="137"/>
      <c r="ELB46" s="137"/>
      <c r="ELC46" s="137"/>
      <c r="ELD46" s="137"/>
      <c r="ELE46" s="137"/>
      <c r="ELF46" s="137"/>
      <c r="ELG46" s="137"/>
      <c r="ELH46" s="137"/>
      <c r="ELI46" s="137"/>
      <c r="ELJ46" s="137"/>
      <c r="ELK46" s="137"/>
      <c r="ELL46" s="137"/>
      <c r="ELM46" s="137"/>
      <c r="ELN46" s="137"/>
      <c r="ELO46" s="137"/>
      <c r="ELP46" s="137"/>
      <c r="ELQ46" s="137"/>
      <c r="ELR46" s="137"/>
      <c r="ELS46" s="137"/>
      <c r="ELT46" s="137"/>
      <c r="ELU46" s="137"/>
      <c r="ELV46" s="137"/>
      <c r="ELW46" s="137"/>
      <c r="ELX46" s="137"/>
      <c r="ELY46" s="137"/>
      <c r="ELZ46" s="137"/>
      <c r="EMA46" s="137"/>
      <c r="EMB46" s="137"/>
      <c r="EMC46" s="137"/>
      <c r="EMD46" s="137"/>
      <c r="EME46" s="137"/>
      <c r="EMF46" s="137"/>
      <c r="EMG46" s="137"/>
      <c r="EMH46" s="137"/>
      <c r="EMI46" s="137"/>
      <c r="EMJ46" s="137"/>
      <c r="EMK46" s="137"/>
      <c r="EML46" s="137"/>
      <c r="EMM46" s="137"/>
      <c r="EMN46" s="137"/>
      <c r="EMO46" s="137"/>
      <c r="EMP46" s="137"/>
      <c r="EMQ46" s="137"/>
      <c r="EMR46" s="137"/>
      <c r="EMS46" s="137"/>
      <c r="EMT46" s="137"/>
      <c r="EMU46" s="137"/>
      <c r="EMV46" s="137"/>
      <c r="EMW46" s="137"/>
      <c r="EMX46" s="137"/>
      <c r="EMY46" s="137"/>
      <c r="EMZ46" s="137"/>
      <c r="ENA46" s="137"/>
      <c r="ENB46" s="137"/>
      <c r="ENC46" s="137"/>
      <c r="END46" s="137"/>
      <c r="ENE46" s="137"/>
      <c r="ENF46" s="137"/>
      <c r="ENG46" s="137"/>
      <c r="ENH46" s="137"/>
      <c r="ENI46" s="137"/>
      <c r="ENJ46" s="137"/>
      <c r="ENK46" s="137"/>
      <c r="ENL46" s="137"/>
      <c r="ENM46" s="137"/>
      <c r="ENN46" s="137"/>
      <c r="ENO46" s="137"/>
      <c r="ENP46" s="137"/>
      <c r="ENQ46" s="137"/>
      <c r="ENR46" s="137"/>
      <c r="ENS46" s="137"/>
      <c r="ENT46" s="137"/>
      <c r="ENU46" s="137"/>
      <c r="ENV46" s="137"/>
      <c r="ENW46" s="137"/>
      <c r="ENX46" s="137"/>
      <c r="ENY46" s="137"/>
      <c r="ENZ46" s="137"/>
      <c r="EOA46" s="137"/>
      <c r="EOB46" s="137"/>
      <c r="EOC46" s="137"/>
      <c r="EOD46" s="137"/>
      <c r="EOE46" s="137"/>
      <c r="EOF46" s="137"/>
      <c r="EOG46" s="137"/>
      <c r="EOH46" s="137"/>
      <c r="EOI46" s="137"/>
      <c r="EOJ46" s="137"/>
      <c r="EOK46" s="137"/>
      <c r="EOL46" s="137"/>
      <c r="EOM46" s="137"/>
      <c r="EON46" s="137"/>
      <c r="EOO46" s="137"/>
      <c r="EOP46" s="137"/>
      <c r="EOQ46" s="137"/>
      <c r="EOR46" s="137"/>
      <c r="EOS46" s="137"/>
      <c r="EOT46" s="137"/>
      <c r="EOU46" s="137"/>
      <c r="EOV46" s="137"/>
      <c r="EOW46" s="137"/>
      <c r="EOX46" s="137"/>
      <c r="EOY46" s="137"/>
      <c r="EOZ46" s="137"/>
      <c r="EPA46" s="137"/>
      <c r="EPB46" s="137"/>
      <c r="EPC46" s="137"/>
      <c r="EPD46" s="137"/>
      <c r="EPE46" s="137"/>
      <c r="EPF46" s="137"/>
      <c r="EPG46" s="137"/>
      <c r="EPH46" s="137"/>
      <c r="EPI46" s="137"/>
      <c r="EPJ46" s="137"/>
      <c r="EPK46" s="137"/>
      <c r="EPL46" s="137"/>
      <c r="EPM46" s="137"/>
      <c r="EPN46" s="137"/>
      <c r="EPO46" s="137"/>
      <c r="EPP46" s="137"/>
      <c r="EPQ46" s="137"/>
      <c r="EPR46" s="137"/>
      <c r="EPS46" s="137"/>
      <c r="EPT46" s="137"/>
      <c r="EPU46" s="137"/>
      <c r="EPV46" s="137"/>
      <c r="EPW46" s="137"/>
      <c r="EPX46" s="137"/>
      <c r="EPY46" s="137"/>
      <c r="EPZ46" s="137"/>
      <c r="EQA46" s="137"/>
      <c r="EQB46" s="137"/>
      <c r="EQC46" s="137"/>
      <c r="EQD46" s="137"/>
      <c r="EQE46" s="137"/>
      <c r="EQF46" s="137"/>
      <c r="EQG46" s="137"/>
      <c r="EQH46" s="137"/>
      <c r="EQI46" s="137"/>
      <c r="EQJ46" s="137"/>
      <c r="EQK46" s="137"/>
      <c r="EQL46" s="137"/>
      <c r="EQM46" s="137"/>
      <c r="EQN46" s="137"/>
      <c r="EQO46" s="137"/>
      <c r="EQP46" s="137"/>
      <c r="EQQ46" s="137"/>
      <c r="EQR46" s="137"/>
      <c r="EQS46" s="137"/>
      <c r="EQT46" s="137"/>
      <c r="EQU46" s="137"/>
      <c r="EQV46" s="137"/>
      <c r="EQW46" s="137"/>
      <c r="EQX46" s="137"/>
      <c r="EQY46" s="137"/>
      <c r="EQZ46" s="137"/>
      <c r="ERA46" s="137"/>
      <c r="ERB46" s="137"/>
      <c r="ERC46" s="137"/>
      <c r="ERD46" s="137"/>
      <c r="ERE46" s="137"/>
      <c r="ERF46" s="137"/>
      <c r="ERG46" s="137"/>
      <c r="ERH46" s="137"/>
      <c r="ERI46" s="137"/>
      <c r="ERJ46" s="137"/>
      <c r="ERK46" s="137"/>
      <c r="ERL46" s="137"/>
      <c r="ERM46" s="137"/>
      <c r="ERN46" s="137"/>
      <c r="ERO46" s="137"/>
      <c r="ERP46" s="137"/>
      <c r="ERQ46" s="137"/>
      <c r="ERR46" s="137"/>
      <c r="ERS46" s="137"/>
      <c r="ERT46" s="137"/>
      <c r="ERU46" s="137"/>
      <c r="ERV46" s="137"/>
      <c r="ERW46" s="137"/>
      <c r="ERX46" s="137"/>
      <c r="ERY46" s="137"/>
      <c r="ERZ46" s="137"/>
      <c r="ESA46" s="137"/>
      <c r="ESB46" s="137"/>
      <c r="ESC46" s="137"/>
      <c r="ESD46" s="137"/>
      <c r="ESE46" s="137"/>
      <c r="ESF46" s="137"/>
      <c r="ESG46" s="137"/>
      <c r="ESH46" s="137"/>
      <c r="ESI46" s="137"/>
      <c r="ESJ46" s="137"/>
      <c r="ESK46" s="137"/>
      <c r="ESL46" s="137"/>
      <c r="ESM46" s="137"/>
      <c r="ESN46" s="137"/>
      <c r="ESO46" s="137"/>
      <c r="ESP46" s="137"/>
      <c r="ESQ46" s="137"/>
      <c r="ESR46" s="137"/>
      <c r="ESS46" s="137"/>
      <c r="EST46" s="137"/>
      <c r="ESU46" s="137"/>
      <c r="ESV46" s="137"/>
      <c r="ESW46" s="137"/>
      <c r="ESX46" s="137"/>
      <c r="ESY46" s="137"/>
      <c r="ESZ46" s="137"/>
      <c r="ETA46" s="137"/>
      <c r="ETB46" s="137"/>
      <c r="ETC46" s="137"/>
      <c r="ETD46" s="137"/>
      <c r="ETE46" s="137"/>
      <c r="ETF46" s="137"/>
      <c r="ETG46" s="137"/>
      <c r="ETH46" s="137"/>
      <c r="ETI46" s="137"/>
      <c r="ETJ46" s="137"/>
      <c r="ETK46" s="137"/>
      <c r="ETL46" s="137"/>
      <c r="ETM46" s="137"/>
      <c r="ETN46" s="137"/>
      <c r="ETO46" s="137"/>
      <c r="ETP46" s="137"/>
      <c r="ETQ46" s="137"/>
      <c r="ETR46" s="137"/>
      <c r="ETS46" s="137"/>
      <c r="ETT46" s="137"/>
      <c r="ETU46" s="137"/>
      <c r="ETV46" s="137"/>
      <c r="ETW46" s="137"/>
      <c r="ETX46" s="137"/>
      <c r="ETY46" s="137"/>
      <c r="ETZ46" s="137"/>
      <c r="EUA46" s="137"/>
      <c r="EUB46" s="137"/>
      <c r="EUC46" s="137"/>
      <c r="EUD46" s="137"/>
      <c r="EUE46" s="137"/>
      <c r="EUF46" s="137"/>
      <c r="EUG46" s="137"/>
      <c r="EUH46" s="137"/>
      <c r="EUI46" s="137"/>
      <c r="EUJ46" s="137"/>
      <c r="EUK46" s="137"/>
      <c r="EUL46" s="137"/>
      <c r="EUM46" s="137"/>
      <c r="EUN46" s="137"/>
      <c r="EUO46" s="137"/>
      <c r="EUP46" s="137"/>
      <c r="EUQ46" s="137"/>
      <c r="EUR46" s="137"/>
      <c r="EUS46" s="137"/>
      <c r="EUT46" s="137"/>
      <c r="EUU46" s="137"/>
      <c r="EUV46" s="137"/>
      <c r="EUW46" s="137"/>
      <c r="EUX46" s="137"/>
      <c r="EUY46" s="137"/>
      <c r="EUZ46" s="137"/>
      <c r="EVA46" s="137"/>
      <c r="EVB46" s="137"/>
      <c r="EVC46" s="137"/>
      <c r="EVD46" s="137"/>
      <c r="EVE46" s="137"/>
      <c r="EVF46" s="137"/>
      <c r="EVG46" s="137"/>
      <c r="EVH46" s="137"/>
      <c r="EVI46" s="137"/>
      <c r="EVJ46" s="137"/>
      <c r="EVK46" s="137"/>
      <c r="EVL46" s="137"/>
      <c r="EVM46" s="137"/>
      <c r="EVN46" s="137"/>
      <c r="EVO46" s="137"/>
      <c r="EVP46" s="137"/>
      <c r="EVQ46" s="137"/>
      <c r="EVR46" s="137"/>
      <c r="EVS46" s="137"/>
      <c r="EVT46" s="137"/>
      <c r="EVU46" s="137"/>
      <c r="EVV46" s="137"/>
      <c r="EVW46" s="137"/>
      <c r="EVX46" s="137"/>
      <c r="EVY46" s="137"/>
      <c r="EVZ46" s="137"/>
      <c r="EWA46" s="137"/>
      <c r="EWB46" s="137"/>
      <c r="EWC46" s="137"/>
      <c r="EWD46" s="137"/>
      <c r="EWE46" s="137"/>
      <c r="EWF46" s="137"/>
      <c r="EWG46" s="137"/>
      <c r="EWH46" s="137"/>
      <c r="EWI46" s="137"/>
      <c r="EWJ46" s="137"/>
      <c r="EWK46" s="137"/>
      <c r="EWL46" s="137"/>
      <c r="EWM46" s="137"/>
      <c r="EWN46" s="137"/>
      <c r="EWO46" s="137"/>
      <c r="EWP46" s="137"/>
      <c r="EWQ46" s="137"/>
      <c r="EWR46" s="137"/>
      <c r="EWS46" s="137"/>
      <c r="EWT46" s="137"/>
      <c r="EWU46" s="137"/>
      <c r="EWV46" s="137"/>
      <c r="EWW46" s="137"/>
      <c r="EWX46" s="137"/>
      <c r="EWY46" s="137"/>
      <c r="EWZ46" s="137"/>
      <c r="EXA46" s="137"/>
      <c r="EXB46" s="137"/>
      <c r="EXC46" s="137"/>
      <c r="EXD46" s="137"/>
      <c r="EXE46" s="137"/>
      <c r="EXF46" s="137"/>
      <c r="EXG46" s="137"/>
      <c r="EXH46" s="137"/>
      <c r="EXI46" s="137"/>
      <c r="EXJ46" s="137"/>
      <c r="EXK46" s="137"/>
      <c r="EXL46" s="137"/>
      <c r="EXM46" s="137"/>
      <c r="EXN46" s="137"/>
      <c r="EXO46" s="137"/>
      <c r="EXP46" s="137"/>
      <c r="EXQ46" s="137"/>
      <c r="EXR46" s="137"/>
      <c r="EXS46" s="137"/>
      <c r="EXT46" s="137"/>
      <c r="EXU46" s="137"/>
      <c r="EXV46" s="137"/>
      <c r="EXW46" s="137"/>
      <c r="EXX46" s="137"/>
      <c r="EXY46" s="137"/>
      <c r="EXZ46" s="137"/>
      <c r="EYA46" s="137"/>
      <c r="EYB46" s="137"/>
      <c r="EYC46" s="137"/>
      <c r="EYD46" s="137"/>
      <c r="EYE46" s="137"/>
      <c r="EYF46" s="137"/>
      <c r="EYG46" s="137"/>
      <c r="EYH46" s="137"/>
      <c r="EYI46" s="137"/>
      <c r="EYJ46" s="137"/>
      <c r="EYK46" s="137"/>
      <c r="EYL46" s="137"/>
      <c r="EYM46" s="137"/>
      <c r="EYN46" s="137"/>
      <c r="EYO46" s="137"/>
      <c r="EYP46" s="137"/>
      <c r="EYQ46" s="137"/>
      <c r="EYR46" s="137"/>
      <c r="EYS46" s="137"/>
      <c r="EYT46" s="137"/>
      <c r="EYU46" s="137"/>
      <c r="EYV46" s="137"/>
      <c r="EYW46" s="137"/>
      <c r="EYX46" s="137"/>
      <c r="EYY46" s="137"/>
      <c r="EYZ46" s="137"/>
      <c r="EZA46" s="137"/>
      <c r="EZB46" s="137"/>
      <c r="EZC46" s="137"/>
      <c r="EZD46" s="137"/>
      <c r="EZE46" s="137"/>
      <c r="EZF46" s="137"/>
      <c r="EZG46" s="137"/>
      <c r="EZH46" s="137"/>
      <c r="EZI46" s="137"/>
      <c r="EZJ46" s="137"/>
      <c r="EZK46" s="137"/>
      <c r="EZL46" s="137"/>
      <c r="EZM46" s="137"/>
      <c r="EZN46" s="137"/>
      <c r="EZO46" s="137"/>
      <c r="EZP46" s="137"/>
      <c r="EZQ46" s="137"/>
      <c r="EZR46" s="137"/>
      <c r="EZS46" s="137"/>
      <c r="EZT46" s="137"/>
      <c r="EZU46" s="137"/>
      <c r="EZV46" s="137"/>
      <c r="EZW46" s="137"/>
      <c r="EZX46" s="137"/>
      <c r="EZY46" s="137"/>
      <c r="EZZ46" s="137"/>
      <c r="FAA46" s="137"/>
      <c r="FAB46" s="137"/>
      <c r="FAC46" s="137"/>
      <c r="FAD46" s="137"/>
      <c r="FAE46" s="137"/>
      <c r="FAF46" s="137"/>
      <c r="FAG46" s="137"/>
      <c r="FAH46" s="137"/>
      <c r="FAI46" s="137"/>
      <c r="FAJ46" s="137"/>
      <c r="FAK46" s="137"/>
      <c r="FAL46" s="137"/>
      <c r="FAM46" s="137"/>
      <c r="FAN46" s="137"/>
      <c r="FAO46" s="137"/>
      <c r="FAP46" s="137"/>
      <c r="FAQ46" s="137"/>
      <c r="FAR46" s="137"/>
      <c r="FAS46" s="137"/>
      <c r="FAT46" s="137"/>
      <c r="FAU46" s="137"/>
      <c r="FAV46" s="137"/>
      <c r="FAW46" s="137"/>
      <c r="FAX46" s="137"/>
      <c r="FAY46" s="137"/>
      <c r="FAZ46" s="137"/>
      <c r="FBA46" s="137"/>
      <c r="FBB46" s="137"/>
      <c r="FBC46" s="137"/>
      <c r="FBD46" s="137"/>
      <c r="FBE46" s="137"/>
      <c r="FBF46" s="137"/>
      <c r="FBG46" s="137"/>
      <c r="FBH46" s="137"/>
      <c r="FBI46" s="137"/>
      <c r="FBJ46" s="137"/>
      <c r="FBK46" s="137"/>
      <c r="FBL46" s="137"/>
      <c r="FBM46" s="137"/>
      <c r="FBN46" s="137"/>
      <c r="FBO46" s="137"/>
      <c r="FBP46" s="137"/>
      <c r="FBQ46" s="137"/>
      <c r="FBR46" s="137"/>
      <c r="FBS46" s="137"/>
      <c r="FBT46" s="137"/>
      <c r="FBU46" s="137"/>
      <c r="FBV46" s="137"/>
      <c r="FBW46" s="137"/>
      <c r="FBX46" s="137"/>
      <c r="FBY46" s="137"/>
      <c r="FBZ46" s="137"/>
      <c r="FCA46" s="137"/>
      <c r="FCB46" s="137"/>
      <c r="FCC46" s="137"/>
      <c r="FCD46" s="137"/>
      <c r="FCE46" s="137"/>
      <c r="FCF46" s="137"/>
      <c r="FCG46" s="137"/>
      <c r="FCH46" s="137"/>
      <c r="FCI46" s="137"/>
      <c r="FCJ46" s="137"/>
      <c r="FCK46" s="137"/>
      <c r="FCL46" s="137"/>
      <c r="FCM46" s="137"/>
      <c r="FCN46" s="137"/>
      <c r="FCO46" s="137"/>
      <c r="FCP46" s="137"/>
      <c r="FCQ46" s="137"/>
      <c r="FCR46" s="137"/>
      <c r="FCS46" s="137"/>
      <c r="FCT46" s="137"/>
      <c r="FCU46" s="137"/>
      <c r="FCV46" s="137"/>
      <c r="FCW46" s="137"/>
      <c r="FCX46" s="137"/>
      <c r="FCY46" s="137"/>
      <c r="FCZ46" s="137"/>
      <c r="FDA46" s="137"/>
      <c r="FDB46" s="137"/>
      <c r="FDC46" s="137"/>
      <c r="FDD46" s="137"/>
      <c r="FDE46" s="137"/>
      <c r="FDF46" s="137"/>
      <c r="FDG46" s="137"/>
      <c r="FDH46" s="137"/>
      <c r="FDI46" s="137"/>
      <c r="FDJ46" s="137"/>
      <c r="FDK46" s="137"/>
      <c r="FDL46" s="137"/>
      <c r="FDM46" s="137"/>
      <c r="FDN46" s="137"/>
      <c r="FDO46" s="137"/>
      <c r="FDP46" s="137"/>
      <c r="FDQ46" s="137"/>
      <c r="FDR46" s="137"/>
      <c r="FDS46" s="137"/>
      <c r="FDT46" s="137"/>
      <c r="FDU46" s="137"/>
      <c r="FDV46" s="137"/>
      <c r="FDW46" s="137"/>
      <c r="FDX46" s="137"/>
      <c r="FDY46" s="137"/>
      <c r="FDZ46" s="137"/>
      <c r="FEA46" s="137"/>
      <c r="FEB46" s="137"/>
      <c r="FEC46" s="137"/>
      <c r="FED46" s="137"/>
      <c r="FEE46" s="137"/>
      <c r="FEF46" s="137"/>
      <c r="FEG46" s="137"/>
      <c r="FEH46" s="137"/>
      <c r="FEI46" s="137"/>
      <c r="FEJ46" s="137"/>
      <c r="FEK46" s="137"/>
      <c r="FEL46" s="137"/>
      <c r="FEM46" s="137"/>
      <c r="FEN46" s="137"/>
      <c r="FEO46" s="137"/>
      <c r="FEP46" s="137"/>
      <c r="FEQ46" s="137"/>
      <c r="FER46" s="137"/>
      <c r="FES46" s="137"/>
      <c r="FET46" s="137"/>
      <c r="FEU46" s="137"/>
      <c r="FEV46" s="137"/>
      <c r="FEW46" s="137"/>
      <c r="FEX46" s="137"/>
      <c r="FEY46" s="137"/>
      <c r="FEZ46" s="137"/>
      <c r="FFA46" s="137"/>
      <c r="FFB46" s="137"/>
      <c r="FFC46" s="137"/>
      <c r="FFD46" s="137"/>
      <c r="FFE46" s="137"/>
      <c r="FFF46" s="137"/>
      <c r="FFG46" s="137"/>
      <c r="FFH46" s="137"/>
      <c r="FFI46" s="137"/>
      <c r="FFJ46" s="137"/>
      <c r="FFK46" s="137"/>
      <c r="FFL46" s="137"/>
      <c r="FFM46" s="137"/>
      <c r="FFN46" s="137"/>
      <c r="FFO46" s="137"/>
      <c r="FFP46" s="137"/>
      <c r="FFQ46" s="137"/>
      <c r="FFR46" s="137"/>
      <c r="FFS46" s="137"/>
      <c r="FFT46" s="137"/>
      <c r="FFU46" s="137"/>
      <c r="FFV46" s="137"/>
      <c r="FFW46" s="137"/>
      <c r="FFX46" s="137"/>
      <c r="FFY46" s="137"/>
      <c r="FFZ46" s="137"/>
      <c r="FGA46" s="137"/>
      <c r="FGB46" s="137"/>
      <c r="FGC46" s="137"/>
      <c r="FGD46" s="137"/>
      <c r="FGE46" s="137"/>
      <c r="FGF46" s="137"/>
      <c r="FGG46" s="137"/>
      <c r="FGH46" s="137"/>
      <c r="FGI46" s="137"/>
      <c r="FGJ46" s="137"/>
      <c r="FGK46" s="137"/>
      <c r="FGL46" s="137"/>
      <c r="FGM46" s="137"/>
      <c r="FGN46" s="137"/>
      <c r="FGO46" s="137"/>
      <c r="FGP46" s="137"/>
      <c r="FGQ46" s="137"/>
      <c r="FGR46" s="137"/>
      <c r="FGS46" s="137"/>
      <c r="FGT46" s="137"/>
      <c r="FGU46" s="137"/>
      <c r="FGV46" s="137"/>
      <c r="FGW46" s="137"/>
      <c r="FGX46" s="137"/>
      <c r="FGY46" s="137"/>
      <c r="FGZ46" s="137"/>
      <c r="FHA46" s="137"/>
      <c r="FHB46" s="137"/>
      <c r="FHC46" s="137"/>
      <c r="FHD46" s="137"/>
      <c r="FHE46" s="137"/>
      <c r="FHF46" s="137"/>
      <c r="FHG46" s="137"/>
      <c r="FHH46" s="137"/>
      <c r="FHI46" s="137"/>
      <c r="FHJ46" s="137"/>
      <c r="FHK46" s="137"/>
      <c r="FHL46" s="137"/>
      <c r="FHM46" s="137"/>
      <c r="FHN46" s="137"/>
      <c r="FHO46" s="137"/>
      <c r="FHP46" s="137"/>
      <c r="FHQ46" s="137"/>
      <c r="FHR46" s="137"/>
      <c r="FHS46" s="137"/>
      <c r="FHT46" s="137"/>
      <c r="FHU46" s="137"/>
      <c r="FHV46" s="137"/>
      <c r="FHW46" s="137"/>
      <c r="FHX46" s="137"/>
      <c r="FHY46" s="137"/>
      <c r="FHZ46" s="137"/>
      <c r="FIA46" s="137"/>
      <c r="FIB46" s="137"/>
      <c r="FIC46" s="137"/>
      <c r="FID46" s="137"/>
      <c r="FIE46" s="137"/>
      <c r="FIF46" s="137"/>
      <c r="FIG46" s="137"/>
      <c r="FIH46" s="137"/>
      <c r="FII46" s="137"/>
      <c r="FIJ46" s="137"/>
      <c r="FIK46" s="137"/>
      <c r="FIL46" s="137"/>
      <c r="FIM46" s="137"/>
      <c r="FIN46" s="137"/>
      <c r="FIO46" s="137"/>
      <c r="FIP46" s="137"/>
      <c r="FIQ46" s="137"/>
      <c r="FIR46" s="137"/>
      <c r="FIS46" s="137"/>
      <c r="FIT46" s="137"/>
      <c r="FIU46" s="137"/>
      <c r="FIV46" s="137"/>
      <c r="FIW46" s="137"/>
      <c r="FIX46" s="137"/>
      <c r="FIY46" s="137"/>
      <c r="FIZ46" s="137"/>
      <c r="FJA46" s="137"/>
      <c r="FJB46" s="137"/>
      <c r="FJC46" s="137"/>
      <c r="FJD46" s="137"/>
      <c r="FJE46" s="137"/>
      <c r="FJF46" s="137"/>
      <c r="FJG46" s="137"/>
      <c r="FJH46" s="137"/>
      <c r="FJI46" s="137"/>
      <c r="FJJ46" s="137"/>
      <c r="FJK46" s="137"/>
      <c r="FJL46" s="137"/>
      <c r="FJM46" s="137"/>
      <c r="FJN46" s="137"/>
      <c r="FJO46" s="137"/>
      <c r="FJP46" s="137"/>
      <c r="FJQ46" s="137"/>
      <c r="FJR46" s="137"/>
      <c r="FJS46" s="137"/>
      <c r="FJT46" s="137"/>
      <c r="FJU46" s="137"/>
      <c r="FJV46" s="137"/>
      <c r="FJW46" s="137"/>
      <c r="FJX46" s="137"/>
      <c r="FJY46" s="137"/>
      <c r="FJZ46" s="137"/>
      <c r="FKA46" s="137"/>
      <c r="FKB46" s="137"/>
      <c r="FKC46" s="137"/>
      <c r="FKD46" s="137"/>
      <c r="FKE46" s="137"/>
      <c r="FKF46" s="137"/>
      <c r="FKG46" s="137"/>
      <c r="FKH46" s="137"/>
      <c r="FKI46" s="137"/>
      <c r="FKJ46" s="137"/>
      <c r="FKK46" s="137"/>
      <c r="FKL46" s="137"/>
      <c r="FKM46" s="137"/>
      <c r="FKN46" s="137"/>
      <c r="FKO46" s="137"/>
      <c r="FKP46" s="137"/>
      <c r="FKQ46" s="137"/>
      <c r="FKR46" s="137"/>
      <c r="FKS46" s="137"/>
      <c r="FKT46" s="137"/>
      <c r="FKU46" s="137"/>
      <c r="FKV46" s="137"/>
      <c r="FKW46" s="137"/>
      <c r="FKX46" s="137"/>
      <c r="FKY46" s="137"/>
      <c r="FKZ46" s="137"/>
      <c r="FLA46" s="137"/>
      <c r="FLB46" s="137"/>
      <c r="FLC46" s="137"/>
      <c r="FLD46" s="137"/>
      <c r="FLE46" s="137"/>
      <c r="FLF46" s="137"/>
      <c r="FLG46" s="137"/>
      <c r="FLH46" s="137"/>
      <c r="FLI46" s="137"/>
      <c r="FLJ46" s="137"/>
      <c r="FLK46" s="137"/>
      <c r="FLL46" s="137"/>
      <c r="FLM46" s="137"/>
      <c r="FLN46" s="137"/>
      <c r="FLO46" s="137"/>
      <c r="FLP46" s="137"/>
      <c r="FLQ46" s="137"/>
      <c r="FLR46" s="137"/>
      <c r="FLS46" s="137"/>
      <c r="FLT46" s="137"/>
      <c r="FLU46" s="137"/>
      <c r="FLV46" s="137"/>
      <c r="FLW46" s="137"/>
      <c r="FLX46" s="137"/>
      <c r="FLY46" s="137"/>
      <c r="FLZ46" s="137"/>
      <c r="FMA46" s="137"/>
      <c r="FMB46" s="137"/>
      <c r="FMC46" s="137"/>
      <c r="FMD46" s="137"/>
      <c r="FME46" s="137"/>
      <c r="FMF46" s="137"/>
      <c r="FMG46" s="137"/>
      <c r="FMH46" s="137"/>
      <c r="FMI46" s="137"/>
      <c r="FMJ46" s="137"/>
      <c r="FMK46" s="137"/>
      <c r="FML46" s="137"/>
      <c r="FMM46" s="137"/>
      <c r="FMN46" s="137"/>
      <c r="FMO46" s="137"/>
      <c r="FMP46" s="137"/>
      <c r="FMQ46" s="137"/>
      <c r="FMR46" s="137"/>
      <c r="FMS46" s="137"/>
      <c r="FMT46" s="137"/>
      <c r="FMU46" s="137"/>
      <c r="FMV46" s="137"/>
      <c r="FMW46" s="137"/>
      <c r="FMX46" s="137"/>
      <c r="FMY46" s="137"/>
      <c r="FMZ46" s="137"/>
      <c r="FNA46" s="137"/>
      <c r="FNB46" s="137"/>
      <c r="FNC46" s="137"/>
      <c r="FND46" s="137"/>
      <c r="FNE46" s="137"/>
      <c r="FNF46" s="137"/>
      <c r="FNG46" s="137"/>
      <c r="FNH46" s="137"/>
      <c r="FNI46" s="137"/>
      <c r="FNJ46" s="137"/>
      <c r="FNK46" s="137"/>
      <c r="FNL46" s="137"/>
      <c r="FNM46" s="137"/>
      <c r="FNN46" s="137"/>
      <c r="FNO46" s="137"/>
      <c r="FNP46" s="137"/>
      <c r="FNQ46" s="137"/>
      <c r="FNR46" s="137"/>
      <c r="FNS46" s="137"/>
      <c r="FNT46" s="137"/>
      <c r="FNU46" s="137"/>
      <c r="FNV46" s="137"/>
      <c r="FNW46" s="137"/>
      <c r="FNX46" s="137"/>
      <c r="FNY46" s="137"/>
      <c r="FNZ46" s="137"/>
      <c r="FOA46" s="137"/>
      <c r="FOB46" s="137"/>
      <c r="FOC46" s="137"/>
      <c r="FOD46" s="137"/>
      <c r="FOE46" s="137"/>
      <c r="FOF46" s="137"/>
      <c r="FOG46" s="137"/>
      <c r="FOH46" s="137"/>
      <c r="FOI46" s="137"/>
      <c r="FOJ46" s="137"/>
      <c r="FOK46" s="137"/>
      <c r="FOL46" s="137"/>
      <c r="FOM46" s="137"/>
      <c r="FON46" s="137"/>
      <c r="FOO46" s="137"/>
      <c r="FOP46" s="137"/>
      <c r="FOQ46" s="137"/>
      <c r="FOR46" s="137"/>
      <c r="FOS46" s="137"/>
      <c r="FOT46" s="137"/>
      <c r="FOU46" s="137"/>
      <c r="FOV46" s="137"/>
      <c r="FOW46" s="137"/>
      <c r="FOX46" s="137"/>
      <c r="FOY46" s="137"/>
      <c r="FOZ46" s="137"/>
      <c r="FPA46" s="137"/>
      <c r="FPB46" s="137"/>
      <c r="FPC46" s="137"/>
      <c r="FPD46" s="137"/>
      <c r="FPE46" s="137"/>
      <c r="FPF46" s="137"/>
      <c r="FPG46" s="137"/>
      <c r="FPH46" s="137"/>
      <c r="FPI46" s="137"/>
      <c r="FPJ46" s="137"/>
      <c r="FPK46" s="137"/>
      <c r="FPL46" s="137"/>
      <c r="FPM46" s="137"/>
      <c r="FPN46" s="137"/>
      <c r="FPO46" s="137"/>
      <c r="FPP46" s="137"/>
      <c r="FPQ46" s="137"/>
      <c r="FPR46" s="137"/>
      <c r="FPS46" s="137"/>
      <c r="FPT46" s="137"/>
      <c r="FPU46" s="137"/>
      <c r="FPV46" s="137"/>
      <c r="FPW46" s="137"/>
      <c r="FPX46" s="137"/>
      <c r="FPY46" s="137"/>
      <c r="FPZ46" s="137"/>
      <c r="FQA46" s="137"/>
      <c r="FQB46" s="137"/>
      <c r="FQC46" s="137"/>
      <c r="FQD46" s="137"/>
      <c r="FQE46" s="137"/>
      <c r="FQF46" s="137"/>
      <c r="FQG46" s="137"/>
      <c r="FQH46" s="137"/>
      <c r="FQI46" s="137"/>
      <c r="FQJ46" s="137"/>
      <c r="FQK46" s="137"/>
      <c r="FQL46" s="137"/>
      <c r="FQM46" s="137"/>
      <c r="FQN46" s="137"/>
      <c r="FQO46" s="137"/>
      <c r="FQP46" s="137"/>
      <c r="FQQ46" s="137"/>
      <c r="FQR46" s="137"/>
      <c r="FQS46" s="137"/>
      <c r="FQT46" s="137"/>
      <c r="FQU46" s="137"/>
      <c r="FQV46" s="137"/>
      <c r="FQW46" s="137"/>
      <c r="FQX46" s="137"/>
      <c r="FQY46" s="137"/>
      <c r="FQZ46" s="137"/>
      <c r="FRA46" s="137"/>
      <c r="FRB46" s="137"/>
      <c r="FRC46" s="137"/>
      <c r="FRD46" s="137"/>
      <c r="FRE46" s="137"/>
      <c r="FRF46" s="137"/>
      <c r="FRG46" s="137"/>
      <c r="FRH46" s="137"/>
      <c r="FRI46" s="137"/>
      <c r="FRJ46" s="137"/>
      <c r="FRK46" s="137"/>
      <c r="FRL46" s="137"/>
      <c r="FRM46" s="137"/>
      <c r="FRN46" s="137"/>
      <c r="FRO46" s="137"/>
      <c r="FRP46" s="137"/>
      <c r="FRQ46" s="137"/>
      <c r="FRR46" s="137"/>
      <c r="FRS46" s="137"/>
      <c r="FRT46" s="137"/>
      <c r="FRU46" s="137"/>
      <c r="FRV46" s="137"/>
      <c r="FRW46" s="137"/>
      <c r="FRX46" s="137"/>
      <c r="FRY46" s="137"/>
      <c r="FRZ46" s="137"/>
      <c r="FSA46" s="137"/>
      <c r="FSB46" s="137"/>
      <c r="FSC46" s="137"/>
      <c r="FSD46" s="137"/>
      <c r="FSE46" s="137"/>
      <c r="FSF46" s="137"/>
      <c r="FSG46" s="137"/>
      <c r="FSH46" s="137"/>
      <c r="FSI46" s="137"/>
      <c r="FSJ46" s="137"/>
      <c r="FSK46" s="137"/>
      <c r="FSL46" s="137"/>
      <c r="FSM46" s="137"/>
      <c r="FSN46" s="137"/>
      <c r="FSO46" s="137"/>
      <c r="FSP46" s="137"/>
      <c r="FSQ46" s="137"/>
      <c r="FSR46" s="137"/>
      <c r="FSS46" s="137"/>
      <c r="FST46" s="137"/>
      <c r="FSU46" s="137"/>
      <c r="FSV46" s="137"/>
      <c r="FSW46" s="137"/>
      <c r="FSX46" s="137"/>
      <c r="FSY46" s="137"/>
      <c r="FSZ46" s="137"/>
      <c r="FTA46" s="137"/>
      <c r="FTB46" s="137"/>
      <c r="FTC46" s="137"/>
      <c r="FTD46" s="137"/>
      <c r="FTE46" s="137"/>
      <c r="FTF46" s="137"/>
      <c r="FTG46" s="137"/>
      <c r="FTH46" s="137"/>
      <c r="FTI46" s="137"/>
      <c r="FTJ46" s="137"/>
      <c r="FTK46" s="137"/>
      <c r="FTL46" s="137"/>
      <c r="FTM46" s="137"/>
      <c r="FTN46" s="137"/>
      <c r="FTO46" s="137"/>
      <c r="FTP46" s="137"/>
      <c r="FTQ46" s="137"/>
      <c r="FTR46" s="137"/>
      <c r="FTS46" s="137"/>
      <c r="FTT46" s="137"/>
      <c r="FTU46" s="137"/>
      <c r="FTV46" s="137"/>
      <c r="FTW46" s="137"/>
      <c r="FTX46" s="137"/>
      <c r="FTY46" s="137"/>
      <c r="FTZ46" s="137"/>
      <c r="FUA46" s="137"/>
      <c r="FUB46" s="137"/>
      <c r="FUC46" s="137"/>
      <c r="FUD46" s="137"/>
      <c r="FUE46" s="137"/>
      <c r="FUF46" s="137"/>
      <c r="FUG46" s="137"/>
      <c r="FUH46" s="137"/>
      <c r="FUI46" s="137"/>
      <c r="FUJ46" s="137"/>
      <c r="FUK46" s="137"/>
      <c r="FUL46" s="137"/>
      <c r="FUM46" s="137"/>
      <c r="FUN46" s="137"/>
      <c r="FUO46" s="137"/>
      <c r="FUP46" s="137"/>
      <c r="FUQ46" s="137"/>
      <c r="FUR46" s="137"/>
      <c r="FUS46" s="137"/>
      <c r="FUT46" s="137"/>
      <c r="FUU46" s="137"/>
      <c r="FUV46" s="137"/>
      <c r="FUW46" s="137"/>
      <c r="FUX46" s="137"/>
      <c r="FUY46" s="137"/>
      <c r="FUZ46" s="137"/>
      <c r="FVA46" s="137"/>
      <c r="FVB46" s="137"/>
      <c r="FVC46" s="137"/>
      <c r="FVD46" s="137"/>
      <c r="FVE46" s="137"/>
      <c r="FVF46" s="137"/>
      <c r="FVG46" s="137"/>
      <c r="FVH46" s="137"/>
      <c r="FVI46" s="137"/>
      <c r="FVJ46" s="137"/>
      <c r="FVK46" s="137"/>
      <c r="FVL46" s="137"/>
      <c r="FVM46" s="137"/>
      <c r="FVN46" s="137"/>
      <c r="FVO46" s="137"/>
      <c r="FVP46" s="137"/>
      <c r="FVQ46" s="137"/>
      <c r="FVR46" s="137"/>
      <c r="FVS46" s="137"/>
      <c r="FVT46" s="137"/>
      <c r="FVU46" s="137"/>
      <c r="FVV46" s="137"/>
      <c r="FVW46" s="137"/>
      <c r="FVX46" s="137"/>
      <c r="FVY46" s="137"/>
      <c r="FVZ46" s="137"/>
      <c r="FWA46" s="137"/>
      <c r="FWB46" s="137"/>
      <c r="FWC46" s="137"/>
      <c r="FWD46" s="137"/>
      <c r="FWE46" s="137"/>
      <c r="FWF46" s="137"/>
      <c r="FWG46" s="137"/>
      <c r="FWH46" s="137"/>
      <c r="FWI46" s="137"/>
      <c r="FWJ46" s="137"/>
      <c r="FWK46" s="137"/>
      <c r="FWL46" s="137"/>
      <c r="FWM46" s="137"/>
      <c r="FWN46" s="137"/>
      <c r="FWO46" s="137"/>
      <c r="FWP46" s="137"/>
      <c r="FWQ46" s="137"/>
      <c r="FWR46" s="137"/>
      <c r="FWS46" s="137"/>
      <c r="FWT46" s="137"/>
      <c r="FWU46" s="137"/>
      <c r="FWV46" s="137"/>
      <c r="FWW46" s="137"/>
      <c r="FWX46" s="137"/>
      <c r="FWY46" s="137"/>
      <c r="FWZ46" s="137"/>
      <c r="FXA46" s="137"/>
      <c r="FXB46" s="137"/>
      <c r="FXC46" s="137"/>
      <c r="FXD46" s="137"/>
      <c r="FXE46" s="137"/>
      <c r="FXF46" s="137"/>
      <c r="FXG46" s="137"/>
      <c r="FXH46" s="137"/>
      <c r="FXI46" s="137"/>
      <c r="FXJ46" s="137"/>
      <c r="FXK46" s="137"/>
      <c r="FXL46" s="137"/>
      <c r="FXM46" s="137"/>
      <c r="FXN46" s="137"/>
      <c r="FXO46" s="137"/>
      <c r="FXP46" s="137"/>
      <c r="FXQ46" s="137"/>
      <c r="FXR46" s="137"/>
      <c r="FXS46" s="137"/>
      <c r="FXT46" s="137"/>
      <c r="FXU46" s="137"/>
      <c r="FXV46" s="137"/>
      <c r="FXW46" s="137"/>
      <c r="FXX46" s="137"/>
      <c r="FXY46" s="137"/>
      <c r="FXZ46" s="137"/>
      <c r="FYA46" s="137"/>
      <c r="FYB46" s="137"/>
      <c r="FYC46" s="137"/>
      <c r="FYD46" s="137"/>
      <c r="FYE46" s="137"/>
      <c r="FYF46" s="137"/>
      <c r="FYG46" s="137"/>
      <c r="FYH46" s="137"/>
      <c r="FYI46" s="137"/>
      <c r="FYJ46" s="137"/>
      <c r="FYK46" s="137"/>
      <c r="FYL46" s="137"/>
      <c r="FYM46" s="137"/>
      <c r="FYN46" s="137"/>
      <c r="FYO46" s="137"/>
      <c r="FYP46" s="137"/>
      <c r="FYQ46" s="137"/>
      <c r="FYR46" s="137"/>
      <c r="FYS46" s="137"/>
      <c r="FYT46" s="137"/>
      <c r="FYU46" s="137"/>
      <c r="FYV46" s="137"/>
      <c r="FYW46" s="137"/>
      <c r="FYX46" s="137"/>
      <c r="FYY46" s="137"/>
      <c r="FYZ46" s="137"/>
      <c r="FZA46" s="137"/>
      <c r="FZB46" s="137"/>
      <c r="FZC46" s="137"/>
      <c r="FZD46" s="137"/>
      <c r="FZE46" s="137"/>
      <c r="FZF46" s="137"/>
      <c r="FZG46" s="137"/>
      <c r="FZH46" s="137"/>
      <c r="FZI46" s="137"/>
      <c r="FZJ46" s="137"/>
      <c r="FZK46" s="137"/>
      <c r="FZL46" s="137"/>
      <c r="FZM46" s="137"/>
      <c r="FZN46" s="137"/>
      <c r="FZO46" s="137"/>
      <c r="FZP46" s="137"/>
      <c r="FZQ46" s="137"/>
      <c r="FZR46" s="137"/>
      <c r="FZS46" s="137"/>
      <c r="FZT46" s="137"/>
      <c r="FZU46" s="137"/>
      <c r="FZV46" s="137"/>
      <c r="FZW46" s="137"/>
      <c r="FZX46" s="137"/>
      <c r="FZY46" s="137"/>
      <c r="FZZ46" s="137"/>
      <c r="GAA46" s="137"/>
      <c r="GAB46" s="137"/>
      <c r="GAC46" s="137"/>
      <c r="GAD46" s="137"/>
      <c r="GAE46" s="137"/>
      <c r="GAF46" s="137"/>
      <c r="GAG46" s="137"/>
      <c r="GAH46" s="137"/>
      <c r="GAI46" s="137"/>
      <c r="GAJ46" s="137"/>
      <c r="GAK46" s="137"/>
      <c r="GAL46" s="137"/>
      <c r="GAM46" s="137"/>
      <c r="GAN46" s="137"/>
      <c r="GAO46" s="137"/>
      <c r="GAP46" s="137"/>
      <c r="GAQ46" s="137"/>
      <c r="GAR46" s="137"/>
      <c r="GAS46" s="137"/>
      <c r="GAT46" s="137"/>
      <c r="GAU46" s="137"/>
      <c r="GAV46" s="137"/>
      <c r="GAW46" s="137"/>
      <c r="GAX46" s="137"/>
      <c r="GAY46" s="137"/>
      <c r="GAZ46" s="137"/>
      <c r="GBA46" s="137"/>
      <c r="GBB46" s="137"/>
      <c r="GBC46" s="137"/>
      <c r="GBD46" s="137"/>
      <c r="GBE46" s="137"/>
      <c r="GBF46" s="137"/>
      <c r="GBG46" s="137"/>
      <c r="GBH46" s="137"/>
      <c r="GBI46" s="137"/>
      <c r="GBJ46" s="137"/>
      <c r="GBK46" s="137"/>
      <c r="GBL46" s="137"/>
      <c r="GBM46" s="137"/>
      <c r="GBN46" s="137"/>
      <c r="GBO46" s="137"/>
      <c r="GBP46" s="137"/>
      <c r="GBQ46" s="137"/>
      <c r="GBR46" s="137"/>
      <c r="GBS46" s="137"/>
      <c r="GBT46" s="137"/>
      <c r="GBU46" s="137"/>
      <c r="GBV46" s="137"/>
      <c r="GBW46" s="137"/>
      <c r="GBX46" s="137"/>
      <c r="GBY46" s="137"/>
      <c r="GBZ46" s="137"/>
      <c r="GCA46" s="137"/>
      <c r="GCB46" s="137"/>
      <c r="GCC46" s="137"/>
      <c r="GCD46" s="137"/>
      <c r="GCE46" s="137"/>
      <c r="GCF46" s="137"/>
      <c r="GCG46" s="137"/>
      <c r="GCH46" s="137"/>
      <c r="GCI46" s="137"/>
      <c r="GCJ46" s="137"/>
      <c r="GCK46" s="137"/>
      <c r="GCL46" s="137"/>
      <c r="GCM46" s="137"/>
      <c r="GCN46" s="137"/>
      <c r="GCO46" s="137"/>
      <c r="GCP46" s="137"/>
      <c r="GCQ46" s="137"/>
      <c r="GCR46" s="137"/>
      <c r="GCS46" s="137"/>
      <c r="GCT46" s="137"/>
      <c r="GCU46" s="137"/>
      <c r="GCV46" s="137"/>
      <c r="GCW46" s="137"/>
      <c r="GCX46" s="137"/>
      <c r="GCY46" s="137"/>
      <c r="GCZ46" s="137"/>
      <c r="GDA46" s="137"/>
      <c r="GDB46" s="137"/>
      <c r="GDC46" s="137"/>
      <c r="GDD46" s="137"/>
      <c r="GDE46" s="137"/>
      <c r="GDF46" s="137"/>
      <c r="GDG46" s="137"/>
      <c r="GDH46" s="137"/>
      <c r="GDI46" s="137"/>
      <c r="GDJ46" s="137"/>
      <c r="GDK46" s="137"/>
      <c r="GDL46" s="137"/>
      <c r="GDM46" s="137"/>
      <c r="GDN46" s="137"/>
      <c r="GDO46" s="137"/>
      <c r="GDP46" s="137"/>
      <c r="GDQ46" s="137"/>
      <c r="GDR46" s="137"/>
      <c r="GDS46" s="137"/>
      <c r="GDT46" s="137"/>
      <c r="GDU46" s="137"/>
      <c r="GDV46" s="137"/>
      <c r="GDW46" s="137"/>
      <c r="GDX46" s="137"/>
      <c r="GDY46" s="137"/>
      <c r="GDZ46" s="137"/>
      <c r="GEA46" s="137"/>
      <c r="GEB46" s="137"/>
      <c r="GEC46" s="137"/>
      <c r="GED46" s="137"/>
      <c r="GEE46" s="137"/>
      <c r="GEF46" s="137"/>
      <c r="GEG46" s="137"/>
      <c r="GEH46" s="137"/>
      <c r="GEI46" s="137"/>
      <c r="GEJ46" s="137"/>
      <c r="GEK46" s="137"/>
      <c r="GEL46" s="137"/>
      <c r="GEM46" s="137"/>
      <c r="GEN46" s="137"/>
      <c r="GEO46" s="137"/>
      <c r="GEP46" s="137"/>
      <c r="GEQ46" s="137"/>
      <c r="GER46" s="137"/>
      <c r="GES46" s="137"/>
      <c r="GET46" s="137"/>
      <c r="GEU46" s="137"/>
      <c r="GEV46" s="137"/>
      <c r="GEW46" s="137"/>
      <c r="GEX46" s="137"/>
      <c r="GEY46" s="137"/>
      <c r="GEZ46" s="137"/>
      <c r="GFA46" s="137"/>
      <c r="GFB46" s="137"/>
      <c r="GFC46" s="137"/>
      <c r="GFD46" s="137"/>
      <c r="GFE46" s="137"/>
      <c r="GFF46" s="137"/>
      <c r="GFG46" s="137"/>
      <c r="GFH46" s="137"/>
      <c r="GFI46" s="137"/>
      <c r="GFJ46" s="137"/>
      <c r="GFK46" s="137"/>
      <c r="GFL46" s="137"/>
      <c r="GFM46" s="137"/>
      <c r="GFN46" s="137"/>
      <c r="GFO46" s="137"/>
      <c r="GFP46" s="137"/>
      <c r="GFQ46" s="137"/>
      <c r="GFR46" s="137"/>
      <c r="GFS46" s="137"/>
      <c r="GFT46" s="137"/>
      <c r="GFU46" s="137"/>
      <c r="GFV46" s="137"/>
      <c r="GFW46" s="137"/>
      <c r="GFX46" s="137"/>
      <c r="GFY46" s="137"/>
      <c r="GFZ46" s="137"/>
      <c r="GGA46" s="137"/>
      <c r="GGB46" s="137"/>
      <c r="GGC46" s="137"/>
      <c r="GGD46" s="137"/>
      <c r="GGE46" s="137"/>
      <c r="GGF46" s="137"/>
      <c r="GGG46" s="137"/>
      <c r="GGH46" s="137"/>
      <c r="GGI46" s="137"/>
      <c r="GGJ46" s="137"/>
      <c r="GGK46" s="137"/>
      <c r="GGL46" s="137"/>
      <c r="GGM46" s="137"/>
      <c r="GGN46" s="137"/>
      <c r="GGO46" s="137"/>
      <c r="GGP46" s="137"/>
      <c r="GGQ46" s="137"/>
      <c r="GGR46" s="137"/>
      <c r="GGS46" s="137"/>
      <c r="GGT46" s="137"/>
      <c r="GGU46" s="137"/>
      <c r="GGV46" s="137"/>
      <c r="GGW46" s="137"/>
      <c r="GGX46" s="137"/>
      <c r="GGY46" s="137"/>
      <c r="GGZ46" s="137"/>
      <c r="GHA46" s="137"/>
      <c r="GHB46" s="137"/>
      <c r="GHC46" s="137"/>
      <c r="GHD46" s="137"/>
      <c r="GHE46" s="137"/>
      <c r="GHF46" s="137"/>
      <c r="GHG46" s="137"/>
      <c r="GHH46" s="137"/>
      <c r="GHI46" s="137"/>
      <c r="GHJ46" s="137"/>
      <c r="GHK46" s="137"/>
      <c r="GHL46" s="137"/>
      <c r="GHM46" s="137"/>
      <c r="GHN46" s="137"/>
      <c r="GHO46" s="137"/>
      <c r="GHP46" s="137"/>
      <c r="GHQ46" s="137"/>
      <c r="GHR46" s="137"/>
      <c r="GHS46" s="137"/>
      <c r="GHT46" s="137"/>
      <c r="GHU46" s="137"/>
      <c r="GHV46" s="137"/>
      <c r="GHW46" s="137"/>
      <c r="GHX46" s="137"/>
      <c r="GHY46" s="137"/>
      <c r="GHZ46" s="137"/>
      <c r="GIA46" s="137"/>
      <c r="GIB46" s="137"/>
      <c r="GIC46" s="137"/>
      <c r="GID46" s="137"/>
      <c r="GIE46" s="137"/>
      <c r="GIF46" s="137"/>
      <c r="GIG46" s="137"/>
      <c r="GIH46" s="137"/>
      <c r="GII46" s="137"/>
      <c r="GIJ46" s="137"/>
      <c r="GIK46" s="137"/>
      <c r="GIL46" s="137"/>
      <c r="GIM46" s="137"/>
      <c r="GIN46" s="137"/>
      <c r="GIO46" s="137"/>
      <c r="GIP46" s="137"/>
      <c r="GIQ46" s="137"/>
      <c r="GIR46" s="137"/>
      <c r="GIS46" s="137"/>
      <c r="GIT46" s="137"/>
      <c r="GIU46" s="137"/>
      <c r="GIV46" s="137"/>
      <c r="GIW46" s="137"/>
      <c r="GIX46" s="137"/>
      <c r="GIY46" s="137"/>
      <c r="GIZ46" s="137"/>
      <c r="GJA46" s="137"/>
      <c r="GJB46" s="137"/>
      <c r="GJC46" s="137"/>
      <c r="GJD46" s="137"/>
      <c r="GJE46" s="137"/>
      <c r="GJF46" s="137"/>
      <c r="GJG46" s="137"/>
      <c r="GJH46" s="137"/>
      <c r="GJI46" s="137"/>
      <c r="GJJ46" s="137"/>
      <c r="GJK46" s="137"/>
      <c r="GJL46" s="137"/>
      <c r="GJM46" s="137"/>
      <c r="GJN46" s="137"/>
      <c r="GJO46" s="137"/>
      <c r="GJP46" s="137"/>
      <c r="GJQ46" s="137"/>
      <c r="GJR46" s="137"/>
      <c r="GJS46" s="137"/>
      <c r="GJT46" s="137"/>
      <c r="GJU46" s="137"/>
      <c r="GJV46" s="137"/>
      <c r="GJW46" s="137"/>
      <c r="GJX46" s="137"/>
      <c r="GJY46" s="137"/>
      <c r="GJZ46" s="137"/>
      <c r="GKA46" s="137"/>
      <c r="GKB46" s="137"/>
      <c r="GKC46" s="137"/>
      <c r="GKD46" s="137"/>
      <c r="GKE46" s="137"/>
      <c r="GKF46" s="137"/>
      <c r="GKG46" s="137"/>
      <c r="GKH46" s="137"/>
      <c r="GKI46" s="137"/>
      <c r="GKJ46" s="137"/>
      <c r="GKK46" s="137"/>
      <c r="GKL46" s="137"/>
      <c r="GKM46" s="137"/>
      <c r="GKN46" s="137"/>
      <c r="GKO46" s="137"/>
      <c r="GKP46" s="137"/>
      <c r="GKQ46" s="137"/>
      <c r="GKR46" s="137"/>
      <c r="GKS46" s="137"/>
      <c r="GKT46" s="137"/>
      <c r="GKU46" s="137"/>
      <c r="GKV46" s="137"/>
      <c r="GKW46" s="137"/>
      <c r="GKX46" s="137"/>
      <c r="GKY46" s="137"/>
      <c r="GKZ46" s="137"/>
      <c r="GLA46" s="137"/>
      <c r="GLB46" s="137"/>
      <c r="GLC46" s="137"/>
      <c r="GLD46" s="137"/>
      <c r="GLE46" s="137"/>
      <c r="GLF46" s="137"/>
      <c r="GLG46" s="137"/>
      <c r="GLH46" s="137"/>
      <c r="GLI46" s="137"/>
      <c r="GLJ46" s="137"/>
      <c r="GLK46" s="137"/>
      <c r="GLL46" s="137"/>
      <c r="GLM46" s="137"/>
      <c r="GLN46" s="137"/>
      <c r="GLO46" s="137"/>
      <c r="GLP46" s="137"/>
      <c r="GLQ46" s="137"/>
      <c r="GLR46" s="137"/>
      <c r="GLS46" s="137"/>
      <c r="GLT46" s="137"/>
      <c r="GLU46" s="137"/>
      <c r="GLV46" s="137"/>
      <c r="GLW46" s="137"/>
      <c r="GLX46" s="137"/>
      <c r="GLY46" s="137"/>
      <c r="GLZ46" s="137"/>
      <c r="GMA46" s="137"/>
      <c r="GMB46" s="137"/>
      <c r="GMC46" s="137"/>
      <c r="GMD46" s="137"/>
      <c r="GME46" s="137"/>
      <c r="GMF46" s="137"/>
      <c r="GMG46" s="137"/>
      <c r="GMH46" s="137"/>
      <c r="GMI46" s="137"/>
      <c r="GMJ46" s="137"/>
      <c r="GMK46" s="137"/>
      <c r="GML46" s="137"/>
      <c r="GMM46" s="137"/>
      <c r="GMN46" s="137"/>
      <c r="GMO46" s="137"/>
      <c r="GMP46" s="137"/>
      <c r="GMQ46" s="137"/>
      <c r="GMR46" s="137"/>
      <c r="GMS46" s="137"/>
      <c r="GMT46" s="137"/>
      <c r="GMU46" s="137"/>
      <c r="GMV46" s="137"/>
      <c r="GMW46" s="137"/>
      <c r="GMX46" s="137"/>
      <c r="GMY46" s="137"/>
      <c r="GMZ46" s="137"/>
      <c r="GNA46" s="137"/>
      <c r="GNB46" s="137"/>
      <c r="GNC46" s="137"/>
      <c r="GND46" s="137"/>
      <c r="GNE46" s="137"/>
      <c r="GNF46" s="137"/>
      <c r="GNG46" s="137"/>
      <c r="GNH46" s="137"/>
      <c r="GNI46" s="137"/>
      <c r="GNJ46" s="137"/>
      <c r="GNK46" s="137"/>
      <c r="GNL46" s="137"/>
      <c r="GNM46" s="137"/>
      <c r="GNN46" s="137"/>
      <c r="GNO46" s="137"/>
      <c r="GNP46" s="137"/>
      <c r="GNQ46" s="137"/>
      <c r="GNR46" s="137"/>
      <c r="GNS46" s="137"/>
      <c r="GNT46" s="137"/>
      <c r="GNU46" s="137"/>
      <c r="GNV46" s="137"/>
      <c r="GNW46" s="137"/>
      <c r="GNX46" s="137"/>
      <c r="GNY46" s="137"/>
      <c r="GNZ46" s="137"/>
      <c r="GOA46" s="137"/>
      <c r="GOB46" s="137"/>
      <c r="GOC46" s="137"/>
      <c r="GOD46" s="137"/>
      <c r="GOE46" s="137"/>
      <c r="GOF46" s="137"/>
      <c r="GOG46" s="137"/>
      <c r="GOH46" s="137"/>
      <c r="GOI46" s="137"/>
      <c r="GOJ46" s="137"/>
      <c r="GOK46" s="137"/>
      <c r="GOL46" s="137"/>
      <c r="GOM46" s="137"/>
      <c r="GON46" s="137"/>
      <c r="GOO46" s="137"/>
      <c r="GOP46" s="137"/>
      <c r="GOQ46" s="137"/>
      <c r="GOR46" s="137"/>
      <c r="GOS46" s="137"/>
      <c r="GOT46" s="137"/>
      <c r="GOU46" s="137"/>
      <c r="GOV46" s="137"/>
      <c r="GOW46" s="137"/>
      <c r="GOX46" s="137"/>
      <c r="GOY46" s="137"/>
      <c r="GOZ46" s="137"/>
      <c r="GPA46" s="137"/>
      <c r="GPB46" s="137"/>
      <c r="GPC46" s="137"/>
      <c r="GPD46" s="137"/>
      <c r="GPE46" s="137"/>
      <c r="GPF46" s="137"/>
      <c r="GPG46" s="137"/>
      <c r="GPH46" s="137"/>
      <c r="GPI46" s="137"/>
      <c r="GPJ46" s="137"/>
      <c r="GPK46" s="137"/>
      <c r="GPL46" s="137"/>
      <c r="GPM46" s="137"/>
      <c r="GPN46" s="137"/>
      <c r="GPO46" s="137"/>
      <c r="GPP46" s="137"/>
      <c r="GPQ46" s="137"/>
      <c r="GPR46" s="137"/>
      <c r="GPS46" s="137"/>
      <c r="GPT46" s="137"/>
      <c r="GPU46" s="137"/>
      <c r="GPV46" s="137"/>
      <c r="GPW46" s="137"/>
      <c r="GPX46" s="137"/>
      <c r="GPY46" s="137"/>
      <c r="GPZ46" s="137"/>
      <c r="GQA46" s="137"/>
      <c r="GQB46" s="137"/>
      <c r="GQC46" s="137"/>
      <c r="GQD46" s="137"/>
      <c r="GQE46" s="137"/>
      <c r="GQF46" s="137"/>
      <c r="GQG46" s="137"/>
      <c r="GQH46" s="137"/>
      <c r="GQI46" s="137"/>
      <c r="GQJ46" s="137"/>
      <c r="GQK46" s="137"/>
      <c r="GQL46" s="137"/>
      <c r="GQM46" s="137"/>
      <c r="GQN46" s="137"/>
      <c r="GQO46" s="137"/>
      <c r="GQP46" s="137"/>
      <c r="GQQ46" s="137"/>
      <c r="GQR46" s="137"/>
      <c r="GQS46" s="137"/>
      <c r="GQT46" s="137"/>
      <c r="GQU46" s="137"/>
      <c r="GQV46" s="137"/>
      <c r="GQW46" s="137"/>
      <c r="GQX46" s="137"/>
      <c r="GQY46" s="137"/>
      <c r="GQZ46" s="137"/>
      <c r="GRA46" s="137"/>
      <c r="GRB46" s="137"/>
      <c r="GRC46" s="137"/>
      <c r="GRD46" s="137"/>
      <c r="GRE46" s="137"/>
      <c r="GRF46" s="137"/>
      <c r="GRG46" s="137"/>
      <c r="GRH46" s="137"/>
      <c r="GRI46" s="137"/>
      <c r="GRJ46" s="137"/>
      <c r="GRK46" s="137"/>
      <c r="GRL46" s="137"/>
      <c r="GRM46" s="137"/>
      <c r="GRN46" s="137"/>
      <c r="GRO46" s="137"/>
      <c r="GRP46" s="137"/>
      <c r="GRQ46" s="137"/>
      <c r="GRR46" s="137"/>
      <c r="GRS46" s="137"/>
      <c r="GRT46" s="137"/>
      <c r="GRU46" s="137"/>
      <c r="GRV46" s="137"/>
      <c r="GRW46" s="137"/>
      <c r="GRX46" s="137"/>
      <c r="GRY46" s="137"/>
      <c r="GRZ46" s="137"/>
      <c r="GSA46" s="137"/>
      <c r="GSB46" s="137"/>
      <c r="GSC46" s="137"/>
      <c r="GSD46" s="137"/>
      <c r="GSE46" s="137"/>
      <c r="GSF46" s="137"/>
      <c r="GSG46" s="137"/>
      <c r="GSH46" s="137"/>
      <c r="GSI46" s="137"/>
      <c r="GSJ46" s="137"/>
      <c r="GSK46" s="137"/>
      <c r="GSL46" s="137"/>
      <c r="GSM46" s="137"/>
      <c r="GSN46" s="137"/>
      <c r="GSO46" s="137"/>
      <c r="GSP46" s="137"/>
      <c r="GSQ46" s="137"/>
      <c r="GSR46" s="137"/>
      <c r="GSS46" s="137"/>
      <c r="GST46" s="137"/>
      <c r="GSU46" s="137"/>
      <c r="GSV46" s="137"/>
      <c r="GSW46" s="137"/>
      <c r="GSX46" s="137"/>
      <c r="GSY46" s="137"/>
      <c r="GSZ46" s="137"/>
      <c r="GTA46" s="137"/>
      <c r="GTB46" s="137"/>
      <c r="GTC46" s="137"/>
      <c r="GTD46" s="137"/>
      <c r="GTE46" s="137"/>
      <c r="GTF46" s="137"/>
      <c r="GTG46" s="137"/>
      <c r="GTH46" s="137"/>
      <c r="GTI46" s="137"/>
      <c r="GTJ46" s="137"/>
      <c r="GTK46" s="137"/>
      <c r="GTL46" s="137"/>
      <c r="GTM46" s="137"/>
      <c r="GTN46" s="137"/>
      <c r="GTO46" s="137"/>
      <c r="GTP46" s="137"/>
      <c r="GTQ46" s="137"/>
      <c r="GTR46" s="137"/>
      <c r="GTS46" s="137"/>
      <c r="GTT46" s="137"/>
      <c r="GTU46" s="137"/>
      <c r="GTV46" s="137"/>
      <c r="GTW46" s="137"/>
      <c r="GTX46" s="137"/>
      <c r="GTY46" s="137"/>
      <c r="GTZ46" s="137"/>
      <c r="GUA46" s="137"/>
      <c r="GUB46" s="137"/>
      <c r="GUC46" s="137"/>
      <c r="GUD46" s="137"/>
      <c r="GUE46" s="137"/>
      <c r="GUF46" s="137"/>
      <c r="GUG46" s="137"/>
      <c r="GUH46" s="137"/>
      <c r="GUI46" s="137"/>
      <c r="GUJ46" s="137"/>
      <c r="GUK46" s="137"/>
      <c r="GUL46" s="137"/>
      <c r="GUM46" s="137"/>
      <c r="GUN46" s="137"/>
      <c r="GUO46" s="137"/>
      <c r="GUP46" s="137"/>
      <c r="GUQ46" s="137"/>
      <c r="GUR46" s="137"/>
      <c r="GUS46" s="137"/>
      <c r="GUT46" s="137"/>
      <c r="GUU46" s="137"/>
      <c r="GUV46" s="137"/>
      <c r="GUW46" s="137"/>
      <c r="GUX46" s="137"/>
      <c r="GUY46" s="137"/>
      <c r="GUZ46" s="137"/>
      <c r="GVA46" s="137"/>
      <c r="GVB46" s="137"/>
      <c r="GVC46" s="137"/>
      <c r="GVD46" s="137"/>
      <c r="GVE46" s="137"/>
      <c r="GVF46" s="137"/>
      <c r="GVG46" s="137"/>
      <c r="GVH46" s="137"/>
      <c r="GVI46" s="137"/>
      <c r="GVJ46" s="137"/>
      <c r="GVK46" s="137"/>
      <c r="GVL46" s="137"/>
      <c r="GVM46" s="137"/>
      <c r="GVN46" s="137"/>
      <c r="GVO46" s="137"/>
      <c r="GVP46" s="137"/>
      <c r="GVQ46" s="137"/>
      <c r="GVR46" s="137"/>
      <c r="GVS46" s="137"/>
      <c r="GVT46" s="137"/>
      <c r="GVU46" s="137"/>
      <c r="GVV46" s="137"/>
      <c r="GVW46" s="137"/>
      <c r="GVX46" s="137"/>
      <c r="GVY46" s="137"/>
      <c r="GVZ46" s="137"/>
      <c r="GWA46" s="137"/>
      <c r="GWB46" s="137"/>
      <c r="GWC46" s="137"/>
      <c r="GWD46" s="137"/>
      <c r="GWE46" s="137"/>
      <c r="GWF46" s="137"/>
      <c r="GWG46" s="137"/>
      <c r="GWH46" s="137"/>
      <c r="GWI46" s="137"/>
      <c r="GWJ46" s="137"/>
      <c r="GWK46" s="137"/>
      <c r="GWL46" s="137"/>
      <c r="GWM46" s="137"/>
      <c r="GWN46" s="137"/>
      <c r="GWO46" s="137"/>
      <c r="GWP46" s="137"/>
      <c r="GWQ46" s="137"/>
      <c r="GWR46" s="137"/>
      <c r="GWS46" s="137"/>
      <c r="GWT46" s="137"/>
      <c r="GWU46" s="137"/>
      <c r="GWV46" s="137"/>
      <c r="GWW46" s="137"/>
      <c r="GWX46" s="137"/>
      <c r="GWY46" s="137"/>
      <c r="GWZ46" s="137"/>
      <c r="GXA46" s="137"/>
      <c r="GXB46" s="137"/>
      <c r="GXC46" s="137"/>
      <c r="GXD46" s="137"/>
      <c r="GXE46" s="137"/>
      <c r="GXF46" s="137"/>
      <c r="GXG46" s="137"/>
      <c r="GXH46" s="137"/>
      <c r="GXI46" s="137"/>
      <c r="GXJ46" s="137"/>
      <c r="GXK46" s="137"/>
      <c r="GXL46" s="137"/>
      <c r="GXM46" s="137"/>
      <c r="GXN46" s="137"/>
      <c r="GXO46" s="137"/>
      <c r="GXP46" s="137"/>
      <c r="GXQ46" s="137"/>
      <c r="GXR46" s="137"/>
      <c r="GXS46" s="137"/>
      <c r="GXT46" s="137"/>
      <c r="GXU46" s="137"/>
      <c r="GXV46" s="137"/>
      <c r="GXW46" s="137"/>
      <c r="GXX46" s="137"/>
      <c r="GXY46" s="137"/>
      <c r="GXZ46" s="137"/>
      <c r="GYA46" s="137"/>
      <c r="GYB46" s="137"/>
      <c r="GYC46" s="137"/>
      <c r="GYD46" s="137"/>
      <c r="GYE46" s="137"/>
      <c r="GYF46" s="137"/>
      <c r="GYG46" s="137"/>
      <c r="GYH46" s="137"/>
      <c r="GYI46" s="137"/>
      <c r="GYJ46" s="137"/>
      <c r="GYK46" s="137"/>
      <c r="GYL46" s="137"/>
      <c r="GYM46" s="137"/>
      <c r="GYN46" s="137"/>
      <c r="GYO46" s="137"/>
      <c r="GYP46" s="137"/>
      <c r="GYQ46" s="137"/>
      <c r="GYR46" s="137"/>
      <c r="GYS46" s="137"/>
      <c r="GYT46" s="137"/>
      <c r="GYU46" s="137"/>
      <c r="GYV46" s="137"/>
      <c r="GYW46" s="137"/>
      <c r="GYX46" s="137"/>
      <c r="GYY46" s="137"/>
      <c r="GYZ46" s="137"/>
      <c r="GZA46" s="137"/>
      <c r="GZB46" s="137"/>
      <c r="GZC46" s="137"/>
      <c r="GZD46" s="137"/>
      <c r="GZE46" s="137"/>
      <c r="GZF46" s="137"/>
      <c r="GZG46" s="137"/>
      <c r="GZH46" s="137"/>
      <c r="GZI46" s="137"/>
      <c r="GZJ46" s="137"/>
      <c r="GZK46" s="137"/>
      <c r="GZL46" s="137"/>
      <c r="GZM46" s="137"/>
      <c r="GZN46" s="137"/>
      <c r="GZO46" s="137"/>
      <c r="GZP46" s="137"/>
      <c r="GZQ46" s="137"/>
      <c r="GZR46" s="137"/>
      <c r="GZS46" s="137"/>
      <c r="GZT46" s="137"/>
      <c r="GZU46" s="137"/>
      <c r="GZV46" s="137"/>
      <c r="GZW46" s="137"/>
      <c r="GZX46" s="137"/>
      <c r="GZY46" s="137"/>
      <c r="GZZ46" s="137"/>
      <c r="HAA46" s="137"/>
      <c r="HAB46" s="137"/>
      <c r="HAC46" s="137"/>
      <c r="HAD46" s="137"/>
      <c r="HAE46" s="137"/>
      <c r="HAF46" s="137"/>
      <c r="HAG46" s="137"/>
      <c r="HAH46" s="137"/>
      <c r="HAI46" s="137"/>
      <c r="HAJ46" s="137"/>
      <c r="HAK46" s="137"/>
      <c r="HAL46" s="137"/>
      <c r="HAM46" s="137"/>
      <c r="HAN46" s="137"/>
      <c r="HAO46" s="137"/>
      <c r="HAP46" s="137"/>
      <c r="HAQ46" s="137"/>
      <c r="HAR46" s="137"/>
      <c r="HAS46" s="137"/>
      <c r="HAT46" s="137"/>
      <c r="HAU46" s="137"/>
      <c r="HAV46" s="137"/>
      <c r="HAW46" s="137"/>
      <c r="HAX46" s="137"/>
      <c r="HAY46" s="137"/>
      <c r="HAZ46" s="137"/>
      <c r="HBA46" s="137"/>
      <c r="HBB46" s="137"/>
      <c r="HBC46" s="137"/>
      <c r="HBD46" s="137"/>
      <c r="HBE46" s="137"/>
      <c r="HBF46" s="137"/>
      <c r="HBG46" s="137"/>
      <c r="HBH46" s="137"/>
      <c r="HBI46" s="137"/>
      <c r="HBJ46" s="137"/>
      <c r="HBK46" s="137"/>
      <c r="HBL46" s="137"/>
      <c r="HBM46" s="137"/>
      <c r="HBN46" s="137"/>
      <c r="HBO46" s="137"/>
      <c r="HBP46" s="137"/>
      <c r="HBQ46" s="137"/>
      <c r="HBR46" s="137"/>
      <c r="HBS46" s="137"/>
      <c r="HBT46" s="137"/>
      <c r="HBU46" s="137"/>
      <c r="HBV46" s="137"/>
      <c r="HBW46" s="137"/>
      <c r="HBX46" s="137"/>
      <c r="HBY46" s="137"/>
      <c r="HBZ46" s="137"/>
      <c r="HCA46" s="137"/>
      <c r="HCB46" s="137"/>
      <c r="HCC46" s="137"/>
      <c r="HCD46" s="137"/>
      <c r="HCE46" s="137"/>
      <c r="HCF46" s="137"/>
      <c r="HCG46" s="137"/>
      <c r="HCH46" s="137"/>
      <c r="HCI46" s="137"/>
      <c r="HCJ46" s="137"/>
      <c r="HCK46" s="137"/>
      <c r="HCL46" s="137"/>
      <c r="HCM46" s="137"/>
      <c r="HCN46" s="137"/>
      <c r="HCO46" s="137"/>
      <c r="HCP46" s="137"/>
      <c r="HCQ46" s="137"/>
      <c r="HCR46" s="137"/>
      <c r="HCS46" s="137"/>
      <c r="HCT46" s="137"/>
      <c r="HCU46" s="137"/>
      <c r="HCV46" s="137"/>
      <c r="HCW46" s="137"/>
      <c r="HCX46" s="137"/>
      <c r="HCY46" s="137"/>
      <c r="HCZ46" s="137"/>
      <c r="HDA46" s="137"/>
      <c r="HDB46" s="137"/>
      <c r="HDC46" s="137"/>
      <c r="HDD46" s="137"/>
      <c r="HDE46" s="137"/>
      <c r="HDF46" s="137"/>
      <c r="HDG46" s="137"/>
      <c r="HDH46" s="137"/>
      <c r="HDI46" s="137"/>
      <c r="HDJ46" s="137"/>
      <c r="HDK46" s="137"/>
      <c r="HDL46" s="137"/>
      <c r="HDM46" s="137"/>
      <c r="HDN46" s="137"/>
      <c r="HDO46" s="137"/>
      <c r="HDP46" s="137"/>
      <c r="HDQ46" s="137"/>
      <c r="HDR46" s="137"/>
      <c r="HDS46" s="137"/>
      <c r="HDT46" s="137"/>
      <c r="HDU46" s="137"/>
      <c r="HDV46" s="137"/>
      <c r="HDW46" s="137"/>
      <c r="HDX46" s="137"/>
      <c r="HDY46" s="137"/>
      <c r="HDZ46" s="137"/>
      <c r="HEA46" s="137"/>
      <c r="HEB46" s="137"/>
      <c r="HEC46" s="137"/>
      <c r="HED46" s="137"/>
      <c r="HEE46" s="137"/>
      <c r="HEF46" s="137"/>
      <c r="HEG46" s="137"/>
      <c r="HEH46" s="137"/>
      <c r="HEI46" s="137"/>
      <c r="HEJ46" s="137"/>
      <c r="HEK46" s="137"/>
      <c r="HEL46" s="137"/>
      <c r="HEM46" s="137"/>
      <c r="HEN46" s="137"/>
      <c r="HEO46" s="137"/>
      <c r="HEP46" s="137"/>
      <c r="HEQ46" s="137"/>
      <c r="HER46" s="137"/>
      <c r="HES46" s="137"/>
      <c r="HET46" s="137"/>
      <c r="HEU46" s="137"/>
      <c r="HEV46" s="137"/>
      <c r="HEW46" s="137"/>
      <c r="HEX46" s="137"/>
      <c r="HEY46" s="137"/>
      <c r="HEZ46" s="137"/>
      <c r="HFA46" s="137"/>
      <c r="HFB46" s="137"/>
      <c r="HFC46" s="137"/>
      <c r="HFD46" s="137"/>
      <c r="HFE46" s="137"/>
      <c r="HFF46" s="137"/>
      <c r="HFG46" s="137"/>
      <c r="HFH46" s="137"/>
      <c r="HFI46" s="137"/>
      <c r="HFJ46" s="137"/>
      <c r="HFK46" s="137"/>
      <c r="HFL46" s="137"/>
      <c r="HFM46" s="137"/>
      <c r="HFN46" s="137"/>
      <c r="HFO46" s="137"/>
      <c r="HFP46" s="137"/>
      <c r="HFQ46" s="137"/>
      <c r="HFR46" s="137"/>
      <c r="HFS46" s="137"/>
      <c r="HFT46" s="137"/>
      <c r="HFU46" s="137"/>
      <c r="HFV46" s="137"/>
      <c r="HFW46" s="137"/>
      <c r="HFX46" s="137"/>
      <c r="HFY46" s="137"/>
      <c r="HFZ46" s="137"/>
      <c r="HGA46" s="137"/>
      <c r="HGB46" s="137"/>
      <c r="HGC46" s="137"/>
      <c r="HGD46" s="137"/>
      <c r="HGE46" s="137"/>
      <c r="HGF46" s="137"/>
      <c r="HGG46" s="137"/>
      <c r="HGH46" s="137"/>
      <c r="HGI46" s="137"/>
      <c r="HGJ46" s="137"/>
      <c r="HGK46" s="137"/>
      <c r="HGL46" s="137"/>
      <c r="HGM46" s="137"/>
      <c r="HGN46" s="137"/>
      <c r="HGO46" s="137"/>
      <c r="HGP46" s="137"/>
      <c r="HGQ46" s="137"/>
      <c r="HGR46" s="137"/>
      <c r="HGS46" s="137"/>
      <c r="HGT46" s="137"/>
      <c r="HGU46" s="137"/>
      <c r="HGV46" s="137"/>
      <c r="HGW46" s="137"/>
      <c r="HGX46" s="137"/>
      <c r="HGY46" s="137"/>
      <c r="HGZ46" s="137"/>
      <c r="HHA46" s="137"/>
      <c r="HHB46" s="137"/>
      <c r="HHC46" s="137"/>
      <c r="HHD46" s="137"/>
      <c r="HHE46" s="137"/>
      <c r="HHF46" s="137"/>
      <c r="HHG46" s="137"/>
      <c r="HHH46" s="137"/>
      <c r="HHI46" s="137"/>
      <c r="HHJ46" s="137"/>
      <c r="HHK46" s="137"/>
      <c r="HHL46" s="137"/>
      <c r="HHM46" s="137"/>
      <c r="HHN46" s="137"/>
      <c r="HHO46" s="137"/>
      <c r="HHP46" s="137"/>
      <c r="HHQ46" s="137"/>
      <c r="HHR46" s="137"/>
      <c r="HHS46" s="137"/>
      <c r="HHT46" s="137"/>
      <c r="HHU46" s="137"/>
      <c r="HHV46" s="137"/>
      <c r="HHW46" s="137"/>
      <c r="HHX46" s="137"/>
      <c r="HHY46" s="137"/>
      <c r="HHZ46" s="137"/>
      <c r="HIA46" s="137"/>
      <c r="HIB46" s="137"/>
      <c r="HIC46" s="137"/>
      <c r="HID46" s="137"/>
      <c r="HIE46" s="137"/>
      <c r="HIF46" s="137"/>
      <c r="HIG46" s="137"/>
      <c r="HIH46" s="137"/>
      <c r="HII46" s="137"/>
      <c r="HIJ46" s="137"/>
      <c r="HIK46" s="137"/>
      <c r="HIL46" s="137"/>
      <c r="HIM46" s="137"/>
      <c r="HIN46" s="137"/>
      <c r="HIO46" s="137"/>
      <c r="HIP46" s="137"/>
      <c r="HIQ46" s="137"/>
      <c r="HIR46" s="137"/>
      <c r="HIS46" s="137"/>
      <c r="HIT46" s="137"/>
      <c r="HIU46" s="137"/>
      <c r="HIV46" s="137"/>
      <c r="HIW46" s="137"/>
      <c r="HIX46" s="137"/>
      <c r="HIY46" s="137"/>
      <c r="HIZ46" s="137"/>
      <c r="HJA46" s="137"/>
      <c r="HJB46" s="137"/>
      <c r="HJC46" s="137"/>
      <c r="HJD46" s="137"/>
      <c r="HJE46" s="137"/>
      <c r="HJF46" s="137"/>
      <c r="HJG46" s="137"/>
      <c r="HJH46" s="137"/>
      <c r="HJI46" s="137"/>
      <c r="HJJ46" s="137"/>
      <c r="HJK46" s="137"/>
      <c r="HJL46" s="137"/>
      <c r="HJM46" s="137"/>
      <c r="HJN46" s="137"/>
      <c r="HJO46" s="137"/>
      <c r="HJP46" s="137"/>
      <c r="HJQ46" s="137"/>
      <c r="HJR46" s="137"/>
      <c r="HJS46" s="137"/>
      <c r="HJT46" s="137"/>
      <c r="HJU46" s="137"/>
      <c r="HJV46" s="137"/>
      <c r="HJW46" s="137"/>
      <c r="HJX46" s="137"/>
      <c r="HJY46" s="137"/>
      <c r="HJZ46" s="137"/>
      <c r="HKA46" s="137"/>
      <c r="HKB46" s="137"/>
      <c r="HKC46" s="137"/>
      <c r="HKD46" s="137"/>
      <c r="HKE46" s="137"/>
      <c r="HKF46" s="137"/>
      <c r="HKG46" s="137"/>
      <c r="HKH46" s="137"/>
      <c r="HKI46" s="137"/>
      <c r="HKJ46" s="137"/>
      <c r="HKK46" s="137"/>
      <c r="HKL46" s="137"/>
      <c r="HKM46" s="137"/>
      <c r="HKN46" s="137"/>
      <c r="HKO46" s="137"/>
      <c r="HKP46" s="137"/>
      <c r="HKQ46" s="137"/>
      <c r="HKR46" s="137"/>
      <c r="HKS46" s="137"/>
      <c r="HKT46" s="137"/>
      <c r="HKU46" s="137"/>
      <c r="HKV46" s="137"/>
      <c r="HKW46" s="137"/>
      <c r="HKX46" s="137"/>
      <c r="HKY46" s="137"/>
      <c r="HKZ46" s="137"/>
      <c r="HLA46" s="137"/>
      <c r="HLB46" s="137"/>
      <c r="HLC46" s="137"/>
      <c r="HLD46" s="137"/>
      <c r="HLE46" s="137"/>
      <c r="HLF46" s="137"/>
      <c r="HLG46" s="137"/>
      <c r="HLH46" s="137"/>
      <c r="HLI46" s="137"/>
      <c r="HLJ46" s="137"/>
      <c r="HLK46" s="137"/>
      <c r="HLL46" s="137"/>
      <c r="HLM46" s="137"/>
      <c r="HLN46" s="137"/>
      <c r="HLO46" s="137"/>
      <c r="HLP46" s="137"/>
      <c r="HLQ46" s="137"/>
      <c r="HLR46" s="137"/>
      <c r="HLS46" s="137"/>
      <c r="HLT46" s="137"/>
      <c r="HLU46" s="137"/>
      <c r="HLV46" s="137"/>
      <c r="HLW46" s="137"/>
      <c r="HLX46" s="137"/>
      <c r="HLY46" s="137"/>
      <c r="HLZ46" s="137"/>
      <c r="HMA46" s="137"/>
      <c r="HMB46" s="137"/>
      <c r="HMC46" s="137"/>
      <c r="HMD46" s="137"/>
      <c r="HME46" s="137"/>
      <c r="HMF46" s="137"/>
      <c r="HMG46" s="137"/>
      <c r="HMH46" s="137"/>
      <c r="HMI46" s="137"/>
      <c r="HMJ46" s="137"/>
      <c r="HMK46" s="137"/>
      <c r="HML46" s="137"/>
      <c r="HMM46" s="137"/>
      <c r="HMN46" s="137"/>
      <c r="HMO46" s="137"/>
      <c r="HMP46" s="137"/>
      <c r="HMQ46" s="137"/>
      <c r="HMR46" s="137"/>
      <c r="HMS46" s="137"/>
      <c r="HMT46" s="137"/>
      <c r="HMU46" s="137"/>
      <c r="HMV46" s="137"/>
      <c r="HMW46" s="137"/>
      <c r="HMX46" s="137"/>
      <c r="HMY46" s="137"/>
      <c r="HMZ46" s="137"/>
      <c r="HNA46" s="137"/>
      <c r="HNB46" s="137"/>
      <c r="HNC46" s="137"/>
      <c r="HND46" s="137"/>
      <c r="HNE46" s="137"/>
      <c r="HNF46" s="137"/>
      <c r="HNG46" s="137"/>
      <c r="HNH46" s="137"/>
      <c r="HNI46" s="137"/>
      <c r="HNJ46" s="137"/>
      <c r="HNK46" s="137"/>
      <c r="HNL46" s="137"/>
      <c r="HNM46" s="137"/>
      <c r="HNN46" s="137"/>
      <c r="HNO46" s="137"/>
      <c r="HNP46" s="137"/>
      <c r="HNQ46" s="137"/>
      <c r="HNR46" s="137"/>
      <c r="HNS46" s="137"/>
      <c r="HNT46" s="137"/>
      <c r="HNU46" s="137"/>
      <c r="HNV46" s="137"/>
      <c r="HNW46" s="137"/>
      <c r="HNX46" s="137"/>
      <c r="HNY46" s="137"/>
      <c r="HNZ46" s="137"/>
      <c r="HOA46" s="137"/>
      <c r="HOB46" s="137"/>
      <c r="HOC46" s="137"/>
      <c r="HOD46" s="137"/>
      <c r="HOE46" s="137"/>
      <c r="HOF46" s="137"/>
      <c r="HOG46" s="137"/>
      <c r="HOH46" s="137"/>
      <c r="HOI46" s="137"/>
      <c r="HOJ46" s="137"/>
      <c r="HOK46" s="137"/>
      <c r="HOL46" s="137"/>
      <c r="HOM46" s="137"/>
      <c r="HON46" s="137"/>
      <c r="HOO46" s="137"/>
      <c r="HOP46" s="137"/>
      <c r="HOQ46" s="137"/>
      <c r="HOR46" s="137"/>
      <c r="HOS46" s="137"/>
      <c r="HOT46" s="137"/>
      <c r="HOU46" s="137"/>
      <c r="HOV46" s="137"/>
      <c r="HOW46" s="137"/>
      <c r="HOX46" s="137"/>
      <c r="HOY46" s="137"/>
      <c r="HOZ46" s="137"/>
      <c r="HPA46" s="137"/>
      <c r="HPB46" s="137"/>
      <c r="HPC46" s="137"/>
      <c r="HPD46" s="137"/>
      <c r="HPE46" s="137"/>
      <c r="HPF46" s="137"/>
      <c r="HPG46" s="137"/>
      <c r="HPH46" s="137"/>
      <c r="HPI46" s="137"/>
      <c r="HPJ46" s="137"/>
      <c r="HPK46" s="137"/>
      <c r="HPL46" s="137"/>
      <c r="HPM46" s="137"/>
      <c r="HPN46" s="137"/>
      <c r="HPO46" s="137"/>
      <c r="HPP46" s="137"/>
      <c r="HPQ46" s="137"/>
      <c r="HPR46" s="137"/>
      <c r="HPS46" s="137"/>
      <c r="HPT46" s="137"/>
      <c r="HPU46" s="137"/>
      <c r="HPV46" s="137"/>
      <c r="HPW46" s="137"/>
      <c r="HPX46" s="137"/>
      <c r="HPY46" s="137"/>
      <c r="HPZ46" s="137"/>
      <c r="HQA46" s="137"/>
      <c r="HQB46" s="137"/>
      <c r="HQC46" s="137"/>
      <c r="HQD46" s="137"/>
      <c r="HQE46" s="137"/>
      <c r="HQF46" s="137"/>
      <c r="HQG46" s="137"/>
      <c r="HQH46" s="137"/>
      <c r="HQI46" s="137"/>
      <c r="HQJ46" s="137"/>
      <c r="HQK46" s="137"/>
      <c r="HQL46" s="137"/>
      <c r="HQM46" s="137"/>
      <c r="HQN46" s="137"/>
      <c r="HQO46" s="137"/>
      <c r="HQP46" s="137"/>
      <c r="HQQ46" s="137"/>
      <c r="HQR46" s="137"/>
      <c r="HQS46" s="137"/>
      <c r="HQT46" s="137"/>
      <c r="HQU46" s="137"/>
      <c r="HQV46" s="137"/>
      <c r="HQW46" s="137"/>
      <c r="HQX46" s="137"/>
      <c r="HQY46" s="137"/>
      <c r="HQZ46" s="137"/>
      <c r="HRA46" s="137"/>
      <c r="HRB46" s="137"/>
      <c r="HRC46" s="137"/>
      <c r="HRD46" s="137"/>
      <c r="HRE46" s="137"/>
      <c r="HRF46" s="137"/>
      <c r="HRG46" s="137"/>
      <c r="HRH46" s="137"/>
      <c r="HRI46" s="137"/>
      <c r="HRJ46" s="137"/>
      <c r="HRK46" s="137"/>
      <c r="HRL46" s="137"/>
      <c r="HRM46" s="137"/>
      <c r="HRN46" s="137"/>
      <c r="HRO46" s="137"/>
      <c r="HRP46" s="137"/>
      <c r="HRQ46" s="137"/>
      <c r="HRR46" s="137"/>
      <c r="HRS46" s="137"/>
      <c r="HRT46" s="137"/>
      <c r="HRU46" s="137"/>
      <c r="HRV46" s="137"/>
      <c r="HRW46" s="137"/>
      <c r="HRX46" s="137"/>
      <c r="HRY46" s="137"/>
      <c r="HRZ46" s="137"/>
      <c r="HSA46" s="137"/>
      <c r="HSB46" s="137"/>
      <c r="HSC46" s="137"/>
      <c r="HSD46" s="137"/>
      <c r="HSE46" s="137"/>
      <c r="HSF46" s="137"/>
      <c r="HSG46" s="137"/>
      <c r="HSH46" s="137"/>
      <c r="HSI46" s="137"/>
      <c r="HSJ46" s="137"/>
      <c r="HSK46" s="137"/>
      <c r="HSL46" s="137"/>
      <c r="HSM46" s="137"/>
      <c r="HSN46" s="137"/>
      <c r="HSO46" s="137"/>
      <c r="HSP46" s="137"/>
      <c r="HSQ46" s="137"/>
      <c r="HSR46" s="137"/>
      <c r="HSS46" s="137"/>
      <c r="HST46" s="137"/>
      <c r="HSU46" s="137"/>
      <c r="HSV46" s="137"/>
      <c r="HSW46" s="137"/>
      <c r="HSX46" s="137"/>
      <c r="HSY46" s="137"/>
      <c r="HSZ46" s="137"/>
      <c r="HTA46" s="137"/>
      <c r="HTB46" s="137"/>
      <c r="HTC46" s="137"/>
      <c r="HTD46" s="137"/>
      <c r="HTE46" s="137"/>
      <c r="HTF46" s="137"/>
      <c r="HTG46" s="137"/>
      <c r="HTH46" s="137"/>
      <c r="HTI46" s="137"/>
      <c r="HTJ46" s="137"/>
      <c r="HTK46" s="137"/>
      <c r="HTL46" s="137"/>
      <c r="HTM46" s="137"/>
      <c r="HTN46" s="137"/>
      <c r="HTO46" s="137"/>
      <c r="HTP46" s="137"/>
      <c r="HTQ46" s="137"/>
      <c r="HTR46" s="137"/>
      <c r="HTS46" s="137"/>
      <c r="HTT46" s="137"/>
      <c r="HTU46" s="137"/>
      <c r="HTV46" s="137"/>
      <c r="HTW46" s="137"/>
      <c r="HTX46" s="137"/>
      <c r="HTY46" s="137"/>
      <c r="HTZ46" s="137"/>
      <c r="HUA46" s="137"/>
      <c r="HUB46" s="137"/>
      <c r="HUC46" s="137"/>
      <c r="HUD46" s="137"/>
      <c r="HUE46" s="137"/>
      <c r="HUF46" s="137"/>
      <c r="HUG46" s="137"/>
      <c r="HUH46" s="137"/>
      <c r="HUI46" s="137"/>
      <c r="HUJ46" s="137"/>
      <c r="HUK46" s="137"/>
      <c r="HUL46" s="137"/>
      <c r="HUM46" s="137"/>
      <c r="HUN46" s="137"/>
      <c r="HUO46" s="137"/>
      <c r="HUP46" s="137"/>
      <c r="HUQ46" s="137"/>
      <c r="HUR46" s="137"/>
      <c r="HUS46" s="137"/>
      <c r="HUT46" s="137"/>
      <c r="HUU46" s="137"/>
      <c r="HUV46" s="137"/>
      <c r="HUW46" s="137"/>
      <c r="HUX46" s="137"/>
      <c r="HUY46" s="137"/>
      <c r="HUZ46" s="137"/>
      <c r="HVA46" s="137"/>
      <c r="HVB46" s="137"/>
      <c r="HVC46" s="137"/>
      <c r="HVD46" s="137"/>
      <c r="HVE46" s="137"/>
      <c r="HVF46" s="137"/>
      <c r="HVG46" s="137"/>
      <c r="HVH46" s="137"/>
      <c r="HVI46" s="137"/>
      <c r="HVJ46" s="137"/>
      <c r="HVK46" s="137"/>
      <c r="HVL46" s="137"/>
      <c r="HVM46" s="137"/>
      <c r="HVN46" s="137"/>
      <c r="HVO46" s="137"/>
      <c r="HVP46" s="137"/>
      <c r="HVQ46" s="137"/>
      <c r="HVR46" s="137"/>
      <c r="HVS46" s="137"/>
      <c r="HVT46" s="137"/>
      <c r="HVU46" s="137"/>
      <c r="HVV46" s="137"/>
      <c r="HVW46" s="137"/>
      <c r="HVX46" s="137"/>
      <c r="HVY46" s="137"/>
      <c r="HVZ46" s="137"/>
      <c r="HWA46" s="137"/>
      <c r="HWB46" s="137"/>
      <c r="HWC46" s="137"/>
      <c r="HWD46" s="137"/>
      <c r="HWE46" s="137"/>
      <c r="HWF46" s="137"/>
      <c r="HWG46" s="137"/>
      <c r="HWH46" s="137"/>
      <c r="HWI46" s="137"/>
      <c r="HWJ46" s="137"/>
      <c r="HWK46" s="137"/>
      <c r="HWL46" s="137"/>
      <c r="HWM46" s="137"/>
      <c r="HWN46" s="137"/>
      <c r="HWO46" s="137"/>
      <c r="HWP46" s="137"/>
      <c r="HWQ46" s="137"/>
      <c r="HWR46" s="137"/>
      <c r="HWS46" s="137"/>
      <c r="HWT46" s="137"/>
      <c r="HWU46" s="137"/>
      <c r="HWV46" s="137"/>
      <c r="HWW46" s="137"/>
      <c r="HWX46" s="137"/>
      <c r="HWY46" s="137"/>
      <c r="HWZ46" s="137"/>
      <c r="HXA46" s="137"/>
      <c r="HXB46" s="137"/>
      <c r="HXC46" s="137"/>
      <c r="HXD46" s="137"/>
      <c r="HXE46" s="137"/>
      <c r="HXF46" s="137"/>
      <c r="HXG46" s="137"/>
      <c r="HXH46" s="137"/>
      <c r="HXI46" s="137"/>
      <c r="HXJ46" s="137"/>
      <c r="HXK46" s="137"/>
      <c r="HXL46" s="137"/>
      <c r="HXM46" s="137"/>
      <c r="HXN46" s="137"/>
      <c r="HXO46" s="137"/>
      <c r="HXP46" s="137"/>
      <c r="HXQ46" s="137"/>
      <c r="HXR46" s="137"/>
      <c r="HXS46" s="137"/>
      <c r="HXT46" s="137"/>
      <c r="HXU46" s="137"/>
      <c r="HXV46" s="137"/>
      <c r="HXW46" s="137"/>
      <c r="HXX46" s="137"/>
      <c r="HXY46" s="137"/>
      <c r="HXZ46" s="137"/>
      <c r="HYA46" s="137"/>
      <c r="HYB46" s="137"/>
      <c r="HYC46" s="137"/>
      <c r="HYD46" s="137"/>
      <c r="HYE46" s="137"/>
      <c r="HYF46" s="137"/>
      <c r="HYG46" s="137"/>
      <c r="HYH46" s="137"/>
      <c r="HYI46" s="137"/>
      <c r="HYJ46" s="137"/>
      <c r="HYK46" s="137"/>
      <c r="HYL46" s="137"/>
      <c r="HYM46" s="137"/>
      <c r="HYN46" s="137"/>
      <c r="HYO46" s="137"/>
      <c r="HYP46" s="137"/>
      <c r="HYQ46" s="137"/>
      <c r="HYR46" s="137"/>
      <c r="HYS46" s="137"/>
      <c r="HYT46" s="137"/>
      <c r="HYU46" s="137"/>
      <c r="HYV46" s="137"/>
      <c r="HYW46" s="137"/>
      <c r="HYX46" s="137"/>
      <c r="HYY46" s="137"/>
      <c r="HYZ46" s="137"/>
      <c r="HZA46" s="137"/>
      <c r="HZB46" s="137"/>
      <c r="HZC46" s="137"/>
      <c r="HZD46" s="137"/>
      <c r="HZE46" s="137"/>
      <c r="HZF46" s="137"/>
      <c r="HZG46" s="137"/>
      <c r="HZH46" s="137"/>
      <c r="HZI46" s="137"/>
      <c r="HZJ46" s="137"/>
      <c r="HZK46" s="137"/>
      <c r="HZL46" s="137"/>
      <c r="HZM46" s="137"/>
      <c r="HZN46" s="137"/>
      <c r="HZO46" s="137"/>
      <c r="HZP46" s="137"/>
      <c r="HZQ46" s="137"/>
      <c r="HZR46" s="137"/>
      <c r="HZS46" s="137"/>
      <c r="HZT46" s="137"/>
      <c r="HZU46" s="137"/>
      <c r="HZV46" s="137"/>
      <c r="HZW46" s="137"/>
      <c r="HZX46" s="137"/>
      <c r="HZY46" s="137"/>
      <c r="HZZ46" s="137"/>
      <c r="IAA46" s="137"/>
      <c r="IAB46" s="137"/>
      <c r="IAC46" s="137"/>
      <c r="IAD46" s="137"/>
      <c r="IAE46" s="137"/>
      <c r="IAF46" s="137"/>
      <c r="IAG46" s="137"/>
      <c r="IAH46" s="137"/>
      <c r="IAI46" s="137"/>
      <c r="IAJ46" s="137"/>
      <c r="IAK46" s="137"/>
      <c r="IAL46" s="137"/>
      <c r="IAM46" s="137"/>
      <c r="IAN46" s="137"/>
      <c r="IAO46" s="137"/>
      <c r="IAP46" s="137"/>
      <c r="IAQ46" s="137"/>
      <c r="IAR46" s="137"/>
      <c r="IAS46" s="137"/>
      <c r="IAT46" s="137"/>
      <c r="IAU46" s="137"/>
      <c r="IAV46" s="137"/>
      <c r="IAW46" s="137"/>
      <c r="IAX46" s="137"/>
      <c r="IAY46" s="137"/>
      <c r="IAZ46" s="137"/>
      <c r="IBA46" s="137"/>
      <c r="IBB46" s="137"/>
      <c r="IBC46" s="137"/>
      <c r="IBD46" s="137"/>
      <c r="IBE46" s="137"/>
      <c r="IBF46" s="137"/>
      <c r="IBG46" s="137"/>
      <c r="IBH46" s="137"/>
      <c r="IBI46" s="137"/>
      <c r="IBJ46" s="137"/>
      <c r="IBK46" s="137"/>
      <c r="IBL46" s="137"/>
      <c r="IBM46" s="137"/>
      <c r="IBN46" s="137"/>
      <c r="IBO46" s="137"/>
      <c r="IBP46" s="137"/>
      <c r="IBQ46" s="137"/>
      <c r="IBR46" s="137"/>
      <c r="IBS46" s="137"/>
      <c r="IBT46" s="137"/>
      <c r="IBU46" s="137"/>
      <c r="IBV46" s="137"/>
      <c r="IBW46" s="137"/>
      <c r="IBX46" s="137"/>
      <c r="IBY46" s="137"/>
      <c r="IBZ46" s="137"/>
      <c r="ICA46" s="137"/>
      <c r="ICB46" s="137"/>
      <c r="ICC46" s="137"/>
      <c r="ICD46" s="137"/>
      <c r="ICE46" s="137"/>
      <c r="ICF46" s="137"/>
      <c r="ICG46" s="137"/>
      <c r="ICH46" s="137"/>
      <c r="ICI46" s="137"/>
      <c r="ICJ46" s="137"/>
      <c r="ICK46" s="137"/>
      <c r="ICL46" s="137"/>
      <c r="ICM46" s="137"/>
      <c r="ICN46" s="137"/>
      <c r="ICO46" s="137"/>
      <c r="ICP46" s="137"/>
      <c r="ICQ46" s="137"/>
      <c r="ICR46" s="137"/>
      <c r="ICS46" s="137"/>
      <c r="ICT46" s="137"/>
      <c r="ICU46" s="137"/>
      <c r="ICV46" s="137"/>
      <c r="ICW46" s="137"/>
      <c r="ICX46" s="137"/>
      <c r="ICY46" s="137"/>
      <c r="ICZ46" s="137"/>
      <c r="IDA46" s="137"/>
      <c r="IDB46" s="137"/>
      <c r="IDC46" s="137"/>
      <c r="IDD46" s="137"/>
      <c r="IDE46" s="137"/>
      <c r="IDF46" s="137"/>
      <c r="IDG46" s="137"/>
      <c r="IDH46" s="137"/>
      <c r="IDI46" s="137"/>
      <c r="IDJ46" s="137"/>
      <c r="IDK46" s="137"/>
      <c r="IDL46" s="137"/>
      <c r="IDM46" s="137"/>
      <c r="IDN46" s="137"/>
      <c r="IDO46" s="137"/>
      <c r="IDP46" s="137"/>
      <c r="IDQ46" s="137"/>
      <c r="IDR46" s="137"/>
      <c r="IDS46" s="137"/>
      <c r="IDT46" s="137"/>
      <c r="IDU46" s="137"/>
      <c r="IDV46" s="137"/>
      <c r="IDW46" s="137"/>
      <c r="IDX46" s="137"/>
      <c r="IDY46" s="137"/>
      <c r="IDZ46" s="137"/>
      <c r="IEA46" s="137"/>
      <c r="IEB46" s="137"/>
      <c r="IEC46" s="137"/>
      <c r="IED46" s="137"/>
      <c r="IEE46" s="137"/>
      <c r="IEF46" s="137"/>
      <c r="IEG46" s="137"/>
      <c r="IEH46" s="137"/>
      <c r="IEI46" s="137"/>
      <c r="IEJ46" s="137"/>
      <c r="IEK46" s="137"/>
      <c r="IEL46" s="137"/>
      <c r="IEM46" s="137"/>
      <c r="IEN46" s="137"/>
      <c r="IEO46" s="137"/>
      <c r="IEP46" s="137"/>
      <c r="IEQ46" s="137"/>
      <c r="IER46" s="137"/>
      <c r="IES46" s="137"/>
      <c r="IET46" s="137"/>
      <c r="IEU46" s="137"/>
      <c r="IEV46" s="137"/>
      <c r="IEW46" s="137"/>
      <c r="IEX46" s="137"/>
      <c r="IEY46" s="137"/>
      <c r="IEZ46" s="137"/>
      <c r="IFA46" s="137"/>
      <c r="IFB46" s="137"/>
      <c r="IFC46" s="137"/>
      <c r="IFD46" s="137"/>
      <c r="IFE46" s="137"/>
      <c r="IFF46" s="137"/>
      <c r="IFG46" s="137"/>
      <c r="IFH46" s="137"/>
      <c r="IFI46" s="137"/>
      <c r="IFJ46" s="137"/>
      <c r="IFK46" s="137"/>
      <c r="IFL46" s="137"/>
      <c r="IFM46" s="137"/>
      <c r="IFN46" s="137"/>
      <c r="IFO46" s="137"/>
      <c r="IFP46" s="137"/>
      <c r="IFQ46" s="137"/>
      <c r="IFR46" s="137"/>
      <c r="IFS46" s="137"/>
      <c r="IFT46" s="137"/>
      <c r="IFU46" s="137"/>
      <c r="IFV46" s="137"/>
      <c r="IFW46" s="137"/>
      <c r="IFX46" s="137"/>
      <c r="IFY46" s="137"/>
      <c r="IFZ46" s="137"/>
      <c r="IGA46" s="137"/>
      <c r="IGB46" s="137"/>
      <c r="IGC46" s="137"/>
      <c r="IGD46" s="137"/>
      <c r="IGE46" s="137"/>
      <c r="IGF46" s="137"/>
      <c r="IGG46" s="137"/>
      <c r="IGH46" s="137"/>
      <c r="IGI46" s="137"/>
      <c r="IGJ46" s="137"/>
      <c r="IGK46" s="137"/>
      <c r="IGL46" s="137"/>
      <c r="IGM46" s="137"/>
      <c r="IGN46" s="137"/>
      <c r="IGO46" s="137"/>
      <c r="IGP46" s="137"/>
      <c r="IGQ46" s="137"/>
      <c r="IGR46" s="137"/>
      <c r="IGS46" s="137"/>
      <c r="IGT46" s="137"/>
      <c r="IGU46" s="137"/>
      <c r="IGV46" s="137"/>
      <c r="IGW46" s="137"/>
      <c r="IGX46" s="137"/>
      <c r="IGY46" s="137"/>
      <c r="IGZ46" s="137"/>
      <c r="IHA46" s="137"/>
      <c r="IHB46" s="137"/>
      <c r="IHC46" s="137"/>
      <c r="IHD46" s="137"/>
      <c r="IHE46" s="137"/>
      <c r="IHF46" s="137"/>
      <c r="IHG46" s="137"/>
      <c r="IHH46" s="137"/>
      <c r="IHI46" s="137"/>
      <c r="IHJ46" s="137"/>
      <c r="IHK46" s="137"/>
      <c r="IHL46" s="137"/>
      <c r="IHM46" s="137"/>
      <c r="IHN46" s="137"/>
      <c r="IHO46" s="137"/>
      <c r="IHP46" s="137"/>
      <c r="IHQ46" s="137"/>
      <c r="IHR46" s="137"/>
      <c r="IHS46" s="137"/>
      <c r="IHT46" s="137"/>
      <c r="IHU46" s="137"/>
      <c r="IHV46" s="137"/>
      <c r="IHW46" s="137"/>
      <c r="IHX46" s="137"/>
      <c r="IHY46" s="137"/>
      <c r="IHZ46" s="137"/>
      <c r="IIA46" s="137"/>
      <c r="IIB46" s="137"/>
      <c r="IIC46" s="137"/>
      <c r="IID46" s="137"/>
      <c r="IIE46" s="137"/>
      <c r="IIF46" s="137"/>
      <c r="IIG46" s="137"/>
      <c r="IIH46" s="137"/>
      <c r="III46" s="137"/>
      <c r="IIJ46" s="137"/>
      <c r="IIK46" s="137"/>
      <c r="IIL46" s="137"/>
      <c r="IIM46" s="137"/>
      <c r="IIN46" s="137"/>
      <c r="IIO46" s="137"/>
      <c r="IIP46" s="137"/>
      <c r="IIQ46" s="137"/>
      <c r="IIR46" s="137"/>
      <c r="IIS46" s="137"/>
      <c r="IIT46" s="137"/>
      <c r="IIU46" s="137"/>
      <c r="IIV46" s="137"/>
      <c r="IIW46" s="137"/>
      <c r="IIX46" s="137"/>
      <c r="IIY46" s="137"/>
      <c r="IIZ46" s="137"/>
      <c r="IJA46" s="137"/>
      <c r="IJB46" s="137"/>
      <c r="IJC46" s="137"/>
      <c r="IJD46" s="137"/>
      <c r="IJE46" s="137"/>
      <c r="IJF46" s="137"/>
      <c r="IJG46" s="137"/>
      <c r="IJH46" s="137"/>
      <c r="IJI46" s="137"/>
      <c r="IJJ46" s="137"/>
      <c r="IJK46" s="137"/>
      <c r="IJL46" s="137"/>
      <c r="IJM46" s="137"/>
      <c r="IJN46" s="137"/>
      <c r="IJO46" s="137"/>
      <c r="IJP46" s="137"/>
      <c r="IJQ46" s="137"/>
      <c r="IJR46" s="137"/>
      <c r="IJS46" s="137"/>
      <c r="IJT46" s="137"/>
      <c r="IJU46" s="137"/>
      <c r="IJV46" s="137"/>
      <c r="IJW46" s="137"/>
      <c r="IJX46" s="137"/>
      <c r="IJY46" s="137"/>
      <c r="IJZ46" s="137"/>
      <c r="IKA46" s="137"/>
      <c r="IKB46" s="137"/>
      <c r="IKC46" s="137"/>
      <c r="IKD46" s="137"/>
      <c r="IKE46" s="137"/>
      <c r="IKF46" s="137"/>
      <c r="IKG46" s="137"/>
      <c r="IKH46" s="137"/>
      <c r="IKI46" s="137"/>
      <c r="IKJ46" s="137"/>
      <c r="IKK46" s="137"/>
      <c r="IKL46" s="137"/>
      <c r="IKM46" s="137"/>
      <c r="IKN46" s="137"/>
      <c r="IKO46" s="137"/>
      <c r="IKP46" s="137"/>
      <c r="IKQ46" s="137"/>
      <c r="IKR46" s="137"/>
      <c r="IKS46" s="137"/>
      <c r="IKT46" s="137"/>
      <c r="IKU46" s="137"/>
      <c r="IKV46" s="137"/>
      <c r="IKW46" s="137"/>
      <c r="IKX46" s="137"/>
      <c r="IKY46" s="137"/>
      <c r="IKZ46" s="137"/>
      <c r="ILA46" s="137"/>
      <c r="ILB46" s="137"/>
      <c r="ILC46" s="137"/>
      <c r="ILD46" s="137"/>
      <c r="ILE46" s="137"/>
      <c r="ILF46" s="137"/>
      <c r="ILG46" s="137"/>
      <c r="ILH46" s="137"/>
      <c r="ILI46" s="137"/>
      <c r="ILJ46" s="137"/>
      <c r="ILK46" s="137"/>
      <c r="ILL46" s="137"/>
      <c r="ILM46" s="137"/>
      <c r="ILN46" s="137"/>
      <c r="ILO46" s="137"/>
      <c r="ILP46" s="137"/>
      <c r="ILQ46" s="137"/>
      <c r="ILR46" s="137"/>
      <c r="ILS46" s="137"/>
      <c r="ILT46" s="137"/>
      <c r="ILU46" s="137"/>
      <c r="ILV46" s="137"/>
      <c r="ILW46" s="137"/>
      <c r="ILX46" s="137"/>
      <c r="ILY46" s="137"/>
      <c r="ILZ46" s="137"/>
      <c r="IMA46" s="137"/>
      <c r="IMB46" s="137"/>
      <c r="IMC46" s="137"/>
      <c r="IMD46" s="137"/>
      <c r="IME46" s="137"/>
      <c r="IMF46" s="137"/>
      <c r="IMG46" s="137"/>
      <c r="IMH46" s="137"/>
      <c r="IMI46" s="137"/>
      <c r="IMJ46" s="137"/>
      <c r="IMK46" s="137"/>
      <c r="IML46" s="137"/>
      <c r="IMM46" s="137"/>
      <c r="IMN46" s="137"/>
      <c r="IMO46" s="137"/>
      <c r="IMP46" s="137"/>
      <c r="IMQ46" s="137"/>
      <c r="IMR46" s="137"/>
      <c r="IMS46" s="137"/>
      <c r="IMT46" s="137"/>
      <c r="IMU46" s="137"/>
      <c r="IMV46" s="137"/>
      <c r="IMW46" s="137"/>
      <c r="IMX46" s="137"/>
      <c r="IMY46" s="137"/>
      <c r="IMZ46" s="137"/>
      <c r="INA46" s="137"/>
      <c r="INB46" s="137"/>
      <c r="INC46" s="137"/>
      <c r="IND46" s="137"/>
      <c r="INE46" s="137"/>
      <c r="INF46" s="137"/>
      <c r="ING46" s="137"/>
      <c r="INH46" s="137"/>
      <c r="INI46" s="137"/>
      <c r="INJ46" s="137"/>
      <c r="INK46" s="137"/>
      <c r="INL46" s="137"/>
      <c r="INM46" s="137"/>
      <c r="INN46" s="137"/>
      <c r="INO46" s="137"/>
      <c r="INP46" s="137"/>
      <c r="INQ46" s="137"/>
      <c r="INR46" s="137"/>
      <c r="INS46" s="137"/>
      <c r="INT46" s="137"/>
      <c r="INU46" s="137"/>
      <c r="INV46" s="137"/>
      <c r="INW46" s="137"/>
      <c r="INX46" s="137"/>
      <c r="INY46" s="137"/>
      <c r="INZ46" s="137"/>
      <c r="IOA46" s="137"/>
      <c r="IOB46" s="137"/>
      <c r="IOC46" s="137"/>
      <c r="IOD46" s="137"/>
      <c r="IOE46" s="137"/>
      <c r="IOF46" s="137"/>
      <c r="IOG46" s="137"/>
      <c r="IOH46" s="137"/>
      <c r="IOI46" s="137"/>
      <c r="IOJ46" s="137"/>
      <c r="IOK46" s="137"/>
      <c r="IOL46" s="137"/>
      <c r="IOM46" s="137"/>
      <c r="ION46" s="137"/>
      <c r="IOO46" s="137"/>
      <c r="IOP46" s="137"/>
      <c r="IOQ46" s="137"/>
      <c r="IOR46" s="137"/>
      <c r="IOS46" s="137"/>
      <c r="IOT46" s="137"/>
      <c r="IOU46" s="137"/>
      <c r="IOV46" s="137"/>
      <c r="IOW46" s="137"/>
      <c r="IOX46" s="137"/>
      <c r="IOY46" s="137"/>
      <c r="IOZ46" s="137"/>
      <c r="IPA46" s="137"/>
      <c r="IPB46" s="137"/>
      <c r="IPC46" s="137"/>
      <c r="IPD46" s="137"/>
      <c r="IPE46" s="137"/>
      <c r="IPF46" s="137"/>
      <c r="IPG46" s="137"/>
      <c r="IPH46" s="137"/>
      <c r="IPI46" s="137"/>
      <c r="IPJ46" s="137"/>
      <c r="IPK46" s="137"/>
      <c r="IPL46" s="137"/>
      <c r="IPM46" s="137"/>
      <c r="IPN46" s="137"/>
      <c r="IPO46" s="137"/>
      <c r="IPP46" s="137"/>
      <c r="IPQ46" s="137"/>
      <c r="IPR46" s="137"/>
      <c r="IPS46" s="137"/>
      <c r="IPT46" s="137"/>
      <c r="IPU46" s="137"/>
      <c r="IPV46" s="137"/>
      <c r="IPW46" s="137"/>
      <c r="IPX46" s="137"/>
      <c r="IPY46" s="137"/>
      <c r="IPZ46" s="137"/>
      <c r="IQA46" s="137"/>
      <c r="IQB46" s="137"/>
      <c r="IQC46" s="137"/>
      <c r="IQD46" s="137"/>
      <c r="IQE46" s="137"/>
      <c r="IQF46" s="137"/>
      <c r="IQG46" s="137"/>
      <c r="IQH46" s="137"/>
      <c r="IQI46" s="137"/>
      <c r="IQJ46" s="137"/>
      <c r="IQK46" s="137"/>
      <c r="IQL46" s="137"/>
      <c r="IQM46" s="137"/>
      <c r="IQN46" s="137"/>
      <c r="IQO46" s="137"/>
      <c r="IQP46" s="137"/>
      <c r="IQQ46" s="137"/>
      <c r="IQR46" s="137"/>
      <c r="IQS46" s="137"/>
      <c r="IQT46" s="137"/>
      <c r="IQU46" s="137"/>
      <c r="IQV46" s="137"/>
      <c r="IQW46" s="137"/>
      <c r="IQX46" s="137"/>
      <c r="IQY46" s="137"/>
      <c r="IQZ46" s="137"/>
      <c r="IRA46" s="137"/>
      <c r="IRB46" s="137"/>
      <c r="IRC46" s="137"/>
      <c r="IRD46" s="137"/>
      <c r="IRE46" s="137"/>
      <c r="IRF46" s="137"/>
      <c r="IRG46" s="137"/>
      <c r="IRH46" s="137"/>
      <c r="IRI46" s="137"/>
      <c r="IRJ46" s="137"/>
      <c r="IRK46" s="137"/>
      <c r="IRL46" s="137"/>
      <c r="IRM46" s="137"/>
      <c r="IRN46" s="137"/>
      <c r="IRO46" s="137"/>
      <c r="IRP46" s="137"/>
      <c r="IRQ46" s="137"/>
      <c r="IRR46" s="137"/>
      <c r="IRS46" s="137"/>
      <c r="IRT46" s="137"/>
      <c r="IRU46" s="137"/>
      <c r="IRV46" s="137"/>
      <c r="IRW46" s="137"/>
      <c r="IRX46" s="137"/>
      <c r="IRY46" s="137"/>
      <c r="IRZ46" s="137"/>
      <c r="ISA46" s="137"/>
      <c r="ISB46" s="137"/>
      <c r="ISC46" s="137"/>
      <c r="ISD46" s="137"/>
      <c r="ISE46" s="137"/>
      <c r="ISF46" s="137"/>
      <c r="ISG46" s="137"/>
      <c r="ISH46" s="137"/>
      <c r="ISI46" s="137"/>
      <c r="ISJ46" s="137"/>
      <c r="ISK46" s="137"/>
      <c r="ISL46" s="137"/>
      <c r="ISM46" s="137"/>
      <c r="ISN46" s="137"/>
      <c r="ISO46" s="137"/>
      <c r="ISP46" s="137"/>
      <c r="ISQ46" s="137"/>
      <c r="ISR46" s="137"/>
      <c r="ISS46" s="137"/>
      <c r="IST46" s="137"/>
      <c r="ISU46" s="137"/>
      <c r="ISV46" s="137"/>
      <c r="ISW46" s="137"/>
      <c r="ISX46" s="137"/>
      <c r="ISY46" s="137"/>
      <c r="ISZ46" s="137"/>
      <c r="ITA46" s="137"/>
      <c r="ITB46" s="137"/>
      <c r="ITC46" s="137"/>
      <c r="ITD46" s="137"/>
      <c r="ITE46" s="137"/>
      <c r="ITF46" s="137"/>
      <c r="ITG46" s="137"/>
      <c r="ITH46" s="137"/>
      <c r="ITI46" s="137"/>
      <c r="ITJ46" s="137"/>
      <c r="ITK46" s="137"/>
      <c r="ITL46" s="137"/>
      <c r="ITM46" s="137"/>
      <c r="ITN46" s="137"/>
      <c r="ITO46" s="137"/>
      <c r="ITP46" s="137"/>
      <c r="ITQ46" s="137"/>
      <c r="ITR46" s="137"/>
      <c r="ITS46" s="137"/>
      <c r="ITT46" s="137"/>
      <c r="ITU46" s="137"/>
      <c r="ITV46" s="137"/>
      <c r="ITW46" s="137"/>
      <c r="ITX46" s="137"/>
      <c r="ITY46" s="137"/>
      <c r="ITZ46" s="137"/>
      <c r="IUA46" s="137"/>
      <c r="IUB46" s="137"/>
      <c r="IUC46" s="137"/>
      <c r="IUD46" s="137"/>
      <c r="IUE46" s="137"/>
      <c r="IUF46" s="137"/>
      <c r="IUG46" s="137"/>
      <c r="IUH46" s="137"/>
      <c r="IUI46" s="137"/>
      <c r="IUJ46" s="137"/>
      <c r="IUK46" s="137"/>
      <c r="IUL46" s="137"/>
      <c r="IUM46" s="137"/>
      <c r="IUN46" s="137"/>
      <c r="IUO46" s="137"/>
      <c r="IUP46" s="137"/>
      <c r="IUQ46" s="137"/>
      <c r="IUR46" s="137"/>
      <c r="IUS46" s="137"/>
      <c r="IUT46" s="137"/>
      <c r="IUU46" s="137"/>
      <c r="IUV46" s="137"/>
      <c r="IUW46" s="137"/>
      <c r="IUX46" s="137"/>
      <c r="IUY46" s="137"/>
      <c r="IUZ46" s="137"/>
      <c r="IVA46" s="137"/>
      <c r="IVB46" s="137"/>
      <c r="IVC46" s="137"/>
      <c r="IVD46" s="137"/>
      <c r="IVE46" s="137"/>
      <c r="IVF46" s="137"/>
      <c r="IVG46" s="137"/>
      <c r="IVH46" s="137"/>
      <c r="IVI46" s="137"/>
      <c r="IVJ46" s="137"/>
      <c r="IVK46" s="137"/>
      <c r="IVL46" s="137"/>
      <c r="IVM46" s="137"/>
      <c r="IVN46" s="137"/>
      <c r="IVO46" s="137"/>
      <c r="IVP46" s="137"/>
      <c r="IVQ46" s="137"/>
      <c r="IVR46" s="137"/>
      <c r="IVS46" s="137"/>
      <c r="IVT46" s="137"/>
      <c r="IVU46" s="137"/>
      <c r="IVV46" s="137"/>
      <c r="IVW46" s="137"/>
      <c r="IVX46" s="137"/>
      <c r="IVY46" s="137"/>
      <c r="IVZ46" s="137"/>
      <c r="IWA46" s="137"/>
      <c r="IWB46" s="137"/>
      <c r="IWC46" s="137"/>
      <c r="IWD46" s="137"/>
      <c r="IWE46" s="137"/>
      <c r="IWF46" s="137"/>
      <c r="IWG46" s="137"/>
      <c r="IWH46" s="137"/>
      <c r="IWI46" s="137"/>
      <c r="IWJ46" s="137"/>
      <c r="IWK46" s="137"/>
      <c r="IWL46" s="137"/>
      <c r="IWM46" s="137"/>
      <c r="IWN46" s="137"/>
      <c r="IWO46" s="137"/>
      <c r="IWP46" s="137"/>
      <c r="IWQ46" s="137"/>
      <c r="IWR46" s="137"/>
      <c r="IWS46" s="137"/>
      <c r="IWT46" s="137"/>
      <c r="IWU46" s="137"/>
      <c r="IWV46" s="137"/>
      <c r="IWW46" s="137"/>
      <c r="IWX46" s="137"/>
      <c r="IWY46" s="137"/>
      <c r="IWZ46" s="137"/>
      <c r="IXA46" s="137"/>
      <c r="IXB46" s="137"/>
      <c r="IXC46" s="137"/>
      <c r="IXD46" s="137"/>
      <c r="IXE46" s="137"/>
      <c r="IXF46" s="137"/>
      <c r="IXG46" s="137"/>
      <c r="IXH46" s="137"/>
      <c r="IXI46" s="137"/>
      <c r="IXJ46" s="137"/>
      <c r="IXK46" s="137"/>
      <c r="IXL46" s="137"/>
      <c r="IXM46" s="137"/>
      <c r="IXN46" s="137"/>
      <c r="IXO46" s="137"/>
      <c r="IXP46" s="137"/>
      <c r="IXQ46" s="137"/>
      <c r="IXR46" s="137"/>
      <c r="IXS46" s="137"/>
      <c r="IXT46" s="137"/>
      <c r="IXU46" s="137"/>
      <c r="IXV46" s="137"/>
      <c r="IXW46" s="137"/>
      <c r="IXX46" s="137"/>
      <c r="IXY46" s="137"/>
      <c r="IXZ46" s="137"/>
      <c r="IYA46" s="137"/>
      <c r="IYB46" s="137"/>
      <c r="IYC46" s="137"/>
      <c r="IYD46" s="137"/>
      <c r="IYE46" s="137"/>
      <c r="IYF46" s="137"/>
      <c r="IYG46" s="137"/>
      <c r="IYH46" s="137"/>
      <c r="IYI46" s="137"/>
      <c r="IYJ46" s="137"/>
      <c r="IYK46" s="137"/>
      <c r="IYL46" s="137"/>
      <c r="IYM46" s="137"/>
      <c r="IYN46" s="137"/>
      <c r="IYO46" s="137"/>
      <c r="IYP46" s="137"/>
      <c r="IYQ46" s="137"/>
      <c r="IYR46" s="137"/>
      <c r="IYS46" s="137"/>
      <c r="IYT46" s="137"/>
      <c r="IYU46" s="137"/>
      <c r="IYV46" s="137"/>
      <c r="IYW46" s="137"/>
      <c r="IYX46" s="137"/>
      <c r="IYY46" s="137"/>
      <c r="IYZ46" s="137"/>
      <c r="IZA46" s="137"/>
      <c r="IZB46" s="137"/>
      <c r="IZC46" s="137"/>
      <c r="IZD46" s="137"/>
      <c r="IZE46" s="137"/>
      <c r="IZF46" s="137"/>
      <c r="IZG46" s="137"/>
      <c r="IZH46" s="137"/>
      <c r="IZI46" s="137"/>
      <c r="IZJ46" s="137"/>
      <c r="IZK46" s="137"/>
      <c r="IZL46" s="137"/>
      <c r="IZM46" s="137"/>
      <c r="IZN46" s="137"/>
      <c r="IZO46" s="137"/>
      <c r="IZP46" s="137"/>
      <c r="IZQ46" s="137"/>
      <c r="IZR46" s="137"/>
      <c r="IZS46" s="137"/>
      <c r="IZT46" s="137"/>
      <c r="IZU46" s="137"/>
      <c r="IZV46" s="137"/>
      <c r="IZW46" s="137"/>
      <c r="IZX46" s="137"/>
      <c r="IZY46" s="137"/>
      <c r="IZZ46" s="137"/>
      <c r="JAA46" s="137"/>
      <c r="JAB46" s="137"/>
      <c r="JAC46" s="137"/>
      <c r="JAD46" s="137"/>
      <c r="JAE46" s="137"/>
      <c r="JAF46" s="137"/>
      <c r="JAG46" s="137"/>
      <c r="JAH46" s="137"/>
      <c r="JAI46" s="137"/>
      <c r="JAJ46" s="137"/>
      <c r="JAK46" s="137"/>
      <c r="JAL46" s="137"/>
      <c r="JAM46" s="137"/>
      <c r="JAN46" s="137"/>
      <c r="JAO46" s="137"/>
      <c r="JAP46" s="137"/>
      <c r="JAQ46" s="137"/>
      <c r="JAR46" s="137"/>
      <c r="JAS46" s="137"/>
      <c r="JAT46" s="137"/>
      <c r="JAU46" s="137"/>
      <c r="JAV46" s="137"/>
      <c r="JAW46" s="137"/>
      <c r="JAX46" s="137"/>
      <c r="JAY46" s="137"/>
      <c r="JAZ46" s="137"/>
      <c r="JBA46" s="137"/>
      <c r="JBB46" s="137"/>
      <c r="JBC46" s="137"/>
      <c r="JBD46" s="137"/>
      <c r="JBE46" s="137"/>
      <c r="JBF46" s="137"/>
      <c r="JBG46" s="137"/>
      <c r="JBH46" s="137"/>
      <c r="JBI46" s="137"/>
      <c r="JBJ46" s="137"/>
      <c r="JBK46" s="137"/>
      <c r="JBL46" s="137"/>
      <c r="JBM46" s="137"/>
      <c r="JBN46" s="137"/>
      <c r="JBO46" s="137"/>
      <c r="JBP46" s="137"/>
      <c r="JBQ46" s="137"/>
      <c r="JBR46" s="137"/>
      <c r="JBS46" s="137"/>
      <c r="JBT46" s="137"/>
      <c r="JBU46" s="137"/>
      <c r="JBV46" s="137"/>
      <c r="JBW46" s="137"/>
      <c r="JBX46" s="137"/>
      <c r="JBY46" s="137"/>
      <c r="JBZ46" s="137"/>
      <c r="JCA46" s="137"/>
      <c r="JCB46" s="137"/>
      <c r="JCC46" s="137"/>
      <c r="JCD46" s="137"/>
      <c r="JCE46" s="137"/>
      <c r="JCF46" s="137"/>
      <c r="JCG46" s="137"/>
      <c r="JCH46" s="137"/>
      <c r="JCI46" s="137"/>
      <c r="JCJ46" s="137"/>
      <c r="JCK46" s="137"/>
      <c r="JCL46" s="137"/>
      <c r="JCM46" s="137"/>
      <c r="JCN46" s="137"/>
      <c r="JCO46" s="137"/>
      <c r="JCP46" s="137"/>
      <c r="JCQ46" s="137"/>
      <c r="JCR46" s="137"/>
      <c r="JCS46" s="137"/>
      <c r="JCT46" s="137"/>
      <c r="JCU46" s="137"/>
      <c r="JCV46" s="137"/>
      <c r="JCW46" s="137"/>
      <c r="JCX46" s="137"/>
      <c r="JCY46" s="137"/>
      <c r="JCZ46" s="137"/>
      <c r="JDA46" s="137"/>
      <c r="JDB46" s="137"/>
      <c r="JDC46" s="137"/>
      <c r="JDD46" s="137"/>
      <c r="JDE46" s="137"/>
      <c r="JDF46" s="137"/>
      <c r="JDG46" s="137"/>
      <c r="JDH46" s="137"/>
      <c r="JDI46" s="137"/>
      <c r="JDJ46" s="137"/>
      <c r="JDK46" s="137"/>
      <c r="JDL46" s="137"/>
      <c r="JDM46" s="137"/>
      <c r="JDN46" s="137"/>
      <c r="JDO46" s="137"/>
      <c r="JDP46" s="137"/>
      <c r="JDQ46" s="137"/>
      <c r="JDR46" s="137"/>
      <c r="JDS46" s="137"/>
      <c r="JDT46" s="137"/>
      <c r="JDU46" s="137"/>
      <c r="JDV46" s="137"/>
      <c r="JDW46" s="137"/>
      <c r="JDX46" s="137"/>
      <c r="JDY46" s="137"/>
      <c r="JDZ46" s="137"/>
      <c r="JEA46" s="137"/>
      <c r="JEB46" s="137"/>
      <c r="JEC46" s="137"/>
      <c r="JED46" s="137"/>
      <c r="JEE46" s="137"/>
      <c r="JEF46" s="137"/>
      <c r="JEG46" s="137"/>
      <c r="JEH46" s="137"/>
      <c r="JEI46" s="137"/>
      <c r="JEJ46" s="137"/>
      <c r="JEK46" s="137"/>
      <c r="JEL46" s="137"/>
      <c r="JEM46" s="137"/>
      <c r="JEN46" s="137"/>
      <c r="JEO46" s="137"/>
      <c r="JEP46" s="137"/>
      <c r="JEQ46" s="137"/>
      <c r="JER46" s="137"/>
      <c r="JES46" s="137"/>
      <c r="JET46" s="137"/>
      <c r="JEU46" s="137"/>
      <c r="JEV46" s="137"/>
      <c r="JEW46" s="137"/>
      <c r="JEX46" s="137"/>
      <c r="JEY46" s="137"/>
      <c r="JEZ46" s="137"/>
      <c r="JFA46" s="137"/>
      <c r="JFB46" s="137"/>
      <c r="JFC46" s="137"/>
      <c r="JFD46" s="137"/>
      <c r="JFE46" s="137"/>
      <c r="JFF46" s="137"/>
      <c r="JFG46" s="137"/>
      <c r="JFH46" s="137"/>
      <c r="JFI46" s="137"/>
      <c r="JFJ46" s="137"/>
      <c r="JFK46" s="137"/>
      <c r="JFL46" s="137"/>
      <c r="JFM46" s="137"/>
      <c r="JFN46" s="137"/>
      <c r="JFO46" s="137"/>
      <c r="JFP46" s="137"/>
      <c r="JFQ46" s="137"/>
      <c r="JFR46" s="137"/>
      <c r="JFS46" s="137"/>
      <c r="JFT46" s="137"/>
      <c r="JFU46" s="137"/>
      <c r="JFV46" s="137"/>
      <c r="JFW46" s="137"/>
      <c r="JFX46" s="137"/>
      <c r="JFY46" s="137"/>
      <c r="JFZ46" s="137"/>
      <c r="JGA46" s="137"/>
      <c r="JGB46" s="137"/>
      <c r="JGC46" s="137"/>
      <c r="JGD46" s="137"/>
      <c r="JGE46" s="137"/>
      <c r="JGF46" s="137"/>
      <c r="JGG46" s="137"/>
      <c r="JGH46" s="137"/>
      <c r="JGI46" s="137"/>
      <c r="JGJ46" s="137"/>
      <c r="JGK46" s="137"/>
      <c r="JGL46" s="137"/>
      <c r="JGM46" s="137"/>
      <c r="JGN46" s="137"/>
      <c r="JGO46" s="137"/>
      <c r="JGP46" s="137"/>
      <c r="JGQ46" s="137"/>
      <c r="JGR46" s="137"/>
      <c r="JGS46" s="137"/>
      <c r="JGT46" s="137"/>
      <c r="JGU46" s="137"/>
      <c r="JGV46" s="137"/>
      <c r="JGW46" s="137"/>
      <c r="JGX46" s="137"/>
      <c r="JGY46" s="137"/>
      <c r="JGZ46" s="137"/>
      <c r="JHA46" s="137"/>
      <c r="JHB46" s="137"/>
      <c r="JHC46" s="137"/>
      <c r="JHD46" s="137"/>
      <c r="JHE46" s="137"/>
      <c r="JHF46" s="137"/>
      <c r="JHG46" s="137"/>
      <c r="JHH46" s="137"/>
      <c r="JHI46" s="137"/>
      <c r="JHJ46" s="137"/>
      <c r="JHK46" s="137"/>
      <c r="JHL46" s="137"/>
      <c r="JHM46" s="137"/>
      <c r="JHN46" s="137"/>
      <c r="JHO46" s="137"/>
      <c r="JHP46" s="137"/>
      <c r="JHQ46" s="137"/>
      <c r="JHR46" s="137"/>
      <c r="JHS46" s="137"/>
      <c r="JHT46" s="137"/>
      <c r="JHU46" s="137"/>
      <c r="JHV46" s="137"/>
      <c r="JHW46" s="137"/>
      <c r="JHX46" s="137"/>
      <c r="JHY46" s="137"/>
      <c r="JHZ46" s="137"/>
      <c r="JIA46" s="137"/>
      <c r="JIB46" s="137"/>
      <c r="JIC46" s="137"/>
      <c r="JID46" s="137"/>
      <c r="JIE46" s="137"/>
      <c r="JIF46" s="137"/>
      <c r="JIG46" s="137"/>
      <c r="JIH46" s="137"/>
      <c r="JII46" s="137"/>
      <c r="JIJ46" s="137"/>
      <c r="JIK46" s="137"/>
      <c r="JIL46" s="137"/>
      <c r="JIM46" s="137"/>
      <c r="JIN46" s="137"/>
      <c r="JIO46" s="137"/>
      <c r="JIP46" s="137"/>
      <c r="JIQ46" s="137"/>
      <c r="JIR46" s="137"/>
      <c r="JIS46" s="137"/>
      <c r="JIT46" s="137"/>
      <c r="JIU46" s="137"/>
      <c r="JIV46" s="137"/>
      <c r="JIW46" s="137"/>
      <c r="JIX46" s="137"/>
      <c r="JIY46" s="137"/>
      <c r="JIZ46" s="137"/>
      <c r="JJA46" s="137"/>
      <c r="JJB46" s="137"/>
      <c r="JJC46" s="137"/>
      <c r="JJD46" s="137"/>
      <c r="JJE46" s="137"/>
      <c r="JJF46" s="137"/>
      <c r="JJG46" s="137"/>
      <c r="JJH46" s="137"/>
      <c r="JJI46" s="137"/>
      <c r="JJJ46" s="137"/>
      <c r="JJK46" s="137"/>
      <c r="JJL46" s="137"/>
      <c r="JJM46" s="137"/>
      <c r="JJN46" s="137"/>
      <c r="JJO46" s="137"/>
      <c r="JJP46" s="137"/>
      <c r="JJQ46" s="137"/>
      <c r="JJR46" s="137"/>
      <c r="JJS46" s="137"/>
      <c r="JJT46" s="137"/>
      <c r="JJU46" s="137"/>
      <c r="JJV46" s="137"/>
      <c r="JJW46" s="137"/>
      <c r="JJX46" s="137"/>
      <c r="JJY46" s="137"/>
      <c r="JJZ46" s="137"/>
      <c r="JKA46" s="137"/>
      <c r="JKB46" s="137"/>
      <c r="JKC46" s="137"/>
      <c r="JKD46" s="137"/>
      <c r="JKE46" s="137"/>
      <c r="JKF46" s="137"/>
      <c r="JKG46" s="137"/>
      <c r="JKH46" s="137"/>
      <c r="JKI46" s="137"/>
      <c r="JKJ46" s="137"/>
      <c r="JKK46" s="137"/>
      <c r="JKL46" s="137"/>
      <c r="JKM46" s="137"/>
      <c r="JKN46" s="137"/>
      <c r="JKO46" s="137"/>
      <c r="JKP46" s="137"/>
      <c r="JKQ46" s="137"/>
      <c r="JKR46" s="137"/>
      <c r="JKS46" s="137"/>
      <c r="JKT46" s="137"/>
      <c r="JKU46" s="137"/>
      <c r="JKV46" s="137"/>
      <c r="JKW46" s="137"/>
      <c r="JKX46" s="137"/>
      <c r="JKY46" s="137"/>
      <c r="JKZ46" s="137"/>
      <c r="JLA46" s="137"/>
      <c r="JLB46" s="137"/>
      <c r="JLC46" s="137"/>
      <c r="JLD46" s="137"/>
      <c r="JLE46" s="137"/>
      <c r="JLF46" s="137"/>
      <c r="JLG46" s="137"/>
      <c r="JLH46" s="137"/>
      <c r="JLI46" s="137"/>
      <c r="JLJ46" s="137"/>
      <c r="JLK46" s="137"/>
      <c r="JLL46" s="137"/>
      <c r="JLM46" s="137"/>
      <c r="JLN46" s="137"/>
      <c r="JLO46" s="137"/>
      <c r="JLP46" s="137"/>
      <c r="JLQ46" s="137"/>
      <c r="JLR46" s="137"/>
      <c r="JLS46" s="137"/>
      <c r="JLT46" s="137"/>
      <c r="JLU46" s="137"/>
      <c r="JLV46" s="137"/>
      <c r="JLW46" s="137"/>
      <c r="JLX46" s="137"/>
      <c r="JLY46" s="137"/>
      <c r="JLZ46" s="137"/>
      <c r="JMA46" s="137"/>
      <c r="JMB46" s="137"/>
      <c r="JMC46" s="137"/>
      <c r="JMD46" s="137"/>
      <c r="JME46" s="137"/>
      <c r="JMF46" s="137"/>
      <c r="JMG46" s="137"/>
      <c r="JMH46" s="137"/>
      <c r="JMI46" s="137"/>
      <c r="JMJ46" s="137"/>
      <c r="JMK46" s="137"/>
      <c r="JML46" s="137"/>
      <c r="JMM46" s="137"/>
      <c r="JMN46" s="137"/>
      <c r="JMO46" s="137"/>
      <c r="JMP46" s="137"/>
      <c r="JMQ46" s="137"/>
      <c r="JMR46" s="137"/>
      <c r="JMS46" s="137"/>
      <c r="JMT46" s="137"/>
      <c r="JMU46" s="137"/>
      <c r="JMV46" s="137"/>
      <c r="JMW46" s="137"/>
      <c r="JMX46" s="137"/>
      <c r="JMY46" s="137"/>
      <c r="JMZ46" s="137"/>
      <c r="JNA46" s="137"/>
      <c r="JNB46" s="137"/>
      <c r="JNC46" s="137"/>
      <c r="JND46" s="137"/>
      <c r="JNE46" s="137"/>
      <c r="JNF46" s="137"/>
      <c r="JNG46" s="137"/>
      <c r="JNH46" s="137"/>
      <c r="JNI46" s="137"/>
      <c r="JNJ46" s="137"/>
      <c r="JNK46" s="137"/>
      <c r="JNL46" s="137"/>
      <c r="JNM46" s="137"/>
      <c r="JNN46" s="137"/>
      <c r="JNO46" s="137"/>
      <c r="JNP46" s="137"/>
      <c r="JNQ46" s="137"/>
      <c r="JNR46" s="137"/>
      <c r="JNS46" s="137"/>
      <c r="JNT46" s="137"/>
      <c r="JNU46" s="137"/>
      <c r="JNV46" s="137"/>
      <c r="JNW46" s="137"/>
      <c r="JNX46" s="137"/>
      <c r="JNY46" s="137"/>
      <c r="JNZ46" s="137"/>
      <c r="JOA46" s="137"/>
      <c r="JOB46" s="137"/>
      <c r="JOC46" s="137"/>
      <c r="JOD46" s="137"/>
      <c r="JOE46" s="137"/>
      <c r="JOF46" s="137"/>
      <c r="JOG46" s="137"/>
      <c r="JOH46" s="137"/>
      <c r="JOI46" s="137"/>
      <c r="JOJ46" s="137"/>
      <c r="JOK46" s="137"/>
      <c r="JOL46" s="137"/>
      <c r="JOM46" s="137"/>
      <c r="JON46" s="137"/>
      <c r="JOO46" s="137"/>
      <c r="JOP46" s="137"/>
      <c r="JOQ46" s="137"/>
      <c r="JOR46" s="137"/>
      <c r="JOS46" s="137"/>
      <c r="JOT46" s="137"/>
      <c r="JOU46" s="137"/>
      <c r="JOV46" s="137"/>
      <c r="JOW46" s="137"/>
      <c r="JOX46" s="137"/>
      <c r="JOY46" s="137"/>
      <c r="JOZ46" s="137"/>
      <c r="JPA46" s="137"/>
      <c r="JPB46" s="137"/>
      <c r="JPC46" s="137"/>
      <c r="JPD46" s="137"/>
      <c r="JPE46" s="137"/>
      <c r="JPF46" s="137"/>
      <c r="JPG46" s="137"/>
      <c r="JPH46" s="137"/>
      <c r="JPI46" s="137"/>
      <c r="JPJ46" s="137"/>
      <c r="JPK46" s="137"/>
      <c r="JPL46" s="137"/>
      <c r="JPM46" s="137"/>
      <c r="JPN46" s="137"/>
      <c r="JPO46" s="137"/>
      <c r="JPP46" s="137"/>
      <c r="JPQ46" s="137"/>
      <c r="JPR46" s="137"/>
      <c r="JPS46" s="137"/>
      <c r="JPT46" s="137"/>
      <c r="JPU46" s="137"/>
      <c r="JPV46" s="137"/>
      <c r="JPW46" s="137"/>
      <c r="JPX46" s="137"/>
      <c r="JPY46" s="137"/>
      <c r="JPZ46" s="137"/>
      <c r="JQA46" s="137"/>
      <c r="JQB46" s="137"/>
      <c r="JQC46" s="137"/>
      <c r="JQD46" s="137"/>
      <c r="JQE46" s="137"/>
      <c r="JQF46" s="137"/>
      <c r="JQG46" s="137"/>
      <c r="JQH46" s="137"/>
      <c r="JQI46" s="137"/>
      <c r="JQJ46" s="137"/>
      <c r="JQK46" s="137"/>
      <c r="JQL46" s="137"/>
      <c r="JQM46" s="137"/>
      <c r="JQN46" s="137"/>
      <c r="JQO46" s="137"/>
      <c r="JQP46" s="137"/>
      <c r="JQQ46" s="137"/>
      <c r="JQR46" s="137"/>
      <c r="JQS46" s="137"/>
      <c r="JQT46" s="137"/>
      <c r="JQU46" s="137"/>
      <c r="JQV46" s="137"/>
      <c r="JQW46" s="137"/>
      <c r="JQX46" s="137"/>
      <c r="JQY46" s="137"/>
      <c r="JQZ46" s="137"/>
      <c r="JRA46" s="137"/>
      <c r="JRB46" s="137"/>
      <c r="JRC46" s="137"/>
      <c r="JRD46" s="137"/>
      <c r="JRE46" s="137"/>
      <c r="JRF46" s="137"/>
      <c r="JRG46" s="137"/>
      <c r="JRH46" s="137"/>
      <c r="JRI46" s="137"/>
      <c r="JRJ46" s="137"/>
      <c r="JRK46" s="137"/>
      <c r="JRL46" s="137"/>
      <c r="JRM46" s="137"/>
      <c r="JRN46" s="137"/>
      <c r="JRO46" s="137"/>
      <c r="JRP46" s="137"/>
      <c r="JRQ46" s="137"/>
      <c r="JRR46" s="137"/>
      <c r="JRS46" s="137"/>
      <c r="JRT46" s="137"/>
      <c r="JRU46" s="137"/>
      <c r="JRV46" s="137"/>
      <c r="JRW46" s="137"/>
      <c r="JRX46" s="137"/>
      <c r="JRY46" s="137"/>
      <c r="JRZ46" s="137"/>
      <c r="JSA46" s="137"/>
      <c r="JSB46" s="137"/>
      <c r="JSC46" s="137"/>
      <c r="JSD46" s="137"/>
      <c r="JSE46" s="137"/>
      <c r="JSF46" s="137"/>
      <c r="JSG46" s="137"/>
      <c r="JSH46" s="137"/>
      <c r="JSI46" s="137"/>
      <c r="JSJ46" s="137"/>
      <c r="JSK46" s="137"/>
      <c r="JSL46" s="137"/>
      <c r="JSM46" s="137"/>
      <c r="JSN46" s="137"/>
      <c r="JSO46" s="137"/>
      <c r="JSP46" s="137"/>
      <c r="JSQ46" s="137"/>
      <c r="JSR46" s="137"/>
      <c r="JSS46" s="137"/>
      <c r="JST46" s="137"/>
      <c r="JSU46" s="137"/>
      <c r="JSV46" s="137"/>
      <c r="JSW46" s="137"/>
      <c r="JSX46" s="137"/>
      <c r="JSY46" s="137"/>
      <c r="JSZ46" s="137"/>
      <c r="JTA46" s="137"/>
      <c r="JTB46" s="137"/>
      <c r="JTC46" s="137"/>
      <c r="JTD46" s="137"/>
      <c r="JTE46" s="137"/>
      <c r="JTF46" s="137"/>
      <c r="JTG46" s="137"/>
      <c r="JTH46" s="137"/>
      <c r="JTI46" s="137"/>
      <c r="JTJ46" s="137"/>
      <c r="JTK46" s="137"/>
      <c r="JTL46" s="137"/>
      <c r="JTM46" s="137"/>
      <c r="JTN46" s="137"/>
      <c r="JTO46" s="137"/>
      <c r="JTP46" s="137"/>
      <c r="JTQ46" s="137"/>
      <c r="JTR46" s="137"/>
      <c r="JTS46" s="137"/>
      <c r="JTT46" s="137"/>
      <c r="JTU46" s="137"/>
      <c r="JTV46" s="137"/>
      <c r="JTW46" s="137"/>
      <c r="JTX46" s="137"/>
      <c r="JTY46" s="137"/>
      <c r="JTZ46" s="137"/>
      <c r="JUA46" s="137"/>
      <c r="JUB46" s="137"/>
      <c r="JUC46" s="137"/>
      <c r="JUD46" s="137"/>
      <c r="JUE46" s="137"/>
      <c r="JUF46" s="137"/>
      <c r="JUG46" s="137"/>
      <c r="JUH46" s="137"/>
      <c r="JUI46" s="137"/>
      <c r="JUJ46" s="137"/>
      <c r="JUK46" s="137"/>
      <c r="JUL46" s="137"/>
      <c r="JUM46" s="137"/>
      <c r="JUN46" s="137"/>
      <c r="JUO46" s="137"/>
      <c r="JUP46" s="137"/>
      <c r="JUQ46" s="137"/>
      <c r="JUR46" s="137"/>
      <c r="JUS46" s="137"/>
      <c r="JUT46" s="137"/>
      <c r="JUU46" s="137"/>
      <c r="JUV46" s="137"/>
      <c r="JUW46" s="137"/>
      <c r="JUX46" s="137"/>
      <c r="JUY46" s="137"/>
      <c r="JUZ46" s="137"/>
      <c r="JVA46" s="137"/>
      <c r="JVB46" s="137"/>
      <c r="JVC46" s="137"/>
      <c r="JVD46" s="137"/>
      <c r="JVE46" s="137"/>
      <c r="JVF46" s="137"/>
      <c r="JVG46" s="137"/>
      <c r="JVH46" s="137"/>
      <c r="JVI46" s="137"/>
      <c r="JVJ46" s="137"/>
      <c r="JVK46" s="137"/>
      <c r="JVL46" s="137"/>
      <c r="JVM46" s="137"/>
      <c r="JVN46" s="137"/>
      <c r="JVO46" s="137"/>
      <c r="JVP46" s="137"/>
      <c r="JVQ46" s="137"/>
      <c r="JVR46" s="137"/>
      <c r="JVS46" s="137"/>
      <c r="JVT46" s="137"/>
      <c r="JVU46" s="137"/>
      <c r="JVV46" s="137"/>
      <c r="JVW46" s="137"/>
      <c r="JVX46" s="137"/>
      <c r="JVY46" s="137"/>
      <c r="JVZ46" s="137"/>
      <c r="JWA46" s="137"/>
      <c r="JWB46" s="137"/>
      <c r="JWC46" s="137"/>
      <c r="JWD46" s="137"/>
      <c r="JWE46" s="137"/>
      <c r="JWF46" s="137"/>
      <c r="JWG46" s="137"/>
      <c r="JWH46" s="137"/>
      <c r="JWI46" s="137"/>
      <c r="JWJ46" s="137"/>
      <c r="JWK46" s="137"/>
      <c r="JWL46" s="137"/>
      <c r="JWM46" s="137"/>
      <c r="JWN46" s="137"/>
      <c r="JWO46" s="137"/>
      <c r="JWP46" s="137"/>
      <c r="JWQ46" s="137"/>
      <c r="JWR46" s="137"/>
      <c r="JWS46" s="137"/>
      <c r="JWT46" s="137"/>
      <c r="JWU46" s="137"/>
      <c r="JWV46" s="137"/>
      <c r="JWW46" s="137"/>
      <c r="JWX46" s="137"/>
      <c r="JWY46" s="137"/>
      <c r="JWZ46" s="137"/>
      <c r="JXA46" s="137"/>
      <c r="JXB46" s="137"/>
      <c r="JXC46" s="137"/>
      <c r="JXD46" s="137"/>
      <c r="JXE46" s="137"/>
      <c r="JXF46" s="137"/>
      <c r="JXG46" s="137"/>
      <c r="JXH46" s="137"/>
      <c r="JXI46" s="137"/>
      <c r="JXJ46" s="137"/>
      <c r="JXK46" s="137"/>
      <c r="JXL46" s="137"/>
      <c r="JXM46" s="137"/>
      <c r="JXN46" s="137"/>
      <c r="JXO46" s="137"/>
      <c r="JXP46" s="137"/>
      <c r="JXQ46" s="137"/>
      <c r="JXR46" s="137"/>
      <c r="JXS46" s="137"/>
      <c r="JXT46" s="137"/>
      <c r="JXU46" s="137"/>
      <c r="JXV46" s="137"/>
      <c r="JXW46" s="137"/>
      <c r="JXX46" s="137"/>
      <c r="JXY46" s="137"/>
      <c r="JXZ46" s="137"/>
      <c r="JYA46" s="137"/>
      <c r="JYB46" s="137"/>
      <c r="JYC46" s="137"/>
      <c r="JYD46" s="137"/>
      <c r="JYE46" s="137"/>
      <c r="JYF46" s="137"/>
      <c r="JYG46" s="137"/>
      <c r="JYH46" s="137"/>
      <c r="JYI46" s="137"/>
      <c r="JYJ46" s="137"/>
      <c r="JYK46" s="137"/>
      <c r="JYL46" s="137"/>
      <c r="JYM46" s="137"/>
      <c r="JYN46" s="137"/>
      <c r="JYO46" s="137"/>
      <c r="JYP46" s="137"/>
      <c r="JYQ46" s="137"/>
      <c r="JYR46" s="137"/>
      <c r="JYS46" s="137"/>
      <c r="JYT46" s="137"/>
      <c r="JYU46" s="137"/>
      <c r="JYV46" s="137"/>
      <c r="JYW46" s="137"/>
      <c r="JYX46" s="137"/>
      <c r="JYY46" s="137"/>
      <c r="JYZ46" s="137"/>
      <c r="JZA46" s="137"/>
      <c r="JZB46" s="137"/>
      <c r="JZC46" s="137"/>
      <c r="JZD46" s="137"/>
      <c r="JZE46" s="137"/>
      <c r="JZF46" s="137"/>
      <c r="JZG46" s="137"/>
      <c r="JZH46" s="137"/>
      <c r="JZI46" s="137"/>
      <c r="JZJ46" s="137"/>
      <c r="JZK46" s="137"/>
      <c r="JZL46" s="137"/>
      <c r="JZM46" s="137"/>
      <c r="JZN46" s="137"/>
      <c r="JZO46" s="137"/>
      <c r="JZP46" s="137"/>
      <c r="JZQ46" s="137"/>
      <c r="JZR46" s="137"/>
      <c r="JZS46" s="137"/>
      <c r="JZT46" s="137"/>
      <c r="JZU46" s="137"/>
      <c r="JZV46" s="137"/>
      <c r="JZW46" s="137"/>
      <c r="JZX46" s="137"/>
      <c r="JZY46" s="137"/>
      <c r="JZZ46" s="137"/>
      <c r="KAA46" s="137"/>
      <c r="KAB46" s="137"/>
      <c r="KAC46" s="137"/>
      <c r="KAD46" s="137"/>
      <c r="KAE46" s="137"/>
      <c r="KAF46" s="137"/>
      <c r="KAG46" s="137"/>
      <c r="KAH46" s="137"/>
      <c r="KAI46" s="137"/>
      <c r="KAJ46" s="137"/>
      <c r="KAK46" s="137"/>
      <c r="KAL46" s="137"/>
      <c r="KAM46" s="137"/>
      <c r="KAN46" s="137"/>
      <c r="KAO46" s="137"/>
      <c r="KAP46" s="137"/>
      <c r="KAQ46" s="137"/>
      <c r="KAR46" s="137"/>
      <c r="KAS46" s="137"/>
      <c r="KAT46" s="137"/>
      <c r="KAU46" s="137"/>
      <c r="KAV46" s="137"/>
      <c r="KAW46" s="137"/>
      <c r="KAX46" s="137"/>
      <c r="KAY46" s="137"/>
      <c r="KAZ46" s="137"/>
      <c r="KBA46" s="137"/>
      <c r="KBB46" s="137"/>
      <c r="KBC46" s="137"/>
      <c r="KBD46" s="137"/>
      <c r="KBE46" s="137"/>
      <c r="KBF46" s="137"/>
      <c r="KBG46" s="137"/>
      <c r="KBH46" s="137"/>
      <c r="KBI46" s="137"/>
      <c r="KBJ46" s="137"/>
      <c r="KBK46" s="137"/>
      <c r="KBL46" s="137"/>
      <c r="KBM46" s="137"/>
      <c r="KBN46" s="137"/>
      <c r="KBO46" s="137"/>
      <c r="KBP46" s="137"/>
      <c r="KBQ46" s="137"/>
      <c r="KBR46" s="137"/>
      <c r="KBS46" s="137"/>
      <c r="KBT46" s="137"/>
      <c r="KBU46" s="137"/>
      <c r="KBV46" s="137"/>
      <c r="KBW46" s="137"/>
      <c r="KBX46" s="137"/>
      <c r="KBY46" s="137"/>
      <c r="KBZ46" s="137"/>
      <c r="KCA46" s="137"/>
      <c r="KCB46" s="137"/>
      <c r="KCC46" s="137"/>
      <c r="KCD46" s="137"/>
      <c r="KCE46" s="137"/>
      <c r="KCF46" s="137"/>
      <c r="KCG46" s="137"/>
      <c r="KCH46" s="137"/>
      <c r="KCI46" s="137"/>
      <c r="KCJ46" s="137"/>
      <c r="KCK46" s="137"/>
      <c r="KCL46" s="137"/>
      <c r="KCM46" s="137"/>
      <c r="KCN46" s="137"/>
      <c r="KCO46" s="137"/>
      <c r="KCP46" s="137"/>
      <c r="KCQ46" s="137"/>
      <c r="KCR46" s="137"/>
      <c r="KCS46" s="137"/>
      <c r="KCT46" s="137"/>
      <c r="KCU46" s="137"/>
      <c r="KCV46" s="137"/>
      <c r="KCW46" s="137"/>
      <c r="KCX46" s="137"/>
      <c r="KCY46" s="137"/>
      <c r="KCZ46" s="137"/>
      <c r="KDA46" s="137"/>
      <c r="KDB46" s="137"/>
      <c r="KDC46" s="137"/>
      <c r="KDD46" s="137"/>
      <c r="KDE46" s="137"/>
      <c r="KDF46" s="137"/>
      <c r="KDG46" s="137"/>
      <c r="KDH46" s="137"/>
      <c r="KDI46" s="137"/>
      <c r="KDJ46" s="137"/>
      <c r="KDK46" s="137"/>
      <c r="KDL46" s="137"/>
      <c r="KDM46" s="137"/>
      <c r="KDN46" s="137"/>
      <c r="KDO46" s="137"/>
      <c r="KDP46" s="137"/>
      <c r="KDQ46" s="137"/>
      <c r="KDR46" s="137"/>
      <c r="KDS46" s="137"/>
      <c r="KDT46" s="137"/>
      <c r="KDU46" s="137"/>
      <c r="KDV46" s="137"/>
      <c r="KDW46" s="137"/>
      <c r="KDX46" s="137"/>
      <c r="KDY46" s="137"/>
      <c r="KDZ46" s="137"/>
      <c r="KEA46" s="137"/>
      <c r="KEB46" s="137"/>
      <c r="KEC46" s="137"/>
      <c r="KED46" s="137"/>
      <c r="KEE46" s="137"/>
      <c r="KEF46" s="137"/>
      <c r="KEG46" s="137"/>
      <c r="KEH46" s="137"/>
      <c r="KEI46" s="137"/>
      <c r="KEJ46" s="137"/>
      <c r="KEK46" s="137"/>
      <c r="KEL46" s="137"/>
      <c r="KEM46" s="137"/>
      <c r="KEN46" s="137"/>
      <c r="KEO46" s="137"/>
      <c r="KEP46" s="137"/>
      <c r="KEQ46" s="137"/>
      <c r="KER46" s="137"/>
      <c r="KES46" s="137"/>
      <c r="KET46" s="137"/>
      <c r="KEU46" s="137"/>
      <c r="KEV46" s="137"/>
      <c r="KEW46" s="137"/>
      <c r="KEX46" s="137"/>
      <c r="KEY46" s="137"/>
      <c r="KEZ46" s="137"/>
      <c r="KFA46" s="137"/>
      <c r="KFB46" s="137"/>
      <c r="KFC46" s="137"/>
      <c r="KFD46" s="137"/>
      <c r="KFE46" s="137"/>
      <c r="KFF46" s="137"/>
      <c r="KFG46" s="137"/>
      <c r="KFH46" s="137"/>
      <c r="KFI46" s="137"/>
      <c r="KFJ46" s="137"/>
      <c r="KFK46" s="137"/>
      <c r="KFL46" s="137"/>
      <c r="KFM46" s="137"/>
      <c r="KFN46" s="137"/>
      <c r="KFO46" s="137"/>
      <c r="KFP46" s="137"/>
      <c r="KFQ46" s="137"/>
      <c r="KFR46" s="137"/>
      <c r="KFS46" s="137"/>
      <c r="KFT46" s="137"/>
      <c r="KFU46" s="137"/>
      <c r="KFV46" s="137"/>
      <c r="KFW46" s="137"/>
      <c r="KFX46" s="137"/>
      <c r="KFY46" s="137"/>
      <c r="KFZ46" s="137"/>
      <c r="KGA46" s="137"/>
      <c r="KGB46" s="137"/>
      <c r="KGC46" s="137"/>
      <c r="KGD46" s="137"/>
      <c r="KGE46" s="137"/>
      <c r="KGF46" s="137"/>
      <c r="KGG46" s="137"/>
      <c r="KGH46" s="137"/>
      <c r="KGI46" s="137"/>
      <c r="KGJ46" s="137"/>
      <c r="KGK46" s="137"/>
      <c r="KGL46" s="137"/>
      <c r="KGM46" s="137"/>
      <c r="KGN46" s="137"/>
      <c r="KGO46" s="137"/>
      <c r="KGP46" s="137"/>
      <c r="KGQ46" s="137"/>
      <c r="KGR46" s="137"/>
      <c r="KGS46" s="137"/>
      <c r="KGT46" s="137"/>
      <c r="KGU46" s="137"/>
      <c r="KGV46" s="137"/>
      <c r="KGW46" s="137"/>
      <c r="KGX46" s="137"/>
      <c r="KGY46" s="137"/>
      <c r="KGZ46" s="137"/>
      <c r="KHA46" s="137"/>
      <c r="KHB46" s="137"/>
      <c r="KHC46" s="137"/>
      <c r="KHD46" s="137"/>
      <c r="KHE46" s="137"/>
      <c r="KHF46" s="137"/>
      <c r="KHG46" s="137"/>
      <c r="KHH46" s="137"/>
      <c r="KHI46" s="137"/>
      <c r="KHJ46" s="137"/>
      <c r="KHK46" s="137"/>
      <c r="KHL46" s="137"/>
      <c r="KHM46" s="137"/>
      <c r="KHN46" s="137"/>
      <c r="KHO46" s="137"/>
      <c r="KHP46" s="137"/>
      <c r="KHQ46" s="137"/>
      <c r="KHR46" s="137"/>
      <c r="KHS46" s="137"/>
      <c r="KHT46" s="137"/>
      <c r="KHU46" s="137"/>
      <c r="KHV46" s="137"/>
      <c r="KHW46" s="137"/>
      <c r="KHX46" s="137"/>
      <c r="KHY46" s="137"/>
      <c r="KHZ46" s="137"/>
      <c r="KIA46" s="137"/>
      <c r="KIB46" s="137"/>
      <c r="KIC46" s="137"/>
      <c r="KID46" s="137"/>
      <c r="KIE46" s="137"/>
      <c r="KIF46" s="137"/>
      <c r="KIG46" s="137"/>
      <c r="KIH46" s="137"/>
      <c r="KII46" s="137"/>
      <c r="KIJ46" s="137"/>
      <c r="KIK46" s="137"/>
      <c r="KIL46" s="137"/>
      <c r="KIM46" s="137"/>
      <c r="KIN46" s="137"/>
      <c r="KIO46" s="137"/>
      <c r="KIP46" s="137"/>
      <c r="KIQ46" s="137"/>
      <c r="KIR46" s="137"/>
      <c r="KIS46" s="137"/>
      <c r="KIT46" s="137"/>
      <c r="KIU46" s="137"/>
      <c r="KIV46" s="137"/>
      <c r="KIW46" s="137"/>
      <c r="KIX46" s="137"/>
      <c r="KIY46" s="137"/>
      <c r="KIZ46" s="137"/>
      <c r="KJA46" s="137"/>
      <c r="KJB46" s="137"/>
      <c r="KJC46" s="137"/>
      <c r="KJD46" s="137"/>
      <c r="KJE46" s="137"/>
      <c r="KJF46" s="137"/>
      <c r="KJG46" s="137"/>
      <c r="KJH46" s="137"/>
      <c r="KJI46" s="137"/>
      <c r="KJJ46" s="137"/>
      <c r="KJK46" s="137"/>
      <c r="KJL46" s="137"/>
      <c r="KJM46" s="137"/>
      <c r="KJN46" s="137"/>
      <c r="KJO46" s="137"/>
      <c r="KJP46" s="137"/>
      <c r="KJQ46" s="137"/>
      <c r="KJR46" s="137"/>
      <c r="KJS46" s="137"/>
      <c r="KJT46" s="137"/>
      <c r="KJU46" s="137"/>
      <c r="KJV46" s="137"/>
      <c r="KJW46" s="137"/>
      <c r="KJX46" s="137"/>
      <c r="KJY46" s="137"/>
      <c r="KJZ46" s="137"/>
      <c r="KKA46" s="137"/>
      <c r="KKB46" s="137"/>
      <c r="KKC46" s="137"/>
      <c r="KKD46" s="137"/>
      <c r="KKE46" s="137"/>
      <c r="KKF46" s="137"/>
      <c r="KKG46" s="137"/>
      <c r="KKH46" s="137"/>
      <c r="KKI46" s="137"/>
      <c r="KKJ46" s="137"/>
      <c r="KKK46" s="137"/>
      <c r="KKL46" s="137"/>
      <c r="KKM46" s="137"/>
      <c r="KKN46" s="137"/>
      <c r="KKO46" s="137"/>
      <c r="KKP46" s="137"/>
      <c r="KKQ46" s="137"/>
      <c r="KKR46" s="137"/>
      <c r="KKS46" s="137"/>
      <c r="KKT46" s="137"/>
      <c r="KKU46" s="137"/>
      <c r="KKV46" s="137"/>
      <c r="KKW46" s="137"/>
      <c r="KKX46" s="137"/>
      <c r="KKY46" s="137"/>
      <c r="KKZ46" s="137"/>
      <c r="KLA46" s="137"/>
      <c r="KLB46" s="137"/>
      <c r="KLC46" s="137"/>
      <c r="KLD46" s="137"/>
      <c r="KLE46" s="137"/>
      <c r="KLF46" s="137"/>
      <c r="KLG46" s="137"/>
      <c r="KLH46" s="137"/>
      <c r="KLI46" s="137"/>
      <c r="KLJ46" s="137"/>
      <c r="KLK46" s="137"/>
      <c r="KLL46" s="137"/>
      <c r="KLM46" s="137"/>
      <c r="KLN46" s="137"/>
      <c r="KLO46" s="137"/>
      <c r="KLP46" s="137"/>
      <c r="KLQ46" s="137"/>
      <c r="KLR46" s="137"/>
      <c r="KLS46" s="137"/>
      <c r="KLT46" s="137"/>
      <c r="KLU46" s="137"/>
      <c r="KLV46" s="137"/>
      <c r="KLW46" s="137"/>
      <c r="KLX46" s="137"/>
      <c r="KLY46" s="137"/>
      <c r="KLZ46" s="137"/>
      <c r="KMA46" s="137"/>
      <c r="KMB46" s="137"/>
      <c r="KMC46" s="137"/>
      <c r="KMD46" s="137"/>
      <c r="KME46" s="137"/>
      <c r="KMF46" s="137"/>
      <c r="KMG46" s="137"/>
      <c r="KMH46" s="137"/>
      <c r="KMI46" s="137"/>
      <c r="KMJ46" s="137"/>
      <c r="KMK46" s="137"/>
      <c r="KML46" s="137"/>
      <c r="KMM46" s="137"/>
      <c r="KMN46" s="137"/>
      <c r="KMO46" s="137"/>
      <c r="KMP46" s="137"/>
      <c r="KMQ46" s="137"/>
      <c r="KMR46" s="137"/>
      <c r="KMS46" s="137"/>
      <c r="KMT46" s="137"/>
      <c r="KMU46" s="137"/>
      <c r="KMV46" s="137"/>
      <c r="KMW46" s="137"/>
      <c r="KMX46" s="137"/>
      <c r="KMY46" s="137"/>
      <c r="KMZ46" s="137"/>
      <c r="KNA46" s="137"/>
      <c r="KNB46" s="137"/>
      <c r="KNC46" s="137"/>
      <c r="KND46" s="137"/>
      <c r="KNE46" s="137"/>
      <c r="KNF46" s="137"/>
      <c r="KNG46" s="137"/>
      <c r="KNH46" s="137"/>
      <c r="KNI46" s="137"/>
      <c r="KNJ46" s="137"/>
      <c r="KNK46" s="137"/>
      <c r="KNL46" s="137"/>
      <c r="KNM46" s="137"/>
      <c r="KNN46" s="137"/>
      <c r="KNO46" s="137"/>
      <c r="KNP46" s="137"/>
      <c r="KNQ46" s="137"/>
      <c r="KNR46" s="137"/>
      <c r="KNS46" s="137"/>
      <c r="KNT46" s="137"/>
      <c r="KNU46" s="137"/>
      <c r="KNV46" s="137"/>
      <c r="KNW46" s="137"/>
      <c r="KNX46" s="137"/>
      <c r="KNY46" s="137"/>
      <c r="KNZ46" s="137"/>
      <c r="KOA46" s="137"/>
      <c r="KOB46" s="137"/>
      <c r="KOC46" s="137"/>
      <c r="KOD46" s="137"/>
      <c r="KOE46" s="137"/>
      <c r="KOF46" s="137"/>
      <c r="KOG46" s="137"/>
      <c r="KOH46" s="137"/>
      <c r="KOI46" s="137"/>
      <c r="KOJ46" s="137"/>
      <c r="KOK46" s="137"/>
      <c r="KOL46" s="137"/>
      <c r="KOM46" s="137"/>
      <c r="KON46" s="137"/>
      <c r="KOO46" s="137"/>
      <c r="KOP46" s="137"/>
      <c r="KOQ46" s="137"/>
      <c r="KOR46" s="137"/>
      <c r="KOS46" s="137"/>
      <c r="KOT46" s="137"/>
      <c r="KOU46" s="137"/>
      <c r="KOV46" s="137"/>
      <c r="KOW46" s="137"/>
      <c r="KOX46" s="137"/>
      <c r="KOY46" s="137"/>
      <c r="KOZ46" s="137"/>
      <c r="KPA46" s="137"/>
      <c r="KPB46" s="137"/>
      <c r="KPC46" s="137"/>
      <c r="KPD46" s="137"/>
      <c r="KPE46" s="137"/>
      <c r="KPF46" s="137"/>
      <c r="KPG46" s="137"/>
      <c r="KPH46" s="137"/>
      <c r="KPI46" s="137"/>
      <c r="KPJ46" s="137"/>
      <c r="KPK46" s="137"/>
      <c r="KPL46" s="137"/>
      <c r="KPM46" s="137"/>
      <c r="KPN46" s="137"/>
      <c r="KPO46" s="137"/>
      <c r="KPP46" s="137"/>
      <c r="KPQ46" s="137"/>
      <c r="KPR46" s="137"/>
      <c r="KPS46" s="137"/>
      <c r="KPT46" s="137"/>
      <c r="KPU46" s="137"/>
      <c r="KPV46" s="137"/>
      <c r="KPW46" s="137"/>
      <c r="KPX46" s="137"/>
      <c r="KPY46" s="137"/>
      <c r="KPZ46" s="137"/>
      <c r="KQA46" s="137"/>
      <c r="KQB46" s="137"/>
      <c r="KQC46" s="137"/>
      <c r="KQD46" s="137"/>
      <c r="KQE46" s="137"/>
      <c r="KQF46" s="137"/>
      <c r="KQG46" s="137"/>
      <c r="KQH46" s="137"/>
      <c r="KQI46" s="137"/>
      <c r="KQJ46" s="137"/>
      <c r="KQK46" s="137"/>
      <c r="KQL46" s="137"/>
      <c r="KQM46" s="137"/>
      <c r="KQN46" s="137"/>
      <c r="KQO46" s="137"/>
      <c r="KQP46" s="137"/>
      <c r="KQQ46" s="137"/>
      <c r="KQR46" s="137"/>
      <c r="KQS46" s="137"/>
      <c r="KQT46" s="137"/>
      <c r="KQU46" s="137"/>
      <c r="KQV46" s="137"/>
      <c r="KQW46" s="137"/>
      <c r="KQX46" s="137"/>
      <c r="KQY46" s="137"/>
      <c r="KQZ46" s="137"/>
      <c r="KRA46" s="137"/>
      <c r="KRB46" s="137"/>
      <c r="KRC46" s="137"/>
      <c r="KRD46" s="137"/>
      <c r="KRE46" s="137"/>
      <c r="KRF46" s="137"/>
      <c r="KRG46" s="137"/>
      <c r="KRH46" s="137"/>
      <c r="KRI46" s="137"/>
      <c r="KRJ46" s="137"/>
      <c r="KRK46" s="137"/>
      <c r="KRL46" s="137"/>
      <c r="KRM46" s="137"/>
      <c r="KRN46" s="137"/>
      <c r="KRO46" s="137"/>
      <c r="KRP46" s="137"/>
      <c r="KRQ46" s="137"/>
      <c r="KRR46" s="137"/>
      <c r="KRS46" s="137"/>
      <c r="KRT46" s="137"/>
      <c r="KRU46" s="137"/>
      <c r="KRV46" s="137"/>
      <c r="KRW46" s="137"/>
      <c r="KRX46" s="137"/>
      <c r="KRY46" s="137"/>
      <c r="KRZ46" s="137"/>
      <c r="KSA46" s="137"/>
      <c r="KSB46" s="137"/>
      <c r="KSC46" s="137"/>
      <c r="KSD46" s="137"/>
      <c r="KSE46" s="137"/>
      <c r="KSF46" s="137"/>
      <c r="KSG46" s="137"/>
      <c r="KSH46" s="137"/>
      <c r="KSI46" s="137"/>
      <c r="KSJ46" s="137"/>
      <c r="KSK46" s="137"/>
      <c r="KSL46" s="137"/>
      <c r="KSM46" s="137"/>
      <c r="KSN46" s="137"/>
      <c r="KSO46" s="137"/>
      <c r="KSP46" s="137"/>
      <c r="KSQ46" s="137"/>
      <c r="KSR46" s="137"/>
      <c r="KSS46" s="137"/>
      <c r="KST46" s="137"/>
      <c r="KSU46" s="137"/>
      <c r="KSV46" s="137"/>
      <c r="KSW46" s="137"/>
      <c r="KSX46" s="137"/>
      <c r="KSY46" s="137"/>
      <c r="KSZ46" s="137"/>
      <c r="KTA46" s="137"/>
      <c r="KTB46" s="137"/>
      <c r="KTC46" s="137"/>
      <c r="KTD46" s="137"/>
      <c r="KTE46" s="137"/>
      <c r="KTF46" s="137"/>
      <c r="KTG46" s="137"/>
      <c r="KTH46" s="137"/>
      <c r="KTI46" s="137"/>
      <c r="KTJ46" s="137"/>
      <c r="KTK46" s="137"/>
      <c r="KTL46" s="137"/>
      <c r="KTM46" s="137"/>
      <c r="KTN46" s="137"/>
      <c r="KTO46" s="137"/>
      <c r="KTP46" s="137"/>
      <c r="KTQ46" s="137"/>
      <c r="KTR46" s="137"/>
      <c r="KTS46" s="137"/>
      <c r="KTT46" s="137"/>
      <c r="KTU46" s="137"/>
      <c r="KTV46" s="137"/>
      <c r="KTW46" s="137"/>
      <c r="KTX46" s="137"/>
      <c r="KTY46" s="137"/>
      <c r="KTZ46" s="137"/>
      <c r="KUA46" s="137"/>
      <c r="KUB46" s="137"/>
      <c r="KUC46" s="137"/>
      <c r="KUD46" s="137"/>
      <c r="KUE46" s="137"/>
      <c r="KUF46" s="137"/>
      <c r="KUG46" s="137"/>
      <c r="KUH46" s="137"/>
      <c r="KUI46" s="137"/>
      <c r="KUJ46" s="137"/>
      <c r="KUK46" s="137"/>
      <c r="KUL46" s="137"/>
      <c r="KUM46" s="137"/>
      <c r="KUN46" s="137"/>
      <c r="KUO46" s="137"/>
      <c r="KUP46" s="137"/>
      <c r="KUQ46" s="137"/>
      <c r="KUR46" s="137"/>
      <c r="KUS46" s="137"/>
      <c r="KUT46" s="137"/>
      <c r="KUU46" s="137"/>
      <c r="KUV46" s="137"/>
      <c r="KUW46" s="137"/>
      <c r="KUX46" s="137"/>
      <c r="KUY46" s="137"/>
      <c r="KUZ46" s="137"/>
      <c r="KVA46" s="137"/>
      <c r="KVB46" s="137"/>
      <c r="KVC46" s="137"/>
      <c r="KVD46" s="137"/>
      <c r="KVE46" s="137"/>
      <c r="KVF46" s="137"/>
      <c r="KVG46" s="137"/>
      <c r="KVH46" s="137"/>
      <c r="KVI46" s="137"/>
      <c r="KVJ46" s="137"/>
      <c r="KVK46" s="137"/>
      <c r="KVL46" s="137"/>
      <c r="KVM46" s="137"/>
      <c r="KVN46" s="137"/>
      <c r="KVO46" s="137"/>
      <c r="KVP46" s="137"/>
      <c r="KVQ46" s="137"/>
      <c r="KVR46" s="137"/>
      <c r="KVS46" s="137"/>
      <c r="KVT46" s="137"/>
      <c r="KVU46" s="137"/>
      <c r="KVV46" s="137"/>
      <c r="KVW46" s="137"/>
      <c r="KVX46" s="137"/>
      <c r="KVY46" s="137"/>
      <c r="KVZ46" s="137"/>
      <c r="KWA46" s="137"/>
      <c r="KWB46" s="137"/>
      <c r="KWC46" s="137"/>
      <c r="KWD46" s="137"/>
      <c r="KWE46" s="137"/>
      <c r="KWF46" s="137"/>
      <c r="KWG46" s="137"/>
      <c r="KWH46" s="137"/>
      <c r="KWI46" s="137"/>
      <c r="KWJ46" s="137"/>
      <c r="KWK46" s="137"/>
      <c r="KWL46" s="137"/>
      <c r="KWM46" s="137"/>
      <c r="KWN46" s="137"/>
      <c r="KWO46" s="137"/>
      <c r="KWP46" s="137"/>
      <c r="KWQ46" s="137"/>
      <c r="KWR46" s="137"/>
      <c r="KWS46" s="137"/>
      <c r="KWT46" s="137"/>
      <c r="KWU46" s="137"/>
      <c r="KWV46" s="137"/>
      <c r="KWW46" s="137"/>
      <c r="KWX46" s="137"/>
      <c r="KWY46" s="137"/>
      <c r="KWZ46" s="137"/>
      <c r="KXA46" s="137"/>
      <c r="KXB46" s="137"/>
      <c r="KXC46" s="137"/>
      <c r="KXD46" s="137"/>
      <c r="KXE46" s="137"/>
      <c r="KXF46" s="137"/>
      <c r="KXG46" s="137"/>
      <c r="KXH46" s="137"/>
      <c r="KXI46" s="137"/>
      <c r="KXJ46" s="137"/>
      <c r="KXK46" s="137"/>
      <c r="KXL46" s="137"/>
      <c r="KXM46" s="137"/>
      <c r="KXN46" s="137"/>
      <c r="KXO46" s="137"/>
      <c r="KXP46" s="137"/>
      <c r="KXQ46" s="137"/>
      <c r="KXR46" s="137"/>
      <c r="KXS46" s="137"/>
      <c r="KXT46" s="137"/>
      <c r="KXU46" s="137"/>
      <c r="KXV46" s="137"/>
      <c r="KXW46" s="137"/>
      <c r="KXX46" s="137"/>
      <c r="KXY46" s="137"/>
      <c r="KXZ46" s="137"/>
      <c r="KYA46" s="137"/>
      <c r="KYB46" s="137"/>
      <c r="KYC46" s="137"/>
      <c r="KYD46" s="137"/>
      <c r="KYE46" s="137"/>
      <c r="KYF46" s="137"/>
      <c r="KYG46" s="137"/>
      <c r="KYH46" s="137"/>
      <c r="KYI46" s="137"/>
      <c r="KYJ46" s="137"/>
      <c r="KYK46" s="137"/>
      <c r="KYL46" s="137"/>
      <c r="KYM46" s="137"/>
      <c r="KYN46" s="137"/>
      <c r="KYO46" s="137"/>
      <c r="KYP46" s="137"/>
      <c r="KYQ46" s="137"/>
      <c r="KYR46" s="137"/>
      <c r="KYS46" s="137"/>
      <c r="KYT46" s="137"/>
      <c r="KYU46" s="137"/>
      <c r="KYV46" s="137"/>
      <c r="KYW46" s="137"/>
      <c r="KYX46" s="137"/>
      <c r="KYY46" s="137"/>
      <c r="KYZ46" s="137"/>
      <c r="KZA46" s="137"/>
      <c r="KZB46" s="137"/>
      <c r="KZC46" s="137"/>
      <c r="KZD46" s="137"/>
      <c r="KZE46" s="137"/>
      <c r="KZF46" s="137"/>
      <c r="KZG46" s="137"/>
      <c r="KZH46" s="137"/>
      <c r="KZI46" s="137"/>
      <c r="KZJ46" s="137"/>
      <c r="KZK46" s="137"/>
      <c r="KZL46" s="137"/>
      <c r="KZM46" s="137"/>
      <c r="KZN46" s="137"/>
      <c r="KZO46" s="137"/>
      <c r="KZP46" s="137"/>
      <c r="KZQ46" s="137"/>
      <c r="KZR46" s="137"/>
      <c r="KZS46" s="137"/>
      <c r="KZT46" s="137"/>
      <c r="KZU46" s="137"/>
      <c r="KZV46" s="137"/>
      <c r="KZW46" s="137"/>
      <c r="KZX46" s="137"/>
      <c r="KZY46" s="137"/>
      <c r="KZZ46" s="137"/>
      <c r="LAA46" s="137"/>
      <c r="LAB46" s="137"/>
      <c r="LAC46" s="137"/>
      <c r="LAD46" s="137"/>
      <c r="LAE46" s="137"/>
      <c r="LAF46" s="137"/>
      <c r="LAG46" s="137"/>
      <c r="LAH46" s="137"/>
      <c r="LAI46" s="137"/>
      <c r="LAJ46" s="137"/>
      <c r="LAK46" s="137"/>
      <c r="LAL46" s="137"/>
      <c r="LAM46" s="137"/>
      <c r="LAN46" s="137"/>
      <c r="LAO46" s="137"/>
      <c r="LAP46" s="137"/>
      <c r="LAQ46" s="137"/>
      <c r="LAR46" s="137"/>
      <c r="LAS46" s="137"/>
      <c r="LAT46" s="137"/>
      <c r="LAU46" s="137"/>
      <c r="LAV46" s="137"/>
      <c r="LAW46" s="137"/>
      <c r="LAX46" s="137"/>
      <c r="LAY46" s="137"/>
      <c r="LAZ46" s="137"/>
      <c r="LBA46" s="137"/>
      <c r="LBB46" s="137"/>
      <c r="LBC46" s="137"/>
      <c r="LBD46" s="137"/>
      <c r="LBE46" s="137"/>
      <c r="LBF46" s="137"/>
      <c r="LBG46" s="137"/>
      <c r="LBH46" s="137"/>
      <c r="LBI46" s="137"/>
      <c r="LBJ46" s="137"/>
      <c r="LBK46" s="137"/>
      <c r="LBL46" s="137"/>
      <c r="LBM46" s="137"/>
      <c r="LBN46" s="137"/>
      <c r="LBO46" s="137"/>
      <c r="LBP46" s="137"/>
      <c r="LBQ46" s="137"/>
      <c r="LBR46" s="137"/>
      <c r="LBS46" s="137"/>
      <c r="LBT46" s="137"/>
      <c r="LBU46" s="137"/>
      <c r="LBV46" s="137"/>
      <c r="LBW46" s="137"/>
      <c r="LBX46" s="137"/>
      <c r="LBY46" s="137"/>
      <c r="LBZ46" s="137"/>
      <c r="LCA46" s="137"/>
      <c r="LCB46" s="137"/>
      <c r="LCC46" s="137"/>
      <c r="LCD46" s="137"/>
      <c r="LCE46" s="137"/>
      <c r="LCF46" s="137"/>
      <c r="LCG46" s="137"/>
      <c r="LCH46" s="137"/>
      <c r="LCI46" s="137"/>
      <c r="LCJ46" s="137"/>
      <c r="LCK46" s="137"/>
      <c r="LCL46" s="137"/>
      <c r="LCM46" s="137"/>
      <c r="LCN46" s="137"/>
      <c r="LCO46" s="137"/>
      <c r="LCP46" s="137"/>
      <c r="LCQ46" s="137"/>
      <c r="LCR46" s="137"/>
      <c r="LCS46" s="137"/>
      <c r="LCT46" s="137"/>
      <c r="LCU46" s="137"/>
      <c r="LCV46" s="137"/>
      <c r="LCW46" s="137"/>
      <c r="LCX46" s="137"/>
      <c r="LCY46" s="137"/>
      <c r="LCZ46" s="137"/>
      <c r="LDA46" s="137"/>
      <c r="LDB46" s="137"/>
      <c r="LDC46" s="137"/>
      <c r="LDD46" s="137"/>
      <c r="LDE46" s="137"/>
      <c r="LDF46" s="137"/>
      <c r="LDG46" s="137"/>
      <c r="LDH46" s="137"/>
      <c r="LDI46" s="137"/>
      <c r="LDJ46" s="137"/>
      <c r="LDK46" s="137"/>
      <c r="LDL46" s="137"/>
      <c r="LDM46" s="137"/>
      <c r="LDN46" s="137"/>
      <c r="LDO46" s="137"/>
      <c r="LDP46" s="137"/>
      <c r="LDQ46" s="137"/>
      <c r="LDR46" s="137"/>
      <c r="LDS46" s="137"/>
      <c r="LDT46" s="137"/>
      <c r="LDU46" s="137"/>
      <c r="LDV46" s="137"/>
      <c r="LDW46" s="137"/>
      <c r="LDX46" s="137"/>
      <c r="LDY46" s="137"/>
      <c r="LDZ46" s="137"/>
      <c r="LEA46" s="137"/>
      <c r="LEB46" s="137"/>
      <c r="LEC46" s="137"/>
      <c r="LED46" s="137"/>
      <c r="LEE46" s="137"/>
      <c r="LEF46" s="137"/>
      <c r="LEG46" s="137"/>
      <c r="LEH46" s="137"/>
      <c r="LEI46" s="137"/>
      <c r="LEJ46" s="137"/>
      <c r="LEK46" s="137"/>
      <c r="LEL46" s="137"/>
      <c r="LEM46" s="137"/>
      <c r="LEN46" s="137"/>
      <c r="LEO46" s="137"/>
      <c r="LEP46" s="137"/>
      <c r="LEQ46" s="137"/>
      <c r="LER46" s="137"/>
      <c r="LES46" s="137"/>
      <c r="LET46" s="137"/>
      <c r="LEU46" s="137"/>
      <c r="LEV46" s="137"/>
      <c r="LEW46" s="137"/>
      <c r="LEX46" s="137"/>
      <c r="LEY46" s="137"/>
      <c r="LEZ46" s="137"/>
      <c r="LFA46" s="137"/>
      <c r="LFB46" s="137"/>
      <c r="LFC46" s="137"/>
      <c r="LFD46" s="137"/>
      <c r="LFE46" s="137"/>
      <c r="LFF46" s="137"/>
      <c r="LFG46" s="137"/>
      <c r="LFH46" s="137"/>
      <c r="LFI46" s="137"/>
      <c r="LFJ46" s="137"/>
      <c r="LFK46" s="137"/>
      <c r="LFL46" s="137"/>
      <c r="LFM46" s="137"/>
      <c r="LFN46" s="137"/>
      <c r="LFO46" s="137"/>
      <c r="LFP46" s="137"/>
      <c r="LFQ46" s="137"/>
      <c r="LFR46" s="137"/>
      <c r="LFS46" s="137"/>
      <c r="LFT46" s="137"/>
      <c r="LFU46" s="137"/>
      <c r="LFV46" s="137"/>
      <c r="LFW46" s="137"/>
      <c r="LFX46" s="137"/>
      <c r="LFY46" s="137"/>
      <c r="LFZ46" s="137"/>
      <c r="LGA46" s="137"/>
      <c r="LGB46" s="137"/>
      <c r="LGC46" s="137"/>
      <c r="LGD46" s="137"/>
      <c r="LGE46" s="137"/>
      <c r="LGF46" s="137"/>
      <c r="LGG46" s="137"/>
      <c r="LGH46" s="137"/>
      <c r="LGI46" s="137"/>
      <c r="LGJ46" s="137"/>
      <c r="LGK46" s="137"/>
      <c r="LGL46" s="137"/>
      <c r="LGM46" s="137"/>
      <c r="LGN46" s="137"/>
      <c r="LGO46" s="137"/>
      <c r="LGP46" s="137"/>
      <c r="LGQ46" s="137"/>
      <c r="LGR46" s="137"/>
      <c r="LGS46" s="137"/>
      <c r="LGT46" s="137"/>
      <c r="LGU46" s="137"/>
      <c r="LGV46" s="137"/>
      <c r="LGW46" s="137"/>
      <c r="LGX46" s="137"/>
      <c r="LGY46" s="137"/>
      <c r="LGZ46" s="137"/>
      <c r="LHA46" s="137"/>
      <c r="LHB46" s="137"/>
      <c r="LHC46" s="137"/>
      <c r="LHD46" s="137"/>
      <c r="LHE46" s="137"/>
      <c r="LHF46" s="137"/>
      <c r="LHG46" s="137"/>
      <c r="LHH46" s="137"/>
      <c r="LHI46" s="137"/>
      <c r="LHJ46" s="137"/>
      <c r="LHK46" s="137"/>
      <c r="LHL46" s="137"/>
      <c r="LHM46" s="137"/>
      <c r="LHN46" s="137"/>
      <c r="LHO46" s="137"/>
      <c r="LHP46" s="137"/>
      <c r="LHQ46" s="137"/>
      <c r="LHR46" s="137"/>
      <c r="LHS46" s="137"/>
      <c r="LHT46" s="137"/>
      <c r="LHU46" s="137"/>
      <c r="LHV46" s="137"/>
      <c r="LHW46" s="137"/>
      <c r="LHX46" s="137"/>
      <c r="LHY46" s="137"/>
      <c r="LHZ46" s="137"/>
      <c r="LIA46" s="137"/>
      <c r="LIB46" s="137"/>
      <c r="LIC46" s="137"/>
      <c r="LID46" s="137"/>
      <c r="LIE46" s="137"/>
      <c r="LIF46" s="137"/>
      <c r="LIG46" s="137"/>
      <c r="LIH46" s="137"/>
      <c r="LII46" s="137"/>
      <c r="LIJ46" s="137"/>
      <c r="LIK46" s="137"/>
      <c r="LIL46" s="137"/>
      <c r="LIM46" s="137"/>
      <c r="LIN46" s="137"/>
      <c r="LIO46" s="137"/>
      <c r="LIP46" s="137"/>
      <c r="LIQ46" s="137"/>
      <c r="LIR46" s="137"/>
      <c r="LIS46" s="137"/>
      <c r="LIT46" s="137"/>
      <c r="LIU46" s="137"/>
      <c r="LIV46" s="137"/>
      <c r="LIW46" s="137"/>
      <c r="LIX46" s="137"/>
      <c r="LIY46" s="137"/>
      <c r="LIZ46" s="137"/>
      <c r="LJA46" s="137"/>
      <c r="LJB46" s="137"/>
      <c r="LJC46" s="137"/>
      <c r="LJD46" s="137"/>
      <c r="LJE46" s="137"/>
      <c r="LJF46" s="137"/>
      <c r="LJG46" s="137"/>
      <c r="LJH46" s="137"/>
      <c r="LJI46" s="137"/>
      <c r="LJJ46" s="137"/>
      <c r="LJK46" s="137"/>
      <c r="LJL46" s="137"/>
      <c r="LJM46" s="137"/>
      <c r="LJN46" s="137"/>
      <c r="LJO46" s="137"/>
      <c r="LJP46" s="137"/>
      <c r="LJQ46" s="137"/>
      <c r="LJR46" s="137"/>
      <c r="LJS46" s="137"/>
      <c r="LJT46" s="137"/>
      <c r="LJU46" s="137"/>
      <c r="LJV46" s="137"/>
      <c r="LJW46" s="137"/>
      <c r="LJX46" s="137"/>
      <c r="LJY46" s="137"/>
      <c r="LJZ46" s="137"/>
      <c r="LKA46" s="137"/>
      <c r="LKB46" s="137"/>
      <c r="LKC46" s="137"/>
      <c r="LKD46" s="137"/>
      <c r="LKE46" s="137"/>
      <c r="LKF46" s="137"/>
      <c r="LKG46" s="137"/>
      <c r="LKH46" s="137"/>
      <c r="LKI46" s="137"/>
      <c r="LKJ46" s="137"/>
      <c r="LKK46" s="137"/>
      <c r="LKL46" s="137"/>
      <c r="LKM46" s="137"/>
      <c r="LKN46" s="137"/>
      <c r="LKO46" s="137"/>
      <c r="LKP46" s="137"/>
      <c r="LKQ46" s="137"/>
      <c r="LKR46" s="137"/>
      <c r="LKS46" s="137"/>
      <c r="LKT46" s="137"/>
      <c r="LKU46" s="137"/>
      <c r="LKV46" s="137"/>
      <c r="LKW46" s="137"/>
      <c r="LKX46" s="137"/>
      <c r="LKY46" s="137"/>
      <c r="LKZ46" s="137"/>
      <c r="LLA46" s="137"/>
      <c r="LLB46" s="137"/>
      <c r="LLC46" s="137"/>
      <c r="LLD46" s="137"/>
      <c r="LLE46" s="137"/>
      <c r="LLF46" s="137"/>
      <c r="LLG46" s="137"/>
      <c r="LLH46" s="137"/>
      <c r="LLI46" s="137"/>
      <c r="LLJ46" s="137"/>
      <c r="LLK46" s="137"/>
      <c r="LLL46" s="137"/>
      <c r="LLM46" s="137"/>
      <c r="LLN46" s="137"/>
      <c r="LLO46" s="137"/>
      <c r="LLP46" s="137"/>
      <c r="LLQ46" s="137"/>
      <c r="LLR46" s="137"/>
      <c r="LLS46" s="137"/>
      <c r="LLT46" s="137"/>
      <c r="LLU46" s="137"/>
      <c r="LLV46" s="137"/>
      <c r="LLW46" s="137"/>
      <c r="LLX46" s="137"/>
      <c r="LLY46" s="137"/>
      <c r="LLZ46" s="137"/>
      <c r="LMA46" s="137"/>
      <c r="LMB46" s="137"/>
      <c r="LMC46" s="137"/>
      <c r="LMD46" s="137"/>
      <c r="LME46" s="137"/>
      <c r="LMF46" s="137"/>
      <c r="LMG46" s="137"/>
      <c r="LMH46" s="137"/>
      <c r="LMI46" s="137"/>
      <c r="LMJ46" s="137"/>
      <c r="LMK46" s="137"/>
      <c r="LML46" s="137"/>
      <c r="LMM46" s="137"/>
      <c r="LMN46" s="137"/>
      <c r="LMO46" s="137"/>
      <c r="LMP46" s="137"/>
      <c r="LMQ46" s="137"/>
      <c r="LMR46" s="137"/>
      <c r="LMS46" s="137"/>
      <c r="LMT46" s="137"/>
      <c r="LMU46" s="137"/>
      <c r="LMV46" s="137"/>
      <c r="LMW46" s="137"/>
      <c r="LMX46" s="137"/>
      <c r="LMY46" s="137"/>
      <c r="LMZ46" s="137"/>
      <c r="LNA46" s="137"/>
      <c r="LNB46" s="137"/>
      <c r="LNC46" s="137"/>
      <c r="LND46" s="137"/>
      <c r="LNE46" s="137"/>
      <c r="LNF46" s="137"/>
      <c r="LNG46" s="137"/>
      <c r="LNH46" s="137"/>
      <c r="LNI46" s="137"/>
      <c r="LNJ46" s="137"/>
      <c r="LNK46" s="137"/>
      <c r="LNL46" s="137"/>
      <c r="LNM46" s="137"/>
      <c r="LNN46" s="137"/>
      <c r="LNO46" s="137"/>
      <c r="LNP46" s="137"/>
      <c r="LNQ46" s="137"/>
      <c r="LNR46" s="137"/>
      <c r="LNS46" s="137"/>
      <c r="LNT46" s="137"/>
      <c r="LNU46" s="137"/>
      <c r="LNV46" s="137"/>
      <c r="LNW46" s="137"/>
      <c r="LNX46" s="137"/>
      <c r="LNY46" s="137"/>
      <c r="LNZ46" s="137"/>
      <c r="LOA46" s="137"/>
      <c r="LOB46" s="137"/>
      <c r="LOC46" s="137"/>
      <c r="LOD46" s="137"/>
      <c r="LOE46" s="137"/>
      <c r="LOF46" s="137"/>
      <c r="LOG46" s="137"/>
      <c r="LOH46" s="137"/>
      <c r="LOI46" s="137"/>
      <c r="LOJ46" s="137"/>
      <c r="LOK46" s="137"/>
      <c r="LOL46" s="137"/>
      <c r="LOM46" s="137"/>
      <c r="LON46" s="137"/>
      <c r="LOO46" s="137"/>
      <c r="LOP46" s="137"/>
      <c r="LOQ46" s="137"/>
      <c r="LOR46" s="137"/>
      <c r="LOS46" s="137"/>
      <c r="LOT46" s="137"/>
      <c r="LOU46" s="137"/>
      <c r="LOV46" s="137"/>
      <c r="LOW46" s="137"/>
      <c r="LOX46" s="137"/>
      <c r="LOY46" s="137"/>
      <c r="LOZ46" s="137"/>
      <c r="LPA46" s="137"/>
      <c r="LPB46" s="137"/>
      <c r="LPC46" s="137"/>
      <c r="LPD46" s="137"/>
      <c r="LPE46" s="137"/>
      <c r="LPF46" s="137"/>
      <c r="LPG46" s="137"/>
      <c r="LPH46" s="137"/>
      <c r="LPI46" s="137"/>
      <c r="LPJ46" s="137"/>
      <c r="LPK46" s="137"/>
      <c r="LPL46" s="137"/>
      <c r="LPM46" s="137"/>
      <c r="LPN46" s="137"/>
      <c r="LPO46" s="137"/>
      <c r="LPP46" s="137"/>
      <c r="LPQ46" s="137"/>
      <c r="LPR46" s="137"/>
      <c r="LPS46" s="137"/>
      <c r="LPT46" s="137"/>
      <c r="LPU46" s="137"/>
      <c r="LPV46" s="137"/>
      <c r="LPW46" s="137"/>
      <c r="LPX46" s="137"/>
      <c r="LPY46" s="137"/>
      <c r="LPZ46" s="137"/>
      <c r="LQA46" s="137"/>
      <c r="LQB46" s="137"/>
      <c r="LQC46" s="137"/>
      <c r="LQD46" s="137"/>
      <c r="LQE46" s="137"/>
      <c r="LQF46" s="137"/>
      <c r="LQG46" s="137"/>
      <c r="LQH46" s="137"/>
      <c r="LQI46" s="137"/>
      <c r="LQJ46" s="137"/>
      <c r="LQK46" s="137"/>
      <c r="LQL46" s="137"/>
      <c r="LQM46" s="137"/>
      <c r="LQN46" s="137"/>
      <c r="LQO46" s="137"/>
      <c r="LQP46" s="137"/>
      <c r="LQQ46" s="137"/>
      <c r="LQR46" s="137"/>
      <c r="LQS46" s="137"/>
      <c r="LQT46" s="137"/>
      <c r="LQU46" s="137"/>
      <c r="LQV46" s="137"/>
      <c r="LQW46" s="137"/>
      <c r="LQX46" s="137"/>
      <c r="LQY46" s="137"/>
      <c r="LQZ46" s="137"/>
      <c r="LRA46" s="137"/>
      <c r="LRB46" s="137"/>
      <c r="LRC46" s="137"/>
      <c r="LRD46" s="137"/>
      <c r="LRE46" s="137"/>
      <c r="LRF46" s="137"/>
      <c r="LRG46" s="137"/>
      <c r="LRH46" s="137"/>
      <c r="LRI46" s="137"/>
      <c r="LRJ46" s="137"/>
      <c r="LRK46" s="137"/>
      <c r="LRL46" s="137"/>
      <c r="LRM46" s="137"/>
      <c r="LRN46" s="137"/>
      <c r="LRO46" s="137"/>
      <c r="LRP46" s="137"/>
      <c r="LRQ46" s="137"/>
      <c r="LRR46" s="137"/>
      <c r="LRS46" s="137"/>
      <c r="LRT46" s="137"/>
      <c r="LRU46" s="137"/>
      <c r="LRV46" s="137"/>
      <c r="LRW46" s="137"/>
      <c r="LRX46" s="137"/>
      <c r="LRY46" s="137"/>
      <c r="LRZ46" s="137"/>
      <c r="LSA46" s="137"/>
      <c r="LSB46" s="137"/>
      <c r="LSC46" s="137"/>
      <c r="LSD46" s="137"/>
      <c r="LSE46" s="137"/>
      <c r="LSF46" s="137"/>
      <c r="LSG46" s="137"/>
      <c r="LSH46" s="137"/>
      <c r="LSI46" s="137"/>
      <c r="LSJ46" s="137"/>
      <c r="LSK46" s="137"/>
      <c r="LSL46" s="137"/>
      <c r="LSM46" s="137"/>
      <c r="LSN46" s="137"/>
      <c r="LSO46" s="137"/>
      <c r="LSP46" s="137"/>
      <c r="LSQ46" s="137"/>
      <c r="LSR46" s="137"/>
      <c r="LSS46" s="137"/>
      <c r="LST46" s="137"/>
      <c r="LSU46" s="137"/>
      <c r="LSV46" s="137"/>
      <c r="LSW46" s="137"/>
      <c r="LSX46" s="137"/>
      <c r="LSY46" s="137"/>
      <c r="LSZ46" s="137"/>
      <c r="LTA46" s="137"/>
      <c r="LTB46" s="137"/>
      <c r="LTC46" s="137"/>
      <c r="LTD46" s="137"/>
      <c r="LTE46" s="137"/>
      <c r="LTF46" s="137"/>
      <c r="LTG46" s="137"/>
      <c r="LTH46" s="137"/>
      <c r="LTI46" s="137"/>
      <c r="LTJ46" s="137"/>
      <c r="LTK46" s="137"/>
      <c r="LTL46" s="137"/>
      <c r="LTM46" s="137"/>
      <c r="LTN46" s="137"/>
      <c r="LTO46" s="137"/>
      <c r="LTP46" s="137"/>
      <c r="LTQ46" s="137"/>
      <c r="LTR46" s="137"/>
      <c r="LTS46" s="137"/>
      <c r="LTT46" s="137"/>
      <c r="LTU46" s="137"/>
      <c r="LTV46" s="137"/>
      <c r="LTW46" s="137"/>
      <c r="LTX46" s="137"/>
      <c r="LTY46" s="137"/>
      <c r="LTZ46" s="137"/>
      <c r="LUA46" s="137"/>
      <c r="LUB46" s="137"/>
      <c r="LUC46" s="137"/>
      <c r="LUD46" s="137"/>
      <c r="LUE46" s="137"/>
      <c r="LUF46" s="137"/>
      <c r="LUG46" s="137"/>
      <c r="LUH46" s="137"/>
      <c r="LUI46" s="137"/>
      <c r="LUJ46" s="137"/>
      <c r="LUK46" s="137"/>
      <c r="LUL46" s="137"/>
      <c r="LUM46" s="137"/>
      <c r="LUN46" s="137"/>
      <c r="LUO46" s="137"/>
      <c r="LUP46" s="137"/>
      <c r="LUQ46" s="137"/>
      <c r="LUR46" s="137"/>
      <c r="LUS46" s="137"/>
      <c r="LUT46" s="137"/>
      <c r="LUU46" s="137"/>
      <c r="LUV46" s="137"/>
      <c r="LUW46" s="137"/>
      <c r="LUX46" s="137"/>
      <c r="LUY46" s="137"/>
      <c r="LUZ46" s="137"/>
      <c r="LVA46" s="137"/>
      <c r="LVB46" s="137"/>
      <c r="LVC46" s="137"/>
      <c r="LVD46" s="137"/>
      <c r="LVE46" s="137"/>
      <c r="LVF46" s="137"/>
      <c r="LVG46" s="137"/>
      <c r="LVH46" s="137"/>
      <c r="LVI46" s="137"/>
      <c r="LVJ46" s="137"/>
      <c r="LVK46" s="137"/>
      <c r="LVL46" s="137"/>
      <c r="LVM46" s="137"/>
      <c r="LVN46" s="137"/>
      <c r="LVO46" s="137"/>
      <c r="LVP46" s="137"/>
      <c r="LVQ46" s="137"/>
      <c r="LVR46" s="137"/>
      <c r="LVS46" s="137"/>
      <c r="LVT46" s="137"/>
      <c r="LVU46" s="137"/>
      <c r="LVV46" s="137"/>
      <c r="LVW46" s="137"/>
      <c r="LVX46" s="137"/>
      <c r="LVY46" s="137"/>
      <c r="LVZ46" s="137"/>
      <c r="LWA46" s="137"/>
      <c r="LWB46" s="137"/>
      <c r="LWC46" s="137"/>
      <c r="LWD46" s="137"/>
      <c r="LWE46" s="137"/>
      <c r="LWF46" s="137"/>
      <c r="LWG46" s="137"/>
      <c r="LWH46" s="137"/>
      <c r="LWI46" s="137"/>
      <c r="LWJ46" s="137"/>
      <c r="LWK46" s="137"/>
      <c r="LWL46" s="137"/>
      <c r="LWM46" s="137"/>
      <c r="LWN46" s="137"/>
      <c r="LWO46" s="137"/>
      <c r="LWP46" s="137"/>
      <c r="LWQ46" s="137"/>
      <c r="LWR46" s="137"/>
      <c r="LWS46" s="137"/>
      <c r="LWT46" s="137"/>
      <c r="LWU46" s="137"/>
      <c r="LWV46" s="137"/>
      <c r="LWW46" s="137"/>
      <c r="LWX46" s="137"/>
      <c r="LWY46" s="137"/>
      <c r="LWZ46" s="137"/>
      <c r="LXA46" s="137"/>
      <c r="LXB46" s="137"/>
      <c r="LXC46" s="137"/>
      <c r="LXD46" s="137"/>
      <c r="LXE46" s="137"/>
      <c r="LXF46" s="137"/>
      <c r="LXG46" s="137"/>
      <c r="LXH46" s="137"/>
      <c r="LXI46" s="137"/>
      <c r="LXJ46" s="137"/>
      <c r="LXK46" s="137"/>
      <c r="LXL46" s="137"/>
      <c r="LXM46" s="137"/>
      <c r="LXN46" s="137"/>
      <c r="LXO46" s="137"/>
      <c r="LXP46" s="137"/>
      <c r="LXQ46" s="137"/>
      <c r="LXR46" s="137"/>
      <c r="LXS46" s="137"/>
      <c r="LXT46" s="137"/>
      <c r="LXU46" s="137"/>
      <c r="LXV46" s="137"/>
      <c r="LXW46" s="137"/>
      <c r="LXX46" s="137"/>
      <c r="LXY46" s="137"/>
      <c r="LXZ46" s="137"/>
      <c r="LYA46" s="137"/>
      <c r="LYB46" s="137"/>
      <c r="LYC46" s="137"/>
      <c r="LYD46" s="137"/>
      <c r="LYE46" s="137"/>
      <c r="LYF46" s="137"/>
      <c r="LYG46" s="137"/>
      <c r="LYH46" s="137"/>
      <c r="LYI46" s="137"/>
      <c r="LYJ46" s="137"/>
      <c r="LYK46" s="137"/>
      <c r="LYL46" s="137"/>
      <c r="LYM46" s="137"/>
      <c r="LYN46" s="137"/>
      <c r="LYO46" s="137"/>
      <c r="LYP46" s="137"/>
      <c r="LYQ46" s="137"/>
      <c r="LYR46" s="137"/>
      <c r="LYS46" s="137"/>
      <c r="LYT46" s="137"/>
      <c r="LYU46" s="137"/>
      <c r="LYV46" s="137"/>
      <c r="LYW46" s="137"/>
      <c r="LYX46" s="137"/>
      <c r="LYY46" s="137"/>
      <c r="LYZ46" s="137"/>
      <c r="LZA46" s="137"/>
      <c r="LZB46" s="137"/>
      <c r="LZC46" s="137"/>
      <c r="LZD46" s="137"/>
      <c r="LZE46" s="137"/>
      <c r="LZF46" s="137"/>
      <c r="LZG46" s="137"/>
      <c r="LZH46" s="137"/>
      <c r="LZI46" s="137"/>
      <c r="LZJ46" s="137"/>
      <c r="LZK46" s="137"/>
      <c r="LZL46" s="137"/>
      <c r="LZM46" s="137"/>
      <c r="LZN46" s="137"/>
      <c r="LZO46" s="137"/>
      <c r="LZP46" s="137"/>
      <c r="LZQ46" s="137"/>
      <c r="LZR46" s="137"/>
      <c r="LZS46" s="137"/>
      <c r="LZT46" s="137"/>
      <c r="LZU46" s="137"/>
      <c r="LZV46" s="137"/>
      <c r="LZW46" s="137"/>
      <c r="LZX46" s="137"/>
      <c r="LZY46" s="137"/>
      <c r="LZZ46" s="137"/>
      <c r="MAA46" s="137"/>
      <c r="MAB46" s="137"/>
      <c r="MAC46" s="137"/>
      <c r="MAD46" s="137"/>
      <c r="MAE46" s="137"/>
      <c r="MAF46" s="137"/>
      <c r="MAG46" s="137"/>
      <c r="MAH46" s="137"/>
      <c r="MAI46" s="137"/>
      <c r="MAJ46" s="137"/>
      <c r="MAK46" s="137"/>
      <c r="MAL46" s="137"/>
      <c r="MAM46" s="137"/>
      <c r="MAN46" s="137"/>
      <c r="MAO46" s="137"/>
      <c r="MAP46" s="137"/>
      <c r="MAQ46" s="137"/>
      <c r="MAR46" s="137"/>
      <c r="MAS46" s="137"/>
      <c r="MAT46" s="137"/>
      <c r="MAU46" s="137"/>
      <c r="MAV46" s="137"/>
      <c r="MAW46" s="137"/>
      <c r="MAX46" s="137"/>
      <c r="MAY46" s="137"/>
      <c r="MAZ46" s="137"/>
      <c r="MBA46" s="137"/>
      <c r="MBB46" s="137"/>
      <c r="MBC46" s="137"/>
      <c r="MBD46" s="137"/>
      <c r="MBE46" s="137"/>
      <c r="MBF46" s="137"/>
      <c r="MBG46" s="137"/>
      <c r="MBH46" s="137"/>
      <c r="MBI46" s="137"/>
      <c r="MBJ46" s="137"/>
      <c r="MBK46" s="137"/>
      <c r="MBL46" s="137"/>
      <c r="MBM46" s="137"/>
      <c r="MBN46" s="137"/>
      <c r="MBO46" s="137"/>
      <c r="MBP46" s="137"/>
      <c r="MBQ46" s="137"/>
      <c r="MBR46" s="137"/>
      <c r="MBS46" s="137"/>
      <c r="MBT46" s="137"/>
      <c r="MBU46" s="137"/>
      <c r="MBV46" s="137"/>
      <c r="MBW46" s="137"/>
      <c r="MBX46" s="137"/>
      <c r="MBY46" s="137"/>
      <c r="MBZ46" s="137"/>
      <c r="MCA46" s="137"/>
      <c r="MCB46" s="137"/>
      <c r="MCC46" s="137"/>
      <c r="MCD46" s="137"/>
      <c r="MCE46" s="137"/>
      <c r="MCF46" s="137"/>
      <c r="MCG46" s="137"/>
      <c r="MCH46" s="137"/>
      <c r="MCI46" s="137"/>
      <c r="MCJ46" s="137"/>
      <c r="MCK46" s="137"/>
      <c r="MCL46" s="137"/>
      <c r="MCM46" s="137"/>
      <c r="MCN46" s="137"/>
      <c r="MCO46" s="137"/>
      <c r="MCP46" s="137"/>
      <c r="MCQ46" s="137"/>
      <c r="MCR46" s="137"/>
      <c r="MCS46" s="137"/>
      <c r="MCT46" s="137"/>
      <c r="MCU46" s="137"/>
      <c r="MCV46" s="137"/>
      <c r="MCW46" s="137"/>
      <c r="MCX46" s="137"/>
      <c r="MCY46" s="137"/>
      <c r="MCZ46" s="137"/>
      <c r="MDA46" s="137"/>
      <c r="MDB46" s="137"/>
      <c r="MDC46" s="137"/>
      <c r="MDD46" s="137"/>
      <c r="MDE46" s="137"/>
      <c r="MDF46" s="137"/>
      <c r="MDG46" s="137"/>
      <c r="MDH46" s="137"/>
      <c r="MDI46" s="137"/>
      <c r="MDJ46" s="137"/>
      <c r="MDK46" s="137"/>
      <c r="MDL46" s="137"/>
      <c r="MDM46" s="137"/>
      <c r="MDN46" s="137"/>
      <c r="MDO46" s="137"/>
      <c r="MDP46" s="137"/>
      <c r="MDQ46" s="137"/>
      <c r="MDR46" s="137"/>
      <c r="MDS46" s="137"/>
      <c r="MDT46" s="137"/>
      <c r="MDU46" s="137"/>
      <c r="MDV46" s="137"/>
      <c r="MDW46" s="137"/>
      <c r="MDX46" s="137"/>
      <c r="MDY46" s="137"/>
      <c r="MDZ46" s="137"/>
      <c r="MEA46" s="137"/>
      <c r="MEB46" s="137"/>
      <c r="MEC46" s="137"/>
      <c r="MED46" s="137"/>
      <c r="MEE46" s="137"/>
      <c r="MEF46" s="137"/>
      <c r="MEG46" s="137"/>
      <c r="MEH46" s="137"/>
      <c r="MEI46" s="137"/>
      <c r="MEJ46" s="137"/>
      <c r="MEK46" s="137"/>
      <c r="MEL46" s="137"/>
      <c r="MEM46" s="137"/>
      <c r="MEN46" s="137"/>
      <c r="MEO46" s="137"/>
      <c r="MEP46" s="137"/>
      <c r="MEQ46" s="137"/>
      <c r="MER46" s="137"/>
      <c r="MES46" s="137"/>
      <c r="MET46" s="137"/>
      <c r="MEU46" s="137"/>
      <c r="MEV46" s="137"/>
      <c r="MEW46" s="137"/>
      <c r="MEX46" s="137"/>
      <c r="MEY46" s="137"/>
      <c r="MEZ46" s="137"/>
      <c r="MFA46" s="137"/>
      <c r="MFB46" s="137"/>
      <c r="MFC46" s="137"/>
      <c r="MFD46" s="137"/>
      <c r="MFE46" s="137"/>
      <c r="MFF46" s="137"/>
      <c r="MFG46" s="137"/>
      <c r="MFH46" s="137"/>
      <c r="MFI46" s="137"/>
      <c r="MFJ46" s="137"/>
      <c r="MFK46" s="137"/>
      <c r="MFL46" s="137"/>
      <c r="MFM46" s="137"/>
      <c r="MFN46" s="137"/>
      <c r="MFO46" s="137"/>
      <c r="MFP46" s="137"/>
      <c r="MFQ46" s="137"/>
      <c r="MFR46" s="137"/>
      <c r="MFS46" s="137"/>
      <c r="MFT46" s="137"/>
      <c r="MFU46" s="137"/>
      <c r="MFV46" s="137"/>
      <c r="MFW46" s="137"/>
      <c r="MFX46" s="137"/>
      <c r="MFY46" s="137"/>
      <c r="MFZ46" s="137"/>
      <c r="MGA46" s="137"/>
      <c r="MGB46" s="137"/>
      <c r="MGC46" s="137"/>
      <c r="MGD46" s="137"/>
      <c r="MGE46" s="137"/>
      <c r="MGF46" s="137"/>
      <c r="MGG46" s="137"/>
      <c r="MGH46" s="137"/>
      <c r="MGI46" s="137"/>
      <c r="MGJ46" s="137"/>
      <c r="MGK46" s="137"/>
      <c r="MGL46" s="137"/>
      <c r="MGM46" s="137"/>
      <c r="MGN46" s="137"/>
      <c r="MGO46" s="137"/>
      <c r="MGP46" s="137"/>
      <c r="MGQ46" s="137"/>
      <c r="MGR46" s="137"/>
      <c r="MGS46" s="137"/>
      <c r="MGT46" s="137"/>
      <c r="MGU46" s="137"/>
      <c r="MGV46" s="137"/>
      <c r="MGW46" s="137"/>
      <c r="MGX46" s="137"/>
      <c r="MGY46" s="137"/>
      <c r="MGZ46" s="137"/>
      <c r="MHA46" s="137"/>
      <c r="MHB46" s="137"/>
      <c r="MHC46" s="137"/>
      <c r="MHD46" s="137"/>
      <c r="MHE46" s="137"/>
      <c r="MHF46" s="137"/>
      <c r="MHG46" s="137"/>
      <c r="MHH46" s="137"/>
      <c r="MHI46" s="137"/>
      <c r="MHJ46" s="137"/>
      <c r="MHK46" s="137"/>
      <c r="MHL46" s="137"/>
      <c r="MHM46" s="137"/>
      <c r="MHN46" s="137"/>
      <c r="MHO46" s="137"/>
      <c r="MHP46" s="137"/>
      <c r="MHQ46" s="137"/>
      <c r="MHR46" s="137"/>
      <c r="MHS46" s="137"/>
      <c r="MHT46" s="137"/>
      <c r="MHU46" s="137"/>
      <c r="MHV46" s="137"/>
      <c r="MHW46" s="137"/>
      <c r="MHX46" s="137"/>
      <c r="MHY46" s="137"/>
      <c r="MHZ46" s="137"/>
      <c r="MIA46" s="137"/>
      <c r="MIB46" s="137"/>
      <c r="MIC46" s="137"/>
      <c r="MID46" s="137"/>
      <c r="MIE46" s="137"/>
      <c r="MIF46" s="137"/>
      <c r="MIG46" s="137"/>
      <c r="MIH46" s="137"/>
      <c r="MII46" s="137"/>
      <c r="MIJ46" s="137"/>
      <c r="MIK46" s="137"/>
      <c r="MIL46" s="137"/>
      <c r="MIM46" s="137"/>
      <c r="MIN46" s="137"/>
      <c r="MIO46" s="137"/>
      <c r="MIP46" s="137"/>
      <c r="MIQ46" s="137"/>
      <c r="MIR46" s="137"/>
      <c r="MIS46" s="137"/>
      <c r="MIT46" s="137"/>
      <c r="MIU46" s="137"/>
      <c r="MIV46" s="137"/>
      <c r="MIW46" s="137"/>
      <c r="MIX46" s="137"/>
      <c r="MIY46" s="137"/>
      <c r="MIZ46" s="137"/>
      <c r="MJA46" s="137"/>
      <c r="MJB46" s="137"/>
      <c r="MJC46" s="137"/>
      <c r="MJD46" s="137"/>
      <c r="MJE46" s="137"/>
      <c r="MJF46" s="137"/>
      <c r="MJG46" s="137"/>
      <c r="MJH46" s="137"/>
      <c r="MJI46" s="137"/>
      <c r="MJJ46" s="137"/>
      <c r="MJK46" s="137"/>
      <c r="MJL46" s="137"/>
      <c r="MJM46" s="137"/>
      <c r="MJN46" s="137"/>
      <c r="MJO46" s="137"/>
      <c r="MJP46" s="137"/>
      <c r="MJQ46" s="137"/>
      <c r="MJR46" s="137"/>
      <c r="MJS46" s="137"/>
      <c r="MJT46" s="137"/>
      <c r="MJU46" s="137"/>
      <c r="MJV46" s="137"/>
      <c r="MJW46" s="137"/>
      <c r="MJX46" s="137"/>
      <c r="MJY46" s="137"/>
      <c r="MJZ46" s="137"/>
      <c r="MKA46" s="137"/>
      <c r="MKB46" s="137"/>
      <c r="MKC46" s="137"/>
      <c r="MKD46" s="137"/>
      <c r="MKE46" s="137"/>
      <c r="MKF46" s="137"/>
      <c r="MKG46" s="137"/>
      <c r="MKH46" s="137"/>
      <c r="MKI46" s="137"/>
      <c r="MKJ46" s="137"/>
      <c r="MKK46" s="137"/>
      <c r="MKL46" s="137"/>
      <c r="MKM46" s="137"/>
      <c r="MKN46" s="137"/>
      <c r="MKO46" s="137"/>
      <c r="MKP46" s="137"/>
      <c r="MKQ46" s="137"/>
      <c r="MKR46" s="137"/>
      <c r="MKS46" s="137"/>
      <c r="MKT46" s="137"/>
      <c r="MKU46" s="137"/>
      <c r="MKV46" s="137"/>
      <c r="MKW46" s="137"/>
      <c r="MKX46" s="137"/>
      <c r="MKY46" s="137"/>
      <c r="MKZ46" s="137"/>
      <c r="MLA46" s="137"/>
      <c r="MLB46" s="137"/>
      <c r="MLC46" s="137"/>
      <c r="MLD46" s="137"/>
      <c r="MLE46" s="137"/>
      <c r="MLF46" s="137"/>
      <c r="MLG46" s="137"/>
      <c r="MLH46" s="137"/>
      <c r="MLI46" s="137"/>
      <c r="MLJ46" s="137"/>
      <c r="MLK46" s="137"/>
      <c r="MLL46" s="137"/>
      <c r="MLM46" s="137"/>
      <c r="MLN46" s="137"/>
      <c r="MLO46" s="137"/>
      <c r="MLP46" s="137"/>
      <c r="MLQ46" s="137"/>
      <c r="MLR46" s="137"/>
      <c r="MLS46" s="137"/>
      <c r="MLT46" s="137"/>
      <c r="MLU46" s="137"/>
      <c r="MLV46" s="137"/>
      <c r="MLW46" s="137"/>
      <c r="MLX46" s="137"/>
      <c r="MLY46" s="137"/>
      <c r="MLZ46" s="137"/>
      <c r="MMA46" s="137"/>
      <c r="MMB46" s="137"/>
      <c r="MMC46" s="137"/>
      <c r="MMD46" s="137"/>
      <c r="MME46" s="137"/>
      <c r="MMF46" s="137"/>
      <c r="MMG46" s="137"/>
      <c r="MMH46" s="137"/>
      <c r="MMI46" s="137"/>
      <c r="MMJ46" s="137"/>
      <c r="MMK46" s="137"/>
      <c r="MML46" s="137"/>
      <c r="MMM46" s="137"/>
      <c r="MMN46" s="137"/>
      <c r="MMO46" s="137"/>
      <c r="MMP46" s="137"/>
      <c r="MMQ46" s="137"/>
      <c r="MMR46" s="137"/>
      <c r="MMS46" s="137"/>
      <c r="MMT46" s="137"/>
      <c r="MMU46" s="137"/>
      <c r="MMV46" s="137"/>
      <c r="MMW46" s="137"/>
      <c r="MMX46" s="137"/>
      <c r="MMY46" s="137"/>
      <c r="MMZ46" s="137"/>
      <c r="MNA46" s="137"/>
      <c r="MNB46" s="137"/>
      <c r="MNC46" s="137"/>
      <c r="MND46" s="137"/>
      <c r="MNE46" s="137"/>
      <c r="MNF46" s="137"/>
      <c r="MNG46" s="137"/>
      <c r="MNH46" s="137"/>
      <c r="MNI46" s="137"/>
      <c r="MNJ46" s="137"/>
      <c r="MNK46" s="137"/>
      <c r="MNL46" s="137"/>
      <c r="MNM46" s="137"/>
      <c r="MNN46" s="137"/>
      <c r="MNO46" s="137"/>
      <c r="MNP46" s="137"/>
      <c r="MNQ46" s="137"/>
      <c r="MNR46" s="137"/>
      <c r="MNS46" s="137"/>
      <c r="MNT46" s="137"/>
      <c r="MNU46" s="137"/>
      <c r="MNV46" s="137"/>
      <c r="MNW46" s="137"/>
      <c r="MNX46" s="137"/>
      <c r="MNY46" s="137"/>
      <c r="MNZ46" s="137"/>
      <c r="MOA46" s="137"/>
      <c r="MOB46" s="137"/>
      <c r="MOC46" s="137"/>
      <c r="MOD46" s="137"/>
      <c r="MOE46" s="137"/>
      <c r="MOF46" s="137"/>
      <c r="MOG46" s="137"/>
      <c r="MOH46" s="137"/>
      <c r="MOI46" s="137"/>
      <c r="MOJ46" s="137"/>
      <c r="MOK46" s="137"/>
      <c r="MOL46" s="137"/>
      <c r="MOM46" s="137"/>
      <c r="MON46" s="137"/>
      <c r="MOO46" s="137"/>
      <c r="MOP46" s="137"/>
      <c r="MOQ46" s="137"/>
      <c r="MOR46" s="137"/>
      <c r="MOS46" s="137"/>
      <c r="MOT46" s="137"/>
      <c r="MOU46" s="137"/>
      <c r="MOV46" s="137"/>
      <c r="MOW46" s="137"/>
      <c r="MOX46" s="137"/>
      <c r="MOY46" s="137"/>
      <c r="MOZ46" s="137"/>
      <c r="MPA46" s="137"/>
      <c r="MPB46" s="137"/>
      <c r="MPC46" s="137"/>
      <c r="MPD46" s="137"/>
      <c r="MPE46" s="137"/>
      <c r="MPF46" s="137"/>
      <c r="MPG46" s="137"/>
      <c r="MPH46" s="137"/>
      <c r="MPI46" s="137"/>
      <c r="MPJ46" s="137"/>
      <c r="MPK46" s="137"/>
      <c r="MPL46" s="137"/>
      <c r="MPM46" s="137"/>
      <c r="MPN46" s="137"/>
      <c r="MPO46" s="137"/>
      <c r="MPP46" s="137"/>
      <c r="MPQ46" s="137"/>
      <c r="MPR46" s="137"/>
      <c r="MPS46" s="137"/>
      <c r="MPT46" s="137"/>
      <c r="MPU46" s="137"/>
      <c r="MPV46" s="137"/>
      <c r="MPW46" s="137"/>
      <c r="MPX46" s="137"/>
      <c r="MPY46" s="137"/>
      <c r="MPZ46" s="137"/>
      <c r="MQA46" s="137"/>
      <c r="MQB46" s="137"/>
      <c r="MQC46" s="137"/>
      <c r="MQD46" s="137"/>
      <c r="MQE46" s="137"/>
      <c r="MQF46" s="137"/>
      <c r="MQG46" s="137"/>
      <c r="MQH46" s="137"/>
      <c r="MQI46" s="137"/>
      <c r="MQJ46" s="137"/>
      <c r="MQK46" s="137"/>
      <c r="MQL46" s="137"/>
      <c r="MQM46" s="137"/>
      <c r="MQN46" s="137"/>
      <c r="MQO46" s="137"/>
      <c r="MQP46" s="137"/>
      <c r="MQQ46" s="137"/>
      <c r="MQR46" s="137"/>
      <c r="MQS46" s="137"/>
      <c r="MQT46" s="137"/>
      <c r="MQU46" s="137"/>
      <c r="MQV46" s="137"/>
      <c r="MQW46" s="137"/>
      <c r="MQX46" s="137"/>
      <c r="MQY46" s="137"/>
      <c r="MQZ46" s="137"/>
      <c r="MRA46" s="137"/>
      <c r="MRB46" s="137"/>
      <c r="MRC46" s="137"/>
      <c r="MRD46" s="137"/>
      <c r="MRE46" s="137"/>
      <c r="MRF46" s="137"/>
      <c r="MRG46" s="137"/>
      <c r="MRH46" s="137"/>
      <c r="MRI46" s="137"/>
      <c r="MRJ46" s="137"/>
      <c r="MRK46" s="137"/>
      <c r="MRL46" s="137"/>
      <c r="MRM46" s="137"/>
      <c r="MRN46" s="137"/>
      <c r="MRO46" s="137"/>
      <c r="MRP46" s="137"/>
      <c r="MRQ46" s="137"/>
      <c r="MRR46" s="137"/>
      <c r="MRS46" s="137"/>
      <c r="MRT46" s="137"/>
      <c r="MRU46" s="137"/>
      <c r="MRV46" s="137"/>
      <c r="MRW46" s="137"/>
      <c r="MRX46" s="137"/>
      <c r="MRY46" s="137"/>
      <c r="MRZ46" s="137"/>
      <c r="MSA46" s="137"/>
      <c r="MSB46" s="137"/>
      <c r="MSC46" s="137"/>
      <c r="MSD46" s="137"/>
      <c r="MSE46" s="137"/>
      <c r="MSF46" s="137"/>
      <c r="MSG46" s="137"/>
      <c r="MSH46" s="137"/>
      <c r="MSI46" s="137"/>
      <c r="MSJ46" s="137"/>
      <c r="MSK46" s="137"/>
      <c r="MSL46" s="137"/>
      <c r="MSM46" s="137"/>
      <c r="MSN46" s="137"/>
      <c r="MSO46" s="137"/>
      <c r="MSP46" s="137"/>
      <c r="MSQ46" s="137"/>
      <c r="MSR46" s="137"/>
      <c r="MSS46" s="137"/>
      <c r="MST46" s="137"/>
      <c r="MSU46" s="137"/>
      <c r="MSV46" s="137"/>
      <c r="MSW46" s="137"/>
      <c r="MSX46" s="137"/>
      <c r="MSY46" s="137"/>
      <c r="MSZ46" s="137"/>
      <c r="MTA46" s="137"/>
      <c r="MTB46" s="137"/>
      <c r="MTC46" s="137"/>
      <c r="MTD46" s="137"/>
      <c r="MTE46" s="137"/>
      <c r="MTF46" s="137"/>
      <c r="MTG46" s="137"/>
      <c r="MTH46" s="137"/>
      <c r="MTI46" s="137"/>
      <c r="MTJ46" s="137"/>
      <c r="MTK46" s="137"/>
      <c r="MTL46" s="137"/>
      <c r="MTM46" s="137"/>
      <c r="MTN46" s="137"/>
      <c r="MTO46" s="137"/>
      <c r="MTP46" s="137"/>
      <c r="MTQ46" s="137"/>
      <c r="MTR46" s="137"/>
      <c r="MTS46" s="137"/>
      <c r="MTT46" s="137"/>
      <c r="MTU46" s="137"/>
      <c r="MTV46" s="137"/>
      <c r="MTW46" s="137"/>
      <c r="MTX46" s="137"/>
      <c r="MTY46" s="137"/>
      <c r="MTZ46" s="137"/>
      <c r="MUA46" s="137"/>
      <c r="MUB46" s="137"/>
      <c r="MUC46" s="137"/>
      <c r="MUD46" s="137"/>
      <c r="MUE46" s="137"/>
      <c r="MUF46" s="137"/>
      <c r="MUG46" s="137"/>
      <c r="MUH46" s="137"/>
      <c r="MUI46" s="137"/>
      <c r="MUJ46" s="137"/>
      <c r="MUK46" s="137"/>
      <c r="MUL46" s="137"/>
      <c r="MUM46" s="137"/>
      <c r="MUN46" s="137"/>
      <c r="MUO46" s="137"/>
      <c r="MUP46" s="137"/>
      <c r="MUQ46" s="137"/>
      <c r="MUR46" s="137"/>
      <c r="MUS46" s="137"/>
      <c r="MUT46" s="137"/>
      <c r="MUU46" s="137"/>
      <c r="MUV46" s="137"/>
      <c r="MUW46" s="137"/>
      <c r="MUX46" s="137"/>
      <c r="MUY46" s="137"/>
      <c r="MUZ46" s="137"/>
      <c r="MVA46" s="137"/>
      <c r="MVB46" s="137"/>
      <c r="MVC46" s="137"/>
      <c r="MVD46" s="137"/>
      <c r="MVE46" s="137"/>
      <c r="MVF46" s="137"/>
      <c r="MVG46" s="137"/>
      <c r="MVH46" s="137"/>
      <c r="MVI46" s="137"/>
      <c r="MVJ46" s="137"/>
      <c r="MVK46" s="137"/>
      <c r="MVL46" s="137"/>
      <c r="MVM46" s="137"/>
      <c r="MVN46" s="137"/>
      <c r="MVO46" s="137"/>
      <c r="MVP46" s="137"/>
      <c r="MVQ46" s="137"/>
      <c r="MVR46" s="137"/>
      <c r="MVS46" s="137"/>
      <c r="MVT46" s="137"/>
      <c r="MVU46" s="137"/>
      <c r="MVV46" s="137"/>
      <c r="MVW46" s="137"/>
      <c r="MVX46" s="137"/>
      <c r="MVY46" s="137"/>
      <c r="MVZ46" s="137"/>
      <c r="MWA46" s="137"/>
      <c r="MWB46" s="137"/>
      <c r="MWC46" s="137"/>
      <c r="MWD46" s="137"/>
      <c r="MWE46" s="137"/>
      <c r="MWF46" s="137"/>
      <c r="MWG46" s="137"/>
      <c r="MWH46" s="137"/>
      <c r="MWI46" s="137"/>
      <c r="MWJ46" s="137"/>
      <c r="MWK46" s="137"/>
      <c r="MWL46" s="137"/>
      <c r="MWM46" s="137"/>
      <c r="MWN46" s="137"/>
      <c r="MWO46" s="137"/>
      <c r="MWP46" s="137"/>
      <c r="MWQ46" s="137"/>
      <c r="MWR46" s="137"/>
      <c r="MWS46" s="137"/>
      <c r="MWT46" s="137"/>
      <c r="MWU46" s="137"/>
      <c r="MWV46" s="137"/>
      <c r="MWW46" s="137"/>
      <c r="MWX46" s="137"/>
      <c r="MWY46" s="137"/>
      <c r="MWZ46" s="137"/>
      <c r="MXA46" s="137"/>
      <c r="MXB46" s="137"/>
      <c r="MXC46" s="137"/>
      <c r="MXD46" s="137"/>
      <c r="MXE46" s="137"/>
      <c r="MXF46" s="137"/>
      <c r="MXG46" s="137"/>
      <c r="MXH46" s="137"/>
      <c r="MXI46" s="137"/>
      <c r="MXJ46" s="137"/>
      <c r="MXK46" s="137"/>
      <c r="MXL46" s="137"/>
      <c r="MXM46" s="137"/>
      <c r="MXN46" s="137"/>
      <c r="MXO46" s="137"/>
      <c r="MXP46" s="137"/>
      <c r="MXQ46" s="137"/>
      <c r="MXR46" s="137"/>
      <c r="MXS46" s="137"/>
      <c r="MXT46" s="137"/>
      <c r="MXU46" s="137"/>
      <c r="MXV46" s="137"/>
      <c r="MXW46" s="137"/>
      <c r="MXX46" s="137"/>
      <c r="MXY46" s="137"/>
      <c r="MXZ46" s="137"/>
      <c r="MYA46" s="137"/>
      <c r="MYB46" s="137"/>
      <c r="MYC46" s="137"/>
      <c r="MYD46" s="137"/>
      <c r="MYE46" s="137"/>
      <c r="MYF46" s="137"/>
      <c r="MYG46" s="137"/>
      <c r="MYH46" s="137"/>
      <c r="MYI46" s="137"/>
      <c r="MYJ46" s="137"/>
      <c r="MYK46" s="137"/>
      <c r="MYL46" s="137"/>
      <c r="MYM46" s="137"/>
      <c r="MYN46" s="137"/>
      <c r="MYO46" s="137"/>
      <c r="MYP46" s="137"/>
      <c r="MYQ46" s="137"/>
      <c r="MYR46" s="137"/>
      <c r="MYS46" s="137"/>
      <c r="MYT46" s="137"/>
      <c r="MYU46" s="137"/>
      <c r="MYV46" s="137"/>
      <c r="MYW46" s="137"/>
      <c r="MYX46" s="137"/>
      <c r="MYY46" s="137"/>
      <c r="MYZ46" s="137"/>
      <c r="MZA46" s="137"/>
      <c r="MZB46" s="137"/>
      <c r="MZC46" s="137"/>
      <c r="MZD46" s="137"/>
      <c r="MZE46" s="137"/>
      <c r="MZF46" s="137"/>
      <c r="MZG46" s="137"/>
      <c r="MZH46" s="137"/>
      <c r="MZI46" s="137"/>
      <c r="MZJ46" s="137"/>
      <c r="MZK46" s="137"/>
      <c r="MZL46" s="137"/>
      <c r="MZM46" s="137"/>
      <c r="MZN46" s="137"/>
      <c r="MZO46" s="137"/>
      <c r="MZP46" s="137"/>
      <c r="MZQ46" s="137"/>
      <c r="MZR46" s="137"/>
      <c r="MZS46" s="137"/>
      <c r="MZT46" s="137"/>
      <c r="MZU46" s="137"/>
      <c r="MZV46" s="137"/>
      <c r="MZW46" s="137"/>
      <c r="MZX46" s="137"/>
      <c r="MZY46" s="137"/>
      <c r="MZZ46" s="137"/>
      <c r="NAA46" s="137"/>
      <c r="NAB46" s="137"/>
      <c r="NAC46" s="137"/>
      <c r="NAD46" s="137"/>
      <c r="NAE46" s="137"/>
      <c r="NAF46" s="137"/>
      <c r="NAG46" s="137"/>
      <c r="NAH46" s="137"/>
      <c r="NAI46" s="137"/>
      <c r="NAJ46" s="137"/>
      <c r="NAK46" s="137"/>
      <c r="NAL46" s="137"/>
      <c r="NAM46" s="137"/>
      <c r="NAN46" s="137"/>
      <c r="NAO46" s="137"/>
      <c r="NAP46" s="137"/>
      <c r="NAQ46" s="137"/>
      <c r="NAR46" s="137"/>
      <c r="NAS46" s="137"/>
      <c r="NAT46" s="137"/>
      <c r="NAU46" s="137"/>
      <c r="NAV46" s="137"/>
      <c r="NAW46" s="137"/>
      <c r="NAX46" s="137"/>
      <c r="NAY46" s="137"/>
      <c r="NAZ46" s="137"/>
      <c r="NBA46" s="137"/>
      <c r="NBB46" s="137"/>
      <c r="NBC46" s="137"/>
      <c r="NBD46" s="137"/>
      <c r="NBE46" s="137"/>
      <c r="NBF46" s="137"/>
      <c r="NBG46" s="137"/>
      <c r="NBH46" s="137"/>
      <c r="NBI46" s="137"/>
      <c r="NBJ46" s="137"/>
      <c r="NBK46" s="137"/>
      <c r="NBL46" s="137"/>
      <c r="NBM46" s="137"/>
      <c r="NBN46" s="137"/>
      <c r="NBO46" s="137"/>
      <c r="NBP46" s="137"/>
      <c r="NBQ46" s="137"/>
      <c r="NBR46" s="137"/>
      <c r="NBS46" s="137"/>
      <c r="NBT46" s="137"/>
      <c r="NBU46" s="137"/>
      <c r="NBV46" s="137"/>
      <c r="NBW46" s="137"/>
      <c r="NBX46" s="137"/>
      <c r="NBY46" s="137"/>
      <c r="NBZ46" s="137"/>
      <c r="NCA46" s="137"/>
      <c r="NCB46" s="137"/>
      <c r="NCC46" s="137"/>
      <c r="NCD46" s="137"/>
      <c r="NCE46" s="137"/>
      <c r="NCF46" s="137"/>
      <c r="NCG46" s="137"/>
      <c r="NCH46" s="137"/>
      <c r="NCI46" s="137"/>
      <c r="NCJ46" s="137"/>
      <c r="NCK46" s="137"/>
      <c r="NCL46" s="137"/>
      <c r="NCM46" s="137"/>
      <c r="NCN46" s="137"/>
      <c r="NCO46" s="137"/>
      <c r="NCP46" s="137"/>
      <c r="NCQ46" s="137"/>
      <c r="NCR46" s="137"/>
      <c r="NCS46" s="137"/>
      <c r="NCT46" s="137"/>
      <c r="NCU46" s="137"/>
      <c r="NCV46" s="137"/>
      <c r="NCW46" s="137"/>
      <c r="NCX46" s="137"/>
      <c r="NCY46" s="137"/>
      <c r="NCZ46" s="137"/>
      <c r="NDA46" s="137"/>
      <c r="NDB46" s="137"/>
      <c r="NDC46" s="137"/>
      <c r="NDD46" s="137"/>
      <c r="NDE46" s="137"/>
      <c r="NDF46" s="137"/>
      <c r="NDG46" s="137"/>
      <c r="NDH46" s="137"/>
      <c r="NDI46" s="137"/>
      <c r="NDJ46" s="137"/>
      <c r="NDK46" s="137"/>
      <c r="NDL46" s="137"/>
      <c r="NDM46" s="137"/>
      <c r="NDN46" s="137"/>
      <c r="NDO46" s="137"/>
      <c r="NDP46" s="137"/>
      <c r="NDQ46" s="137"/>
      <c r="NDR46" s="137"/>
      <c r="NDS46" s="137"/>
      <c r="NDT46" s="137"/>
      <c r="NDU46" s="137"/>
      <c r="NDV46" s="137"/>
      <c r="NDW46" s="137"/>
      <c r="NDX46" s="137"/>
      <c r="NDY46" s="137"/>
      <c r="NDZ46" s="137"/>
      <c r="NEA46" s="137"/>
      <c r="NEB46" s="137"/>
      <c r="NEC46" s="137"/>
      <c r="NED46" s="137"/>
      <c r="NEE46" s="137"/>
      <c r="NEF46" s="137"/>
      <c r="NEG46" s="137"/>
      <c r="NEH46" s="137"/>
      <c r="NEI46" s="137"/>
      <c r="NEJ46" s="137"/>
      <c r="NEK46" s="137"/>
      <c r="NEL46" s="137"/>
      <c r="NEM46" s="137"/>
      <c r="NEN46" s="137"/>
      <c r="NEO46" s="137"/>
      <c r="NEP46" s="137"/>
      <c r="NEQ46" s="137"/>
      <c r="NER46" s="137"/>
      <c r="NES46" s="137"/>
      <c r="NET46" s="137"/>
      <c r="NEU46" s="137"/>
      <c r="NEV46" s="137"/>
      <c r="NEW46" s="137"/>
      <c r="NEX46" s="137"/>
      <c r="NEY46" s="137"/>
      <c r="NEZ46" s="137"/>
      <c r="NFA46" s="137"/>
      <c r="NFB46" s="137"/>
      <c r="NFC46" s="137"/>
      <c r="NFD46" s="137"/>
      <c r="NFE46" s="137"/>
      <c r="NFF46" s="137"/>
      <c r="NFG46" s="137"/>
      <c r="NFH46" s="137"/>
      <c r="NFI46" s="137"/>
      <c r="NFJ46" s="137"/>
      <c r="NFK46" s="137"/>
      <c r="NFL46" s="137"/>
      <c r="NFM46" s="137"/>
      <c r="NFN46" s="137"/>
      <c r="NFO46" s="137"/>
      <c r="NFP46" s="137"/>
      <c r="NFQ46" s="137"/>
      <c r="NFR46" s="137"/>
      <c r="NFS46" s="137"/>
      <c r="NFT46" s="137"/>
      <c r="NFU46" s="137"/>
      <c r="NFV46" s="137"/>
      <c r="NFW46" s="137"/>
      <c r="NFX46" s="137"/>
      <c r="NFY46" s="137"/>
      <c r="NFZ46" s="137"/>
      <c r="NGA46" s="137"/>
      <c r="NGB46" s="137"/>
      <c r="NGC46" s="137"/>
      <c r="NGD46" s="137"/>
      <c r="NGE46" s="137"/>
      <c r="NGF46" s="137"/>
      <c r="NGG46" s="137"/>
      <c r="NGH46" s="137"/>
      <c r="NGI46" s="137"/>
      <c r="NGJ46" s="137"/>
      <c r="NGK46" s="137"/>
      <c r="NGL46" s="137"/>
      <c r="NGM46" s="137"/>
      <c r="NGN46" s="137"/>
      <c r="NGO46" s="137"/>
      <c r="NGP46" s="137"/>
      <c r="NGQ46" s="137"/>
      <c r="NGR46" s="137"/>
      <c r="NGS46" s="137"/>
      <c r="NGT46" s="137"/>
      <c r="NGU46" s="137"/>
      <c r="NGV46" s="137"/>
      <c r="NGW46" s="137"/>
      <c r="NGX46" s="137"/>
      <c r="NGY46" s="137"/>
      <c r="NGZ46" s="137"/>
      <c r="NHA46" s="137"/>
      <c r="NHB46" s="137"/>
      <c r="NHC46" s="137"/>
      <c r="NHD46" s="137"/>
      <c r="NHE46" s="137"/>
      <c r="NHF46" s="137"/>
      <c r="NHG46" s="137"/>
      <c r="NHH46" s="137"/>
      <c r="NHI46" s="137"/>
      <c r="NHJ46" s="137"/>
      <c r="NHK46" s="137"/>
      <c r="NHL46" s="137"/>
      <c r="NHM46" s="137"/>
      <c r="NHN46" s="137"/>
      <c r="NHO46" s="137"/>
      <c r="NHP46" s="137"/>
      <c r="NHQ46" s="137"/>
      <c r="NHR46" s="137"/>
      <c r="NHS46" s="137"/>
      <c r="NHT46" s="137"/>
      <c r="NHU46" s="137"/>
      <c r="NHV46" s="137"/>
      <c r="NHW46" s="137"/>
      <c r="NHX46" s="137"/>
      <c r="NHY46" s="137"/>
      <c r="NHZ46" s="137"/>
      <c r="NIA46" s="137"/>
      <c r="NIB46" s="137"/>
      <c r="NIC46" s="137"/>
      <c r="NID46" s="137"/>
      <c r="NIE46" s="137"/>
      <c r="NIF46" s="137"/>
      <c r="NIG46" s="137"/>
      <c r="NIH46" s="137"/>
      <c r="NII46" s="137"/>
      <c r="NIJ46" s="137"/>
      <c r="NIK46" s="137"/>
      <c r="NIL46" s="137"/>
      <c r="NIM46" s="137"/>
      <c r="NIN46" s="137"/>
      <c r="NIO46" s="137"/>
      <c r="NIP46" s="137"/>
      <c r="NIQ46" s="137"/>
      <c r="NIR46" s="137"/>
      <c r="NIS46" s="137"/>
      <c r="NIT46" s="137"/>
      <c r="NIU46" s="137"/>
      <c r="NIV46" s="137"/>
      <c r="NIW46" s="137"/>
      <c r="NIX46" s="137"/>
      <c r="NIY46" s="137"/>
      <c r="NIZ46" s="137"/>
      <c r="NJA46" s="137"/>
      <c r="NJB46" s="137"/>
      <c r="NJC46" s="137"/>
      <c r="NJD46" s="137"/>
      <c r="NJE46" s="137"/>
      <c r="NJF46" s="137"/>
      <c r="NJG46" s="137"/>
      <c r="NJH46" s="137"/>
      <c r="NJI46" s="137"/>
      <c r="NJJ46" s="137"/>
      <c r="NJK46" s="137"/>
      <c r="NJL46" s="137"/>
      <c r="NJM46" s="137"/>
      <c r="NJN46" s="137"/>
      <c r="NJO46" s="137"/>
      <c r="NJP46" s="137"/>
      <c r="NJQ46" s="137"/>
      <c r="NJR46" s="137"/>
      <c r="NJS46" s="137"/>
      <c r="NJT46" s="137"/>
      <c r="NJU46" s="137"/>
      <c r="NJV46" s="137"/>
      <c r="NJW46" s="137"/>
      <c r="NJX46" s="137"/>
      <c r="NJY46" s="137"/>
      <c r="NJZ46" s="137"/>
      <c r="NKA46" s="137"/>
      <c r="NKB46" s="137"/>
      <c r="NKC46" s="137"/>
      <c r="NKD46" s="137"/>
      <c r="NKE46" s="137"/>
      <c r="NKF46" s="137"/>
      <c r="NKG46" s="137"/>
      <c r="NKH46" s="137"/>
      <c r="NKI46" s="137"/>
      <c r="NKJ46" s="137"/>
      <c r="NKK46" s="137"/>
      <c r="NKL46" s="137"/>
      <c r="NKM46" s="137"/>
      <c r="NKN46" s="137"/>
      <c r="NKO46" s="137"/>
      <c r="NKP46" s="137"/>
      <c r="NKQ46" s="137"/>
      <c r="NKR46" s="137"/>
      <c r="NKS46" s="137"/>
      <c r="NKT46" s="137"/>
      <c r="NKU46" s="137"/>
      <c r="NKV46" s="137"/>
      <c r="NKW46" s="137"/>
      <c r="NKX46" s="137"/>
      <c r="NKY46" s="137"/>
      <c r="NKZ46" s="137"/>
      <c r="NLA46" s="137"/>
      <c r="NLB46" s="137"/>
      <c r="NLC46" s="137"/>
      <c r="NLD46" s="137"/>
      <c r="NLE46" s="137"/>
      <c r="NLF46" s="137"/>
      <c r="NLG46" s="137"/>
      <c r="NLH46" s="137"/>
      <c r="NLI46" s="137"/>
      <c r="NLJ46" s="137"/>
      <c r="NLK46" s="137"/>
      <c r="NLL46" s="137"/>
      <c r="NLM46" s="137"/>
      <c r="NLN46" s="137"/>
      <c r="NLO46" s="137"/>
      <c r="NLP46" s="137"/>
      <c r="NLQ46" s="137"/>
      <c r="NLR46" s="137"/>
      <c r="NLS46" s="137"/>
      <c r="NLT46" s="137"/>
      <c r="NLU46" s="137"/>
      <c r="NLV46" s="137"/>
      <c r="NLW46" s="137"/>
      <c r="NLX46" s="137"/>
      <c r="NLY46" s="137"/>
      <c r="NLZ46" s="137"/>
      <c r="NMA46" s="137"/>
      <c r="NMB46" s="137"/>
      <c r="NMC46" s="137"/>
      <c r="NMD46" s="137"/>
      <c r="NME46" s="137"/>
      <c r="NMF46" s="137"/>
      <c r="NMG46" s="137"/>
      <c r="NMH46" s="137"/>
      <c r="NMI46" s="137"/>
      <c r="NMJ46" s="137"/>
      <c r="NMK46" s="137"/>
      <c r="NML46" s="137"/>
      <c r="NMM46" s="137"/>
      <c r="NMN46" s="137"/>
      <c r="NMO46" s="137"/>
      <c r="NMP46" s="137"/>
      <c r="NMQ46" s="137"/>
      <c r="NMR46" s="137"/>
      <c r="NMS46" s="137"/>
      <c r="NMT46" s="137"/>
      <c r="NMU46" s="137"/>
      <c r="NMV46" s="137"/>
      <c r="NMW46" s="137"/>
      <c r="NMX46" s="137"/>
      <c r="NMY46" s="137"/>
      <c r="NMZ46" s="137"/>
      <c r="NNA46" s="137"/>
      <c r="NNB46" s="137"/>
      <c r="NNC46" s="137"/>
      <c r="NND46" s="137"/>
      <c r="NNE46" s="137"/>
      <c r="NNF46" s="137"/>
      <c r="NNG46" s="137"/>
      <c r="NNH46" s="137"/>
      <c r="NNI46" s="137"/>
      <c r="NNJ46" s="137"/>
      <c r="NNK46" s="137"/>
      <c r="NNL46" s="137"/>
      <c r="NNM46" s="137"/>
      <c r="NNN46" s="137"/>
      <c r="NNO46" s="137"/>
      <c r="NNP46" s="137"/>
      <c r="NNQ46" s="137"/>
      <c r="NNR46" s="137"/>
      <c r="NNS46" s="137"/>
      <c r="NNT46" s="137"/>
      <c r="NNU46" s="137"/>
      <c r="NNV46" s="137"/>
      <c r="NNW46" s="137"/>
      <c r="NNX46" s="137"/>
      <c r="NNY46" s="137"/>
      <c r="NNZ46" s="137"/>
      <c r="NOA46" s="137"/>
      <c r="NOB46" s="137"/>
      <c r="NOC46" s="137"/>
      <c r="NOD46" s="137"/>
      <c r="NOE46" s="137"/>
      <c r="NOF46" s="137"/>
      <c r="NOG46" s="137"/>
      <c r="NOH46" s="137"/>
      <c r="NOI46" s="137"/>
      <c r="NOJ46" s="137"/>
      <c r="NOK46" s="137"/>
      <c r="NOL46" s="137"/>
      <c r="NOM46" s="137"/>
      <c r="NON46" s="137"/>
      <c r="NOO46" s="137"/>
      <c r="NOP46" s="137"/>
      <c r="NOQ46" s="137"/>
      <c r="NOR46" s="137"/>
      <c r="NOS46" s="137"/>
      <c r="NOT46" s="137"/>
      <c r="NOU46" s="137"/>
      <c r="NOV46" s="137"/>
      <c r="NOW46" s="137"/>
      <c r="NOX46" s="137"/>
      <c r="NOY46" s="137"/>
      <c r="NOZ46" s="137"/>
      <c r="NPA46" s="137"/>
      <c r="NPB46" s="137"/>
      <c r="NPC46" s="137"/>
      <c r="NPD46" s="137"/>
      <c r="NPE46" s="137"/>
      <c r="NPF46" s="137"/>
      <c r="NPG46" s="137"/>
      <c r="NPH46" s="137"/>
      <c r="NPI46" s="137"/>
      <c r="NPJ46" s="137"/>
      <c r="NPK46" s="137"/>
      <c r="NPL46" s="137"/>
      <c r="NPM46" s="137"/>
      <c r="NPN46" s="137"/>
      <c r="NPO46" s="137"/>
      <c r="NPP46" s="137"/>
      <c r="NPQ46" s="137"/>
      <c r="NPR46" s="137"/>
      <c r="NPS46" s="137"/>
      <c r="NPT46" s="137"/>
      <c r="NPU46" s="137"/>
      <c r="NPV46" s="137"/>
      <c r="NPW46" s="137"/>
      <c r="NPX46" s="137"/>
      <c r="NPY46" s="137"/>
      <c r="NPZ46" s="137"/>
      <c r="NQA46" s="137"/>
      <c r="NQB46" s="137"/>
      <c r="NQC46" s="137"/>
      <c r="NQD46" s="137"/>
      <c r="NQE46" s="137"/>
      <c r="NQF46" s="137"/>
      <c r="NQG46" s="137"/>
      <c r="NQH46" s="137"/>
      <c r="NQI46" s="137"/>
      <c r="NQJ46" s="137"/>
      <c r="NQK46" s="137"/>
      <c r="NQL46" s="137"/>
      <c r="NQM46" s="137"/>
      <c r="NQN46" s="137"/>
      <c r="NQO46" s="137"/>
      <c r="NQP46" s="137"/>
      <c r="NQQ46" s="137"/>
      <c r="NQR46" s="137"/>
      <c r="NQS46" s="137"/>
      <c r="NQT46" s="137"/>
      <c r="NQU46" s="137"/>
      <c r="NQV46" s="137"/>
      <c r="NQW46" s="137"/>
      <c r="NQX46" s="137"/>
      <c r="NQY46" s="137"/>
      <c r="NQZ46" s="137"/>
      <c r="NRA46" s="137"/>
      <c r="NRB46" s="137"/>
      <c r="NRC46" s="137"/>
      <c r="NRD46" s="137"/>
      <c r="NRE46" s="137"/>
      <c r="NRF46" s="137"/>
      <c r="NRG46" s="137"/>
      <c r="NRH46" s="137"/>
      <c r="NRI46" s="137"/>
      <c r="NRJ46" s="137"/>
      <c r="NRK46" s="137"/>
      <c r="NRL46" s="137"/>
      <c r="NRM46" s="137"/>
      <c r="NRN46" s="137"/>
      <c r="NRO46" s="137"/>
      <c r="NRP46" s="137"/>
      <c r="NRQ46" s="137"/>
      <c r="NRR46" s="137"/>
      <c r="NRS46" s="137"/>
      <c r="NRT46" s="137"/>
      <c r="NRU46" s="137"/>
      <c r="NRV46" s="137"/>
      <c r="NRW46" s="137"/>
      <c r="NRX46" s="137"/>
      <c r="NRY46" s="137"/>
      <c r="NRZ46" s="137"/>
      <c r="NSA46" s="137"/>
      <c r="NSB46" s="137"/>
      <c r="NSC46" s="137"/>
      <c r="NSD46" s="137"/>
      <c r="NSE46" s="137"/>
      <c r="NSF46" s="137"/>
      <c r="NSG46" s="137"/>
      <c r="NSH46" s="137"/>
      <c r="NSI46" s="137"/>
      <c r="NSJ46" s="137"/>
      <c r="NSK46" s="137"/>
      <c r="NSL46" s="137"/>
      <c r="NSM46" s="137"/>
      <c r="NSN46" s="137"/>
      <c r="NSO46" s="137"/>
      <c r="NSP46" s="137"/>
      <c r="NSQ46" s="137"/>
      <c r="NSR46" s="137"/>
      <c r="NSS46" s="137"/>
      <c r="NST46" s="137"/>
      <c r="NSU46" s="137"/>
      <c r="NSV46" s="137"/>
      <c r="NSW46" s="137"/>
      <c r="NSX46" s="137"/>
      <c r="NSY46" s="137"/>
      <c r="NSZ46" s="137"/>
      <c r="NTA46" s="137"/>
      <c r="NTB46" s="137"/>
      <c r="NTC46" s="137"/>
      <c r="NTD46" s="137"/>
      <c r="NTE46" s="137"/>
      <c r="NTF46" s="137"/>
      <c r="NTG46" s="137"/>
      <c r="NTH46" s="137"/>
      <c r="NTI46" s="137"/>
      <c r="NTJ46" s="137"/>
      <c r="NTK46" s="137"/>
      <c r="NTL46" s="137"/>
      <c r="NTM46" s="137"/>
      <c r="NTN46" s="137"/>
      <c r="NTO46" s="137"/>
      <c r="NTP46" s="137"/>
      <c r="NTQ46" s="137"/>
      <c r="NTR46" s="137"/>
      <c r="NTS46" s="137"/>
      <c r="NTT46" s="137"/>
      <c r="NTU46" s="137"/>
      <c r="NTV46" s="137"/>
      <c r="NTW46" s="137"/>
      <c r="NTX46" s="137"/>
      <c r="NTY46" s="137"/>
      <c r="NTZ46" s="137"/>
      <c r="NUA46" s="137"/>
      <c r="NUB46" s="137"/>
      <c r="NUC46" s="137"/>
      <c r="NUD46" s="137"/>
      <c r="NUE46" s="137"/>
      <c r="NUF46" s="137"/>
      <c r="NUG46" s="137"/>
      <c r="NUH46" s="137"/>
      <c r="NUI46" s="137"/>
      <c r="NUJ46" s="137"/>
      <c r="NUK46" s="137"/>
      <c r="NUL46" s="137"/>
      <c r="NUM46" s="137"/>
      <c r="NUN46" s="137"/>
      <c r="NUO46" s="137"/>
      <c r="NUP46" s="137"/>
      <c r="NUQ46" s="137"/>
      <c r="NUR46" s="137"/>
      <c r="NUS46" s="137"/>
      <c r="NUT46" s="137"/>
      <c r="NUU46" s="137"/>
      <c r="NUV46" s="137"/>
      <c r="NUW46" s="137"/>
      <c r="NUX46" s="137"/>
      <c r="NUY46" s="137"/>
      <c r="NUZ46" s="137"/>
      <c r="NVA46" s="137"/>
      <c r="NVB46" s="137"/>
      <c r="NVC46" s="137"/>
      <c r="NVD46" s="137"/>
      <c r="NVE46" s="137"/>
      <c r="NVF46" s="137"/>
      <c r="NVG46" s="137"/>
      <c r="NVH46" s="137"/>
      <c r="NVI46" s="137"/>
      <c r="NVJ46" s="137"/>
      <c r="NVK46" s="137"/>
      <c r="NVL46" s="137"/>
      <c r="NVM46" s="137"/>
      <c r="NVN46" s="137"/>
      <c r="NVO46" s="137"/>
      <c r="NVP46" s="137"/>
      <c r="NVQ46" s="137"/>
      <c r="NVR46" s="137"/>
      <c r="NVS46" s="137"/>
      <c r="NVT46" s="137"/>
      <c r="NVU46" s="137"/>
      <c r="NVV46" s="137"/>
      <c r="NVW46" s="137"/>
      <c r="NVX46" s="137"/>
      <c r="NVY46" s="137"/>
      <c r="NVZ46" s="137"/>
      <c r="NWA46" s="137"/>
      <c r="NWB46" s="137"/>
      <c r="NWC46" s="137"/>
      <c r="NWD46" s="137"/>
      <c r="NWE46" s="137"/>
      <c r="NWF46" s="137"/>
      <c r="NWG46" s="137"/>
      <c r="NWH46" s="137"/>
      <c r="NWI46" s="137"/>
      <c r="NWJ46" s="137"/>
      <c r="NWK46" s="137"/>
      <c r="NWL46" s="137"/>
      <c r="NWM46" s="137"/>
      <c r="NWN46" s="137"/>
      <c r="NWO46" s="137"/>
      <c r="NWP46" s="137"/>
      <c r="NWQ46" s="137"/>
      <c r="NWR46" s="137"/>
      <c r="NWS46" s="137"/>
      <c r="NWT46" s="137"/>
      <c r="NWU46" s="137"/>
      <c r="NWV46" s="137"/>
      <c r="NWW46" s="137"/>
      <c r="NWX46" s="137"/>
      <c r="NWY46" s="137"/>
      <c r="NWZ46" s="137"/>
      <c r="NXA46" s="137"/>
      <c r="NXB46" s="137"/>
      <c r="NXC46" s="137"/>
      <c r="NXD46" s="137"/>
      <c r="NXE46" s="137"/>
      <c r="NXF46" s="137"/>
      <c r="NXG46" s="137"/>
      <c r="NXH46" s="137"/>
      <c r="NXI46" s="137"/>
      <c r="NXJ46" s="137"/>
      <c r="NXK46" s="137"/>
      <c r="NXL46" s="137"/>
      <c r="NXM46" s="137"/>
      <c r="NXN46" s="137"/>
      <c r="NXO46" s="137"/>
      <c r="NXP46" s="137"/>
      <c r="NXQ46" s="137"/>
      <c r="NXR46" s="137"/>
      <c r="NXS46" s="137"/>
      <c r="NXT46" s="137"/>
      <c r="NXU46" s="137"/>
      <c r="NXV46" s="137"/>
      <c r="NXW46" s="137"/>
      <c r="NXX46" s="137"/>
      <c r="NXY46" s="137"/>
      <c r="NXZ46" s="137"/>
      <c r="NYA46" s="137"/>
      <c r="NYB46" s="137"/>
      <c r="NYC46" s="137"/>
      <c r="NYD46" s="137"/>
      <c r="NYE46" s="137"/>
      <c r="NYF46" s="137"/>
      <c r="NYG46" s="137"/>
      <c r="NYH46" s="137"/>
      <c r="NYI46" s="137"/>
      <c r="NYJ46" s="137"/>
      <c r="NYK46" s="137"/>
      <c r="NYL46" s="137"/>
      <c r="NYM46" s="137"/>
      <c r="NYN46" s="137"/>
      <c r="NYO46" s="137"/>
      <c r="NYP46" s="137"/>
      <c r="NYQ46" s="137"/>
      <c r="NYR46" s="137"/>
      <c r="NYS46" s="137"/>
      <c r="NYT46" s="137"/>
      <c r="NYU46" s="137"/>
      <c r="NYV46" s="137"/>
      <c r="NYW46" s="137"/>
      <c r="NYX46" s="137"/>
      <c r="NYY46" s="137"/>
      <c r="NYZ46" s="137"/>
      <c r="NZA46" s="137"/>
      <c r="NZB46" s="137"/>
      <c r="NZC46" s="137"/>
      <c r="NZD46" s="137"/>
      <c r="NZE46" s="137"/>
      <c r="NZF46" s="137"/>
      <c r="NZG46" s="137"/>
      <c r="NZH46" s="137"/>
      <c r="NZI46" s="137"/>
      <c r="NZJ46" s="137"/>
      <c r="NZK46" s="137"/>
      <c r="NZL46" s="137"/>
      <c r="NZM46" s="137"/>
      <c r="NZN46" s="137"/>
      <c r="NZO46" s="137"/>
      <c r="NZP46" s="137"/>
      <c r="NZQ46" s="137"/>
      <c r="NZR46" s="137"/>
      <c r="NZS46" s="137"/>
      <c r="NZT46" s="137"/>
      <c r="NZU46" s="137"/>
      <c r="NZV46" s="137"/>
      <c r="NZW46" s="137"/>
      <c r="NZX46" s="137"/>
      <c r="NZY46" s="137"/>
      <c r="NZZ46" s="137"/>
      <c r="OAA46" s="137"/>
      <c r="OAB46" s="137"/>
      <c r="OAC46" s="137"/>
      <c r="OAD46" s="137"/>
      <c r="OAE46" s="137"/>
      <c r="OAF46" s="137"/>
      <c r="OAG46" s="137"/>
      <c r="OAH46" s="137"/>
      <c r="OAI46" s="137"/>
      <c r="OAJ46" s="137"/>
      <c r="OAK46" s="137"/>
      <c r="OAL46" s="137"/>
      <c r="OAM46" s="137"/>
      <c r="OAN46" s="137"/>
      <c r="OAO46" s="137"/>
      <c r="OAP46" s="137"/>
      <c r="OAQ46" s="137"/>
      <c r="OAR46" s="137"/>
      <c r="OAS46" s="137"/>
      <c r="OAT46" s="137"/>
      <c r="OAU46" s="137"/>
      <c r="OAV46" s="137"/>
      <c r="OAW46" s="137"/>
      <c r="OAX46" s="137"/>
      <c r="OAY46" s="137"/>
      <c r="OAZ46" s="137"/>
      <c r="OBA46" s="137"/>
      <c r="OBB46" s="137"/>
      <c r="OBC46" s="137"/>
      <c r="OBD46" s="137"/>
      <c r="OBE46" s="137"/>
      <c r="OBF46" s="137"/>
      <c r="OBG46" s="137"/>
      <c r="OBH46" s="137"/>
      <c r="OBI46" s="137"/>
      <c r="OBJ46" s="137"/>
      <c r="OBK46" s="137"/>
      <c r="OBL46" s="137"/>
      <c r="OBM46" s="137"/>
      <c r="OBN46" s="137"/>
      <c r="OBO46" s="137"/>
      <c r="OBP46" s="137"/>
      <c r="OBQ46" s="137"/>
      <c r="OBR46" s="137"/>
      <c r="OBS46" s="137"/>
      <c r="OBT46" s="137"/>
      <c r="OBU46" s="137"/>
      <c r="OBV46" s="137"/>
      <c r="OBW46" s="137"/>
      <c r="OBX46" s="137"/>
      <c r="OBY46" s="137"/>
      <c r="OBZ46" s="137"/>
      <c r="OCA46" s="137"/>
      <c r="OCB46" s="137"/>
      <c r="OCC46" s="137"/>
      <c r="OCD46" s="137"/>
      <c r="OCE46" s="137"/>
      <c r="OCF46" s="137"/>
      <c r="OCG46" s="137"/>
      <c r="OCH46" s="137"/>
      <c r="OCI46" s="137"/>
      <c r="OCJ46" s="137"/>
      <c r="OCK46" s="137"/>
      <c r="OCL46" s="137"/>
      <c r="OCM46" s="137"/>
      <c r="OCN46" s="137"/>
      <c r="OCO46" s="137"/>
      <c r="OCP46" s="137"/>
      <c r="OCQ46" s="137"/>
      <c r="OCR46" s="137"/>
      <c r="OCS46" s="137"/>
      <c r="OCT46" s="137"/>
      <c r="OCU46" s="137"/>
      <c r="OCV46" s="137"/>
      <c r="OCW46" s="137"/>
      <c r="OCX46" s="137"/>
      <c r="OCY46" s="137"/>
      <c r="OCZ46" s="137"/>
      <c r="ODA46" s="137"/>
      <c r="ODB46" s="137"/>
      <c r="ODC46" s="137"/>
      <c r="ODD46" s="137"/>
      <c r="ODE46" s="137"/>
      <c r="ODF46" s="137"/>
      <c r="ODG46" s="137"/>
      <c r="ODH46" s="137"/>
      <c r="ODI46" s="137"/>
      <c r="ODJ46" s="137"/>
      <c r="ODK46" s="137"/>
      <c r="ODL46" s="137"/>
      <c r="ODM46" s="137"/>
      <c r="ODN46" s="137"/>
      <c r="ODO46" s="137"/>
      <c r="ODP46" s="137"/>
      <c r="ODQ46" s="137"/>
      <c r="ODR46" s="137"/>
      <c r="ODS46" s="137"/>
      <c r="ODT46" s="137"/>
      <c r="ODU46" s="137"/>
      <c r="ODV46" s="137"/>
      <c r="ODW46" s="137"/>
      <c r="ODX46" s="137"/>
      <c r="ODY46" s="137"/>
      <c r="ODZ46" s="137"/>
      <c r="OEA46" s="137"/>
      <c r="OEB46" s="137"/>
      <c r="OEC46" s="137"/>
      <c r="OED46" s="137"/>
      <c r="OEE46" s="137"/>
      <c r="OEF46" s="137"/>
      <c r="OEG46" s="137"/>
      <c r="OEH46" s="137"/>
      <c r="OEI46" s="137"/>
      <c r="OEJ46" s="137"/>
      <c r="OEK46" s="137"/>
      <c r="OEL46" s="137"/>
      <c r="OEM46" s="137"/>
      <c r="OEN46" s="137"/>
      <c r="OEO46" s="137"/>
      <c r="OEP46" s="137"/>
      <c r="OEQ46" s="137"/>
      <c r="OER46" s="137"/>
      <c r="OES46" s="137"/>
      <c r="OET46" s="137"/>
      <c r="OEU46" s="137"/>
      <c r="OEV46" s="137"/>
      <c r="OEW46" s="137"/>
      <c r="OEX46" s="137"/>
      <c r="OEY46" s="137"/>
      <c r="OEZ46" s="137"/>
      <c r="OFA46" s="137"/>
      <c r="OFB46" s="137"/>
      <c r="OFC46" s="137"/>
      <c r="OFD46" s="137"/>
      <c r="OFE46" s="137"/>
      <c r="OFF46" s="137"/>
      <c r="OFG46" s="137"/>
      <c r="OFH46" s="137"/>
      <c r="OFI46" s="137"/>
      <c r="OFJ46" s="137"/>
      <c r="OFK46" s="137"/>
      <c r="OFL46" s="137"/>
      <c r="OFM46" s="137"/>
      <c r="OFN46" s="137"/>
      <c r="OFO46" s="137"/>
      <c r="OFP46" s="137"/>
      <c r="OFQ46" s="137"/>
      <c r="OFR46" s="137"/>
      <c r="OFS46" s="137"/>
      <c r="OFT46" s="137"/>
      <c r="OFU46" s="137"/>
      <c r="OFV46" s="137"/>
      <c r="OFW46" s="137"/>
      <c r="OFX46" s="137"/>
      <c r="OFY46" s="137"/>
      <c r="OFZ46" s="137"/>
      <c r="OGA46" s="137"/>
      <c r="OGB46" s="137"/>
      <c r="OGC46" s="137"/>
      <c r="OGD46" s="137"/>
      <c r="OGE46" s="137"/>
      <c r="OGF46" s="137"/>
      <c r="OGG46" s="137"/>
      <c r="OGH46" s="137"/>
      <c r="OGI46" s="137"/>
      <c r="OGJ46" s="137"/>
      <c r="OGK46" s="137"/>
      <c r="OGL46" s="137"/>
      <c r="OGM46" s="137"/>
      <c r="OGN46" s="137"/>
      <c r="OGO46" s="137"/>
      <c r="OGP46" s="137"/>
      <c r="OGQ46" s="137"/>
      <c r="OGR46" s="137"/>
      <c r="OGS46" s="137"/>
      <c r="OGT46" s="137"/>
      <c r="OGU46" s="137"/>
      <c r="OGV46" s="137"/>
      <c r="OGW46" s="137"/>
      <c r="OGX46" s="137"/>
      <c r="OGY46" s="137"/>
      <c r="OGZ46" s="137"/>
      <c r="OHA46" s="137"/>
      <c r="OHB46" s="137"/>
      <c r="OHC46" s="137"/>
      <c r="OHD46" s="137"/>
      <c r="OHE46" s="137"/>
      <c r="OHF46" s="137"/>
      <c r="OHG46" s="137"/>
      <c r="OHH46" s="137"/>
      <c r="OHI46" s="137"/>
      <c r="OHJ46" s="137"/>
      <c r="OHK46" s="137"/>
      <c r="OHL46" s="137"/>
      <c r="OHM46" s="137"/>
      <c r="OHN46" s="137"/>
      <c r="OHO46" s="137"/>
      <c r="OHP46" s="137"/>
      <c r="OHQ46" s="137"/>
      <c r="OHR46" s="137"/>
      <c r="OHS46" s="137"/>
      <c r="OHT46" s="137"/>
      <c r="OHU46" s="137"/>
      <c r="OHV46" s="137"/>
      <c r="OHW46" s="137"/>
      <c r="OHX46" s="137"/>
      <c r="OHY46" s="137"/>
      <c r="OHZ46" s="137"/>
      <c r="OIA46" s="137"/>
      <c r="OIB46" s="137"/>
      <c r="OIC46" s="137"/>
      <c r="OID46" s="137"/>
      <c r="OIE46" s="137"/>
      <c r="OIF46" s="137"/>
      <c r="OIG46" s="137"/>
      <c r="OIH46" s="137"/>
      <c r="OII46" s="137"/>
      <c r="OIJ46" s="137"/>
      <c r="OIK46" s="137"/>
      <c r="OIL46" s="137"/>
      <c r="OIM46" s="137"/>
      <c r="OIN46" s="137"/>
      <c r="OIO46" s="137"/>
      <c r="OIP46" s="137"/>
      <c r="OIQ46" s="137"/>
      <c r="OIR46" s="137"/>
      <c r="OIS46" s="137"/>
      <c r="OIT46" s="137"/>
      <c r="OIU46" s="137"/>
      <c r="OIV46" s="137"/>
      <c r="OIW46" s="137"/>
      <c r="OIX46" s="137"/>
      <c r="OIY46" s="137"/>
      <c r="OIZ46" s="137"/>
      <c r="OJA46" s="137"/>
      <c r="OJB46" s="137"/>
      <c r="OJC46" s="137"/>
      <c r="OJD46" s="137"/>
      <c r="OJE46" s="137"/>
      <c r="OJF46" s="137"/>
      <c r="OJG46" s="137"/>
      <c r="OJH46" s="137"/>
      <c r="OJI46" s="137"/>
      <c r="OJJ46" s="137"/>
      <c r="OJK46" s="137"/>
      <c r="OJL46" s="137"/>
      <c r="OJM46" s="137"/>
      <c r="OJN46" s="137"/>
      <c r="OJO46" s="137"/>
      <c r="OJP46" s="137"/>
      <c r="OJQ46" s="137"/>
      <c r="OJR46" s="137"/>
      <c r="OJS46" s="137"/>
      <c r="OJT46" s="137"/>
      <c r="OJU46" s="137"/>
      <c r="OJV46" s="137"/>
      <c r="OJW46" s="137"/>
      <c r="OJX46" s="137"/>
      <c r="OJY46" s="137"/>
      <c r="OJZ46" s="137"/>
      <c r="OKA46" s="137"/>
      <c r="OKB46" s="137"/>
      <c r="OKC46" s="137"/>
      <c r="OKD46" s="137"/>
      <c r="OKE46" s="137"/>
      <c r="OKF46" s="137"/>
      <c r="OKG46" s="137"/>
      <c r="OKH46" s="137"/>
      <c r="OKI46" s="137"/>
      <c r="OKJ46" s="137"/>
      <c r="OKK46" s="137"/>
      <c r="OKL46" s="137"/>
      <c r="OKM46" s="137"/>
      <c r="OKN46" s="137"/>
      <c r="OKO46" s="137"/>
      <c r="OKP46" s="137"/>
      <c r="OKQ46" s="137"/>
      <c r="OKR46" s="137"/>
      <c r="OKS46" s="137"/>
      <c r="OKT46" s="137"/>
      <c r="OKU46" s="137"/>
      <c r="OKV46" s="137"/>
      <c r="OKW46" s="137"/>
      <c r="OKX46" s="137"/>
      <c r="OKY46" s="137"/>
      <c r="OKZ46" s="137"/>
      <c r="OLA46" s="137"/>
      <c r="OLB46" s="137"/>
      <c r="OLC46" s="137"/>
      <c r="OLD46" s="137"/>
      <c r="OLE46" s="137"/>
      <c r="OLF46" s="137"/>
      <c r="OLG46" s="137"/>
      <c r="OLH46" s="137"/>
      <c r="OLI46" s="137"/>
      <c r="OLJ46" s="137"/>
      <c r="OLK46" s="137"/>
      <c r="OLL46" s="137"/>
      <c r="OLM46" s="137"/>
      <c r="OLN46" s="137"/>
      <c r="OLO46" s="137"/>
      <c r="OLP46" s="137"/>
      <c r="OLQ46" s="137"/>
      <c r="OLR46" s="137"/>
      <c r="OLS46" s="137"/>
      <c r="OLT46" s="137"/>
      <c r="OLU46" s="137"/>
      <c r="OLV46" s="137"/>
      <c r="OLW46" s="137"/>
      <c r="OLX46" s="137"/>
      <c r="OLY46" s="137"/>
      <c r="OLZ46" s="137"/>
      <c r="OMA46" s="137"/>
      <c r="OMB46" s="137"/>
      <c r="OMC46" s="137"/>
      <c r="OMD46" s="137"/>
      <c r="OME46" s="137"/>
      <c r="OMF46" s="137"/>
      <c r="OMG46" s="137"/>
      <c r="OMH46" s="137"/>
      <c r="OMI46" s="137"/>
      <c r="OMJ46" s="137"/>
      <c r="OMK46" s="137"/>
      <c r="OML46" s="137"/>
      <c r="OMM46" s="137"/>
      <c r="OMN46" s="137"/>
      <c r="OMO46" s="137"/>
      <c r="OMP46" s="137"/>
      <c r="OMQ46" s="137"/>
      <c r="OMR46" s="137"/>
      <c r="OMS46" s="137"/>
      <c r="OMT46" s="137"/>
      <c r="OMU46" s="137"/>
      <c r="OMV46" s="137"/>
      <c r="OMW46" s="137"/>
      <c r="OMX46" s="137"/>
      <c r="OMY46" s="137"/>
      <c r="OMZ46" s="137"/>
      <c r="ONA46" s="137"/>
      <c r="ONB46" s="137"/>
      <c r="ONC46" s="137"/>
      <c r="OND46" s="137"/>
      <c r="ONE46" s="137"/>
      <c r="ONF46" s="137"/>
      <c r="ONG46" s="137"/>
      <c r="ONH46" s="137"/>
      <c r="ONI46" s="137"/>
      <c r="ONJ46" s="137"/>
      <c r="ONK46" s="137"/>
      <c r="ONL46" s="137"/>
      <c r="ONM46" s="137"/>
      <c r="ONN46" s="137"/>
      <c r="ONO46" s="137"/>
      <c r="ONP46" s="137"/>
      <c r="ONQ46" s="137"/>
      <c r="ONR46" s="137"/>
      <c r="ONS46" s="137"/>
      <c r="ONT46" s="137"/>
      <c r="ONU46" s="137"/>
      <c r="ONV46" s="137"/>
      <c r="ONW46" s="137"/>
      <c r="ONX46" s="137"/>
      <c r="ONY46" s="137"/>
      <c r="ONZ46" s="137"/>
      <c r="OOA46" s="137"/>
      <c r="OOB46" s="137"/>
      <c r="OOC46" s="137"/>
      <c r="OOD46" s="137"/>
      <c r="OOE46" s="137"/>
      <c r="OOF46" s="137"/>
      <c r="OOG46" s="137"/>
      <c r="OOH46" s="137"/>
      <c r="OOI46" s="137"/>
      <c r="OOJ46" s="137"/>
      <c r="OOK46" s="137"/>
      <c r="OOL46" s="137"/>
      <c r="OOM46" s="137"/>
      <c r="OON46" s="137"/>
      <c r="OOO46" s="137"/>
      <c r="OOP46" s="137"/>
      <c r="OOQ46" s="137"/>
      <c r="OOR46" s="137"/>
      <c r="OOS46" s="137"/>
      <c r="OOT46" s="137"/>
      <c r="OOU46" s="137"/>
      <c r="OOV46" s="137"/>
      <c r="OOW46" s="137"/>
      <c r="OOX46" s="137"/>
      <c r="OOY46" s="137"/>
      <c r="OOZ46" s="137"/>
      <c r="OPA46" s="137"/>
      <c r="OPB46" s="137"/>
      <c r="OPC46" s="137"/>
      <c r="OPD46" s="137"/>
      <c r="OPE46" s="137"/>
      <c r="OPF46" s="137"/>
      <c r="OPG46" s="137"/>
      <c r="OPH46" s="137"/>
      <c r="OPI46" s="137"/>
      <c r="OPJ46" s="137"/>
      <c r="OPK46" s="137"/>
      <c r="OPL46" s="137"/>
      <c r="OPM46" s="137"/>
      <c r="OPN46" s="137"/>
      <c r="OPO46" s="137"/>
      <c r="OPP46" s="137"/>
      <c r="OPQ46" s="137"/>
      <c r="OPR46" s="137"/>
      <c r="OPS46" s="137"/>
      <c r="OPT46" s="137"/>
      <c r="OPU46" s="137"/>
      <c r="OPV46" s="137"/>
      <c r="OPW46" s="137"/>
      <c r="OPX46" s="137"/>
      <c r="OPY46" s="137"/>
      <c r="OPZ46" s="137"/>
      <c r="OQA46" s="137"/>
      <c r="OQB46" s="137"/>
      <c r="OQC46" s="137"/>
      <c r="OQD46" s="137"/>
      <c r="OQE46" s="137"/>
      <c r="OQF46" s="137"/>
      <c r="OQG46" s="137"/>
      <c r="OQH46" s="137"/>
      <c r="OQI46" s="137"/>
      <c r="OQJ46" s="137"/>
      <c r="OQK46" s="137"/>
      <c r="OQL46" s="137"/>
      <c r="OQM46" s="137"/>
      <c r="OQN46" s="137"/>
      <c r="OQO46" s="137"/>
      <c r="OQP46" s="137"/>
      <c r="OQQ46" s="137"/>
      <c r="OQR46" s="137"/>
      <c r="OQS46" s="137"/>
      <c r="OQT46" s="137"/>
      <c r="OQU46" s="137"/>
      <c r="OQV46" s="137"/>
      <c r="OQW46" s="137"/>
      <c r="OQX46" s="137"/>
      <c r="OQY46" s="137"/>
      <c r="OQZ46" s="137"/>
      <c r="ORA46" s="137"/>
      <c r="ORB46" s="137"/>
      <c r="ORC46" s="137"/>
      <c r="ORD46" s="137"/>
      <c r="ORE46" s="137"/>
      <c r="ORF46" s="137"/>
      <c r="ORG46" s="137"/>
      <c r="ORH46" s="137"/>
      <c r="ORI46" s="137"/>
      <c r="ORJ46" s="137"/>
      <c r="ORK46" s="137"/>
      <c r="ORL46" s="137"/>
      <c r="ORM46" s="137"/>
      <c r="ORN46" s="137"/>
      <c r="ORO46" s="137"/>
      <c r="ORP46" s="137"/>
      <c r="ORQ46" s="137"/>
      <c r="ORR46" s="137"/>
      <c r="ORS46" s="137"/>
      <c r="ORT46" s="137"/>
      <c r="ORU46" s="137"/>
      <c r="ORV46" s="137"/>
      <c r="ORW46" s="137"/>
      <c r="ORX46" s="137"/>
      <c r="ORY46" s="137"/>
      <c r="ORZ46" s="137"/>
      <c r="OSA46" s="137"/>
      <c r="OSB46" s="137"/>
      <c r="OSC46" s="137"/>
      <c r="OSD46" s="137"/>
      <c r="OSE46" s="137"/>
      <c r="OSF46" s="137"/>
      <c r="OSG46" s="137"/>
      <c r="OSH46" s="137"/>
      <c r="OSI46" s="137"/>
      <c r="OSJ46" s="137"/>
      <c r="OSK46" s="137"/>
      <c r="OSL46" s="137"/>
      <c r="OSM46" s="137"/>
      <c r="OSN46" s="137"/>
      <c r="OSO46" s="137"/>
      <c r="OSP46" s="137"/>
      <c r="OSQ46" s="137"/>
      <c r="OSR46" s="137"/>
      <c r="OSS46" s="137"/>
      <c r="OST46" s="137"/>
      <c r="OSU46" s="137"/>
      <c r="OSV46" s="137"/>
      <c r="OSW46" s="137"/>
      <c r="OSX46" s="137"/>
      <c r="OSY46" s="137"/>
      <c r="OSZ46" s="137"/>
      <c r="OTA46" s="137"/>
      <c r="OTB46" s="137"/>
      <c r="OTC46" s="137"/>
      <c r="OTD46" s="137"/>
      <c r="OTE46" s="137"/>
      <c r="OTF46" s="137"/>
      <c r="OTG46" s="137"/>
      <c r="OTH46" s="137"/>
      <c r="OTI46" s="137"/>
      <c r="OTJ46" s="137"/>
      <c r="OTK46" s="137"/>
      <c r="OTL46" s="137"/>
      <c r="OTM46" s="137"/>
      <c r="OTN46" s="137"/>
      <c r="OTO46" s="137"/>
      <c r="OTP46" s="137"/>
      <c r="OTQ46" s="137"/>
      <c r="OTR46" s="137"/>
      <c r="OTS46" s="137"/>
      <c r="OTT46" s="137"/>
      <c r="OTU46" s="137"/>
      <c r="OTV46" s="137"/>
      <c r="OTW46" s="137"/>
      <c r="OTX46" s="137"/>
      <c r="OTY46" s="137"/>
      <c r="OTZ46" s="137"/>
      <c r="OUA46" s="137"/>
      <c r="OUB46" s="137"/>
      <c r="OUC46" s="137"/>
      <c r="OUD46" s="137"/>
      <c r="OUE46" s="137"/>
      <c r="OUF46" s="137"/>
      <c r="OUG46" s="137"/>
      <c r="OUH46" s="137"/>
      <c r="OUI46" s="137"/>
      <c r="OUJ46" s="137"/>
      <c r="OUK46" s="137"/>
      <c r="OUL46" s="137"/>
      <c r="OUM46" s="137"/>
      <c r="OUN46" s="137"/>
      <c r="OUO46" s="137"/>
      <c r="OUP46" s="137"/>
      <c r="OUQ46" s="137"/>
      <c r="OUR46" s="137"/>
      <c r="OUS46" s="137"/>
      <c r="OUT46" s="137"/>
      <c r="OUU46" s="137"/>
      <c r="OUV46" s="137"/>
      <c r="OUW46" s="137"/>
      <c r="OUX46" s="137"/>
      <c r="OUY46" s="137"/>
      <c r="OUZ46" s="137"/>
      <c r="OVA46" s="137"/>
      <c r="OVB46" s="137"/>
      <c r="OVC46" s="137"/>
      <c r="OVD46" s="137"/>
      <c r="OVE46" s="137"/>
      <c r="OVF46" s="137"/>
      <c r="OVG46" s="137"/>
      <c r="OVH46" s="137"/>
      <c r="OVI46" s="137"/>
      <c r="OVJ46" s="137"/>
      <c r="OVK46" s="137"/>
      <c r="OVL46" s="137"/>
      <c r="OVM46" s="137"/>
      <c r="OVN46" s="137"/>
      <c r="OVO46" s="137"/>
      <c r="OVP46" s="137"/>
      <c r="OVQ46" s="137"/>
      <c r="OVR46" s="137"/>
      <c r="OVS46" s="137"/>
      <c r="OVT46" s="137"/>
      <c r="OVU46" s="137"/>
      <c r="OVV46" s="137"/>
      <c r="OVW46" s="137"/>
      <c r="OVX46" s="137"/>
      <c r="OVY46" s="137"/>
      <c r="OVZ46" s="137"/>
      <c r="OWA46" s="137"/>
      <c r="OWB46" s="137"/>
      <c r="OWC46" s="137"/>
      <c r="OWD46" s="137"/>
      <c r="OWE46" s="137"/>
      <c r="OWF46" s="137"/>
      <c r="OWG46" s="137"/>
      <c r="OWH46" s="137"/>
      <c r="OWI46" s="137"/>
      <c r="OWJ46" s="137"/>
      <c r="OWK46" s="137"/>
      <c r="OWL46" s="137"/>
      <c r="OWM46" s="137"/>
      <c r="OWN46" s="137"/>
      <c r="OWO46" s="137"/>
      <c r="OWP46" s="137"/>
      <c r="OWQ46" s="137"/>
      <c r="OWR46" s="137"/>
      <c r="OWS46" s="137"/>
      <c r="OWT46" s="137"/>
      <c r="OWU46" s="137"/>
      <c r="OWV46" s="137"/>
      <c r="OWW46" s="137"/>
      <c r="OWX46" s="137"/>
      <c r="OWY46" s="137"/>
      <c r="OWZ46" s="137"/>
      <c r="OXA46" s="137"/>
      <c r="OXB46" s="137"/>
      <c r="OXC46" s="137"/>
      <c r="OXD46" s="137"/>
      <c r="OXE46" s="137"/>
      <c r="OXF46" s="137"/>
      <c r="OXG46" s="137"/>
      <c r="OXH46" s="137"/>
      <c r="OXI46" s="137"/>
      <c r="OXJ46" s="137"/>
      <c r="OXK46" s="137"/>
      <c r="OXL46" s="137"/>
      <c r="OXM46" s="137"/>
      <c r="OXN46" s="137"/>
      <c r="OXO46" s="137"/>
      <c r="OXP46" s="137"/>
      <c r="OXQ46" s="137"/>
      <c r="OXR46" s="137"/>
      <c r="OXS46" s="137"/>
      <c r="OXT46" s="137"/>
      <c r="OXU46" s="137"/>
      <c r="OXV46" s="137"/>
      <c r="OXW46" s="137"/>
      <c r="OXX46" s="137"/>
      <c r="OXY46" s="137"/>
      <c r="OXZ46" s="137"/>
      <c r="OYA46" s="137"/>
      <c r="OYB46" s="137"/>
      <c r="OYC46" s="137"/>
      <c r="OYD46" s="137"/>
      <c r="OYE46" s="137"/>
      <c r="OYF46" s="137"/>
      <c r="OYG46" s="137"/>
      <c r="OYH46" s="137"/>
      <c r="OYI46" s="137"/>
      <c r="OYJ46" s="137"/>
      <c r="OYK46" s="137"/>
      <c r="OYL46" s="137"/>
      <c r="OYM46" s="137"/>
      <c r="OYN46" s="137"/>
      <c r="OYO46" s="137"/>
      <c r="OYP46" s="137"/>
      <c r="OYQ46" s="137"/>
      <c r="OYR46" s="137"/>
      <c r="OYS46" s="137"/>
      <c r="OYT46" s="137"/>
      <c r="OYU46" s="137"/>
      <c r="OYV46" s="137"/>
      <c r="OYW46" s="137"/>
      <c r="OYX46" s="137"/>
      <c r="OYY46" s="137"/>
      <c r="OYZ46" s="137"/>
      <c r="OZA46" s="137"/>
      <c r="OZB46" s="137"/>
      <c r="OZC46" s="137"/>
      <c r="OZD46" s="137"/>
      <c r="OZE46" s="137"/>
      <c r="OZF46" s="137"/>
      <c r="OZG46" s="137"/>
      <c r="OZH46" s="137"/>
      <c r="OZI46" s="137"/>
      <c r="OZJ46" s="137"/>
      <c r="OZK46" s="137"/>
      <c r="OZL46" s="137"/>
      <c r="OZM46" s="137"/>
      <c r="OZN46" s="137"/>
      <c r="OZO46" s="137"/>
      <c r="OZP46" s="137"/>
      <c r="OZQ46" s="137"/>
      <c r="OZR46" s="137"/>
      <c r="OZS46" s="137"/>
      <c r="OZT46" s="137"/>
      <c r="OZU46" s="137"/>
      <c r="OZV46" s="137"/>
      <c r="OZW46" s="137"/>
      <c r="OZX46" s="137"/>
      <c r="OZY46" s="137"/>
      <c r="OZZ46" s="137"/>
      <c r="PAA46" s="137"/>
      <c r="PAB46" s="137"/>
      <c r="PAC46" s="137"/>
      <c r="PAD46" s="137"/>
      <c r="PAE46" s="137"/>
      <c r="PAF46" s="137"/>
      <c r="PAG46" s="137"/>
      <c r="PAH46" s="137"/>
      <c r="PAI46" s="137"/>
      <c r="PAJ46" s="137"/>
      <c r="PAK46" s="137"/>
      <c r="PAL46" s="137"/>
      <c r="PAM46" s="137"/>
      <c r="PAN46" s="137"/>
      <c r="PAO46" s="137"/>
      <c r="PAP46" s="137"/>
      <c r="PAQ46" s="137"/>
      <c r="PAR46" s="137"/>
      <c r="PAS46" s="137"/>
      <c r="PAT46" s="137"/>
      <c r="PAU46" s="137"/>
      <c r="PAV46" s="137"/>
      <c r="PAW46" s="137"/>
      <c r="PAX46" s="137"/>
      <c r="PAY46" s="137"/>
      <c r="PAZ46" s="137"/>
      <c r="PBA46" s="137"/>
      <c r="PBB46" s="137"/>
      <c r="PBC46" s="137"/>
      <c r="PBD46" s="137"/>
      <c r="PBE46" s="137"/>
      <c r="PBF46" s="137"/>
      <c r="PBG46" s="137"/>
      <c r="PBH46" s="137"/>
      <c r="PBI46" s="137"/>
      <c r="PBJ46" s="137"/>
      <c r="PBK46" s="137"/>
      <c r="PBL46" s="137"/>
      <c r="PBM46" s="137"/>
      <c r="PBN46" s="137"/>
      <c r="PBO46" s="137"/>
      <c r="PBP46" s="137"/>
      <c r="PBQ46" s="137"/>
      <c r="PBR46" s="137"/>
      <c r="PBS46" s="137"/>
      <c r="PBT46" s="137"/>
      <c r="PBU46" s="137"/>
      <c r="PBV46" s="137"/>
      <c r="PBW46" s="137"/>
      <c r="PBX46" s="137"/>
      <c r="PBY46" s="137"/>
      <c r="PBZ46" s="137"/>
      <c r="PCA46" s="137"/>
      <c r="PCB46" s="137"/>
      <c r="PCC46" s="137"/>
      <c r="PCD46" s="137"/>
      <c r="PCE46" s="137"/>
      <c r="PCF46" s="137"/>
      <c r="PCG46" s="137"/>
      <c r="PCH46" s="137"/>
      <c r="PCI46" s="137"/>
      <c r="PCJ46" s="137"/>
      <c r="PCK46" s="137"/>
      <c r="PCL46" s="137"/>
      <c r="PCM46" s="137"/>
      <c r="PCN46" s="137"/>
      <c r="PCO46" s="137"/>
      <c r="PCP46" s="137"/>
      <c r="PCQ46" s="137"/>
      <c r="PCR46" s="137"/>
      <c r="PCS46" s="137"/>
      <c r="PCT46" s="137"/>
      <c r="PCU46" s="137"/>
      <c r="PCV46" s="137"/>
      <c r="PCW46" s="137"/>
      <c r="PCX46" s="137"/>
      <c r="PCY46" s="137"/>
      <c r="PCZ46" s="137"/>
      <c r="PDA46" s="137"/>
      <c r="PDB46" s="137"/>
      <c r="PDC46" s="137"/>
      <c r="PDD46" s="137"/>
      <c r="PDE46" s="137"/>
      <c r="PDF46" s="137"/>
      <c r="PDG46" s="137"/>
      <c r="PDH46" s="137"/>
      <c r="PDI46" s="137"/>
      <c r="PDJ46" s="137"/>
      <c r="PDK46" s="137"/>
      <c r="PDL46" s="137"/>
      <c r="PDM46" s="137"/>
      <c r="PDN46" s="137"/>
      <c r="PDO46" s="137"/>
      <c r="PDP46" s="137"/>
      <c r="PDQ46" s="137"/>
      <c r="PDR46" s="137"/>
      <c r="PDS46" s="137"/>
      <c r="PDT46" s="137"/>
      <c r="PDU46" s="137"/>
      <c r="PDV46" s="137"/>
      <c r="PDW46" s="137"/>
      <c r="PDX46" s="137"/>
      <c r="PDY46" s="137"/>
      <c r="PDZ46" s="137"/>
      <c r="PEA46" s="137"/>
      <c r="PEB46" s="137"/>
      <c r="PEC46" s="137"/>
      <c r="PED46" s="137"/>
      <c r="PEE46" s="137"/>
      <c r="PEF46" s="137"/>
      <c r="PEG46" s="137"/>
      <c r="PEH46" s="137"/>
      <c r="PEI46" s="137"/>
      <c r="PEJ46" s="137"/>
      <c r="PEK46" s="137"/>
      <c r="PEL46" s="137"/>
      <c r="PEM46" s="137"/>
      <c r="PEN46" s="137"/>
      <c r="PEO46" s="137"/>
      <c r="PEP46" s="137"/>
      <c r="PEQ46" s="137"/>
      <c r="PER46" s="137"/>
      <c r="PES46" s="137"/>
      <c r="PET46" s="137"/>
      <c r="PEU46" s="137"/>
      <c r="PEV46" s="137"/>
      <c r="PEW46" s="137"/>
      <c r="PEX46" s="137"/>
      <c r="PEY46" s="137"/>
      <c r="PEZ46" s="137"/>
      <c r="PFA46" s="137"/>
      <c r="PFB46" s="137"/>
      <c r="PFC46" s="137"/>
      <c r="PFD46" s="137"/>
      <c r="PFE46" s="137"/>
      <c r="PFF46" s="137"/>
      <c r="PFG46" s="137"/>
      <c r="PFH46" s="137"/>
      <c r="PFI46" s="137"/>
      <c r="PFJ46" s="137"/>
      <c r="PFK46" s="137"/>
      <c r="PFL46" s="137"/>
      <c r="PFM46" s="137"/>
      <c r="PFN46" s="137"/>
      <c r="PFO46" s="137"/>
      <c r="PFP46" s="137"/>
      <c r="PFQ46" s="137"/>
      <c r="PFR46" s="137"/>
      <c r="PFS46" s="137"/>
      <c r="PFT46" s="137"/>
      <c r="PFU46" s="137"/>
      <c r="PFV46" s="137"/>
      <c r="PFW46" s="137"/>
      <c r="PFX46" s="137"/>
      <c r="PFY46" s="137"/>
      <c r="PFZ46" s="137"/>
      <c r="PGA46" s="137"/>
      <c r="PGB46" s="137"/>
      <c r="PGC46" s="137"/>
      <c r="PGD46" s="137"/>
      <c r="PGE46" s="137"/>
      <c r="PGF46" s="137"/>
      <c r="PGG46" s="137"/>
      <c r="PGH46" s="137"/>
      <c r="PGI46" s="137"/>
      <c r="PGJ46" s="137"/>
      <c r="PGK46" s="137"/>
      <c r="PGL46" s="137"/>
      <c r="PGM46" s="137"/>
      <c r="PGN46" s="137"/>
      <c r="PGO46" s="137"/>
      <c r="PGP46" s="137"/>
      <c r="PGQ46" s="137"/>
      <c r="PGR46" s="137"/>
      <c r="PGS46" s="137"/>
      <c r="PGT46" s="137"/>
      <c r="PGU46" s="137"/>
      <c r="PGV46" s="137"/>
      <c r="PGW46" s="137"/>
      <c r="PGX46" s="137"/>
      <c r="PGY46" s="137"/>
      <c r="PGZ46" s="137"/>
      <c r="PHA46" s="137"/>
      <c r="PHB46" s="137"/>
      <c r="PHC46" s="137"/>
      <c r="PHD46" s="137"/>
      <c r="PHE46" s="137"/>
      <c r="PHF46" s="137"/>
      <c r="PHG46" s="137"/>
      <c r="PHH46" s="137"/>
      <c r="PHI46" s="137"/>
      <c r="PHJ46" s="137"/>
      <c r="PHK46" s="137"/>
      <c r="PHL46" s="137"/>
      <c r="PHM46" s="137"/>
      <c r="PHN46" s="137"/>
      <c r="PHO46" s="137"/>
      <c r="PHP46" s="137"/>
      <c r="PHQ46" s="137"/>
      <c r="PHR46" s="137"/>
      <c r="PHS46" s="137"/>
      <c r="PHT46" s="137"/>
      <c r="PHU46" s="137"/>
      <c r="PHV46" s="137"/>
      <c r="PHW46" s="137"/>
      <c r="PHX46" s="137"/>
      <c r="PHY46" s="137"/>
      <c r="PHZ46" s="137"/>
      <c r="PIA46" s="137"/>
      <c r="PIB46" s="137"/>
      <c r="PIC46" s="137"/>
      <c r="PID46" s="137"/>
      <c r="PIE46" s="137"/>
      <c r="PIF46" s="137"/>
      <c r="PIG46" s="137"/>
      <c r="PIH46" s="137"/>
      <c r="PII46" s="137"/>
      <c r="PIJ46" s="137"/>
      <c r="PIK46" s="137"/>
      <c r="PIL46" s="137"/>
      <c r="PIM46" s="137"/>
      <c r="PIN46" s="137"/>
      <c r="PIO46" s="137"/>
      <c r="PIP46" s="137"/>
      <c r="PIQ46" s="137"/>
      <c r="PIR46" s="137"/>
      <c r="PIS46" s="137"/>
      <c r="PIT46" s="137"/>
      <c r="PIU46" s="137"/>
      <c r="PIV46" s="137"/>
      <c r="PIW46" s="137"/>
      <c r="PIX46" s="137"/>
      <c r="PIY46" s="137"/>
      <c r="PIZ46" s="137"/>
      <c r="PJA46" s="137"/>
      <c r="PJB46" s="137"/>
      <c r="PJC46" s="137"/>
      <c r="PJD46" s="137"/>
      <c r="PJE46" s="137"/>
      <c r="PJF46" s="137"/>
      <c r="PJG46" s="137"/>
      <c r="PJH46" s="137"/>
      <c r="PJI46" s="137"/>
      <c r="PJJ46" s="137"/>
      <c r="PJK46" s="137"/>
      <c r="PJL46" s="137"/>
      <c r="PJM46" s="137"/>
      <c r="PJN46" s="137"/>
      <c r="PJO46" s="137"/>
      <c r="PJP46" s="137"/>
      <c r="PJQ46" s="137"/>
      <c r="PJR46" s="137"/>
      <c r="PJS46" s="137"/>
      <c r="PJT46" s="137"/>
      <c r="PJU46" s="137"/>
      <c r="PJV46" s="137"/>
      <c r="PJW46" s="137"/>
      <c r="PJX46" s="137"/>
      <c r="PJY46" s="137"/>
      <c r="PJZ46" s="137"/>
      <c r="PKA46" s="137"/>
      <c r="PKB46" s="137"/>
      <c r="PKC46" s="137"/>
      <c r="PKD46" s="137"/>
      <c r="PKE46" s="137"/>
      <c r="PKF46" s="137"/>
      <c r="PKG46" s="137"/>
      <c r="PKH46" s="137"/>
      <c r="PKI46" s="137"/>
      <c r="PKJ46" s="137"/>
      <c r="PKK46" s="137"/>
      <c r="PKL46" s="137"/>
      <c r="PKM46" s="137"/>
      <c r="PKN46" s="137"/>
      <c r="PKO46" s="137"/>
      <c r="PKP46" s="137"/>
      <c r="PKQ46" s="137"/>
      <c r="PKR46" s="137"/>
      <c r="PKS46" s="137"/>
      <c r="PKT46" s="137"/>
      <c r="PKU46" s="137"/>
      <c r="PKV46" s="137"/>
      <c r="PKW46" s="137"/>
      <c r="PKX46" s="137"/>
      <c r="PKY46" s="137"/>
      <c r="PKZ46" s="137"/>
      <c r="PLA46" s="137"/>
      <c r="PLB46" s="137"/>
      <c r="PLC46" s="137"/>
      <c r="PLD46" s="137"/>
      <c r="PLE46" s="137"/>
      <c r="PLF46" s="137"/>
      <c r="PLG46" s="137"/>
      <c r="PLH46" s="137"/>
      <c r="PLI46" s="137"/>
      <c r="PLJ46" s="137"/>
      <c r="PLK46" s="137"/>
      <c r="PLL46" s="137"/>
      <c r="PLM46" s="137"/>
      <c r="PLN46" s="137"/>
      <c r="PLO46" s="137"/>
      <c r="PLP46" s="137"/>
      <c r="PLQ46" s="137"/>
      <c r="PLR46" s="137"/>
      <c r="PLS46" s="137"/>
      <c r="PLT46" s="137"/>
      <c r="PLU46" s="137"/>
      <c r="PLV46" s="137"/>
      <c r="PLW46" s="137"/>
      <c r="PLX46" s="137"/>
      <c r="PLY46" s="137"/>
      <c r="PLZ46" s="137"/>
      <c r="PMA46" s="137"/>
      <c r="PMB46" s="137"/>
      <c r="PMC46" s="137"/>
      <c r="PMD46" s="137"/>
      <c r="PME46" s="137"/>
      <c r="PMF46" s="137"/>
      <c r="PMG46" s="137"/>
      <c r="PMH46" s="137"/>
      <c r="PMI46" s="137"/>
      <c r="PMJ46" s="137"/>
      <c r="PMK46" s="137"/>
      <c r="PML46" s="137"/>
      <c r="PMM46" s="137"/>
      <c r="PMN46" s="137"/>
      <c r="PMO46" s="137"/>
      <c r="PMP46" s="137"/>
      <c r="PMQ46" s="137"/>
      <c r="PMR46" s="137"/>
      <c r="PMS46" s="137"/>
      <c r="PMT46" s="137"/>
      <c r="PMU46" s="137"/>
      <c r="PMV46" s="137"/>
      <c r="PMW46" s="137"/>
      <c r="PMX46" s="137"/>
      <c r="PMY46" s="137"/>
      <c r="PMZ46" s="137"/>
      <c r="PNA46" s="137"/>
      <c r="PNB46" s="137"/>
      <c r="PNC46" s="137"/>
      <c r="PND46" s="137"/>
      <c r="PNE46" s="137"/>
      <c r="PNF46" s="137"/>
      <c r="PNG46" s="137"/>
      <c r="PNH46" s="137"/>
      <c r="PNI46" s="137"/>
      <c r="PNJ46" s="137"/>
      <c r="PNK46" s="137"/>
      <c r="PNL46" s="137"/>
      <c r="PNM46" s="137"/>
      <c r="PNN46" s="137"/>
      <c r="PNO46" s="137"/>
      <c r="PNP46" s="137"/>
      <c r="PNQ46" s="137"/>
      <c r="PNR46" s="137"/>
      <c r="PNS46" s="137"/>
      <c r="PNT46" s="137"/>
      <c r="PNU46" s="137"/>
      <c r="PNV46" s="137"/>
      <c r="PNW46" s="137"/>
      <c r="PNX46" s="137"/>
      <c r="PNY46" s="137"/>
      <c r="PNZ46" s="137"/>
      <c r="POA46" s="137"/>
      <c r="POB46" s="137"/>
      <c r="POC46" s="137"/>
      <c r="POD46" s="137"/>
      <c r="POE46" s="137"/>
      <c r="POF46" s="137"/>
      <c r="POG46" s="137"/>
      <c r="POH46" s="137"/>
      <c r="POI46" s="137"/>
      <c r="POJ46" s="137"/>
      <c r="POK46" s="137"/>
      <c r="POL46" s="137"/>
      <c r="POM46" s="137"/>
      <c r="PON46" s="137"/>
      <c r="POO46" s="137"/>
      <c r="POP46" s="137"/>
      <c r="POQ46" s="137"/>
      <c r="POR46" s="137"/>
      <c r="POS46" s="137"/>
      <c r="POT46" s="137"/>
      <c r="POU46" s="137"/>
      <c r="POV46" s="137"/>
      <c r="POW46" s="137"/>
      <c r="POX46" s="137"/>
      <c r="POY46" s="137"/>
      <c r="POZ46" s="137"/>
      <c r="PPA46" s="137"/>
      <c r="PPB46" s="137"/>
      <c r="PPC46" s="137"/>
      <c r="PPD46" s="137"/>
      <c r="PPE46" s="137"/>
      <c r="PPF46" s="137"/>
      <c r="PPG46" s="137"/>
      <c r="PPH46" s="137"/>
      <c r="PPI46" s="137"/>
      <c r="PPJ46" s="137"/>
      <c r="PPK46" s="137"/>
      <c r="PPL46" s="137"/>
      <c r="PPM46" s="137"/>
      <c r="PPN46" s="137"/>
      <c r="PPO46" s="137"/>
      <c r="PPP46" s="137"/>
      <c r="PPQ46" s="137"/>
      <c r="PPR46" s="137"/>
      <c r="PPS46" s="137"/>
      <c r="PPT46" s="137"/>
      <c r="PPU46" s="137"/>
      <c r="PPV46" s="137"/>
      <c r="PPW46" s="137"/>
      <c r="PPX46" s="137"/>
      <c r="PPY46" s="137"/>
      <c r="PPZ46" s="137"/>
      <c r="PQA46" s="137"/>
      <c r="PQB46" s="137"/>
      <c r="PQC46" s="137"/>
      <c r="PQD46" s="137"/>
      <c r="PQE46" s="137"/>
      <c r="PQF46" s="137"/>
      <c r="PQG46" s="137"/>
      <c r="PQH46" s="137"/>
      <c r="PQI46" s="137"/>
      <c r="PQJ46" s="137"/>
      <c r="PQK46" s="137"/>
      <c r="PQL46" s="137"/>
      <c r="PQM46" s="137"/>
      <c r="PQN46" s="137"/>
      <c r="PQO46" s="137"/>
      <c r="PQP46" s="137"/>
      <c r="PQQ46" s="137"/>
      <c r="PQR46" s="137"/>
      <c r="PQS46" s="137"/>
      <c r="PQT46" s="137"/>
      <c r="PQU46" s="137"/>
      <c r="PQV46" s="137"/>
      <c r="PQW46" s="137"/>
      <c r="PQX46" s="137"/>
      <c r="PQY46" s="137"/>
      <c r="PQZ46" s="137"/>
      <c r="PRA46" s="137"/>
      <c r="PRB46" s="137"/>
      <c r="PRC46" s="137"/>
      <c r="PRD46" s="137"/>
      <c r="PRE46" s="137"/>
      <c r="PRF46" s="137"/>
      <c r="PRG46" s="137"/>
      <c r="PRH46" s="137"/>
      <c r="PRI46" s="137"/>
      <c r="PRJ46" s="137"/>
      <c r="PRK46" s="137"/>
      <c r="PRL46" s="137"/>
      <c r="PRM46" s="137"/>
      <c r="PRN46" s="137"/>
      <c r="PRO46" s="137"/>
      <c r="PRP46" s="137"/>
      <c r="PRQ46" s="137"/>
      <c r="PRR46" s="137"/>
      <c r="PRS46" s="137"/>
      <c r="PRT46" s="137"/>
      <c r="PRU46" s="137"/>
      <c r="PRV46" s="137"/>
      <c r="PRW46" s="137"/>
      <c r="PRX46" s="137"/>
      <c r="PRY46" s="137"/>
      <c r="PRZ46" s="137"/>
      <c r="PSA46" s="137"/>
      <c r="PSB46" s="137"/>
      <c r="PSC46" s="137"/>
      <c r="PSD46" s="137"/>
      <c r="PSE46" s="137"/>
      <c r="PSF46" s="137"/>
      <c r="PSG46" s="137"/>
      <c r="PSH46" s="137"/>
      <c r="PSI46" s="137"/>
      <c r="PSJ46" s="137"/>
      <c r="PSK46" s="137"/>
      <c r="PSL46" s="137"/>
      <c r="PSM46" s="137"/>
      <c r="PSN46" s="137"/>
      <c r="PSO46" s="137"/>
      <c r="PSP46" s="137"/>
      <c r="PSQ46" s="137"/>
      <c r="PSR46" s="137"/>
      <c r="PSS46" s="137"/>
      <c r="PST46" s="137"/>
      <c r="PSU46" s="137"/>
      <c r="PSV46" s="137"/>
      <c r="PSW46" s="137"/>
      <c r="PSX46" s="137"/>
      <c r="PSY46" s="137"/>
      <c r="PSZ46" s="137"/>
      <c r="PTA46" s="137"/>
      <c r="PTB46" s="137"/>
      <c r="PTC46" s="137"/>
      <c r="PTD46" s="137"/>
      <c r="PTE46" s="137"/>
      <c r="PTF46" s="137"/>
      <c r="PTG46" s="137"/>
      <c r="PTH46" s="137"/>
      <c r="PTI46" s="137"/>
      <c r="PTJ46" s="137"/>
      <c r="PTK46" s="137"/>
      <c r="PTL46" s="137"/>
      <c r="PTM46" s="137"/>
      <c r="PTN46" s="137"/>
      <c r="PTO46" s="137"/>
      <c r="PTP46" s="137"/>
      <c r="PTQ46" s="137"/>
      <c r="PTR46" s="137"/>
      <c r="PTS46" s="137"/>
      <c r="PTT46" s="137"/>
      <c r="PTU46" s="137"/>
      <c r="PTV46" s="137"/>
      <c r="PTW46" s="137"/>
      <c r="PTX46" s="137"/>
      <c r="PTY46" s="137"/>
      <c r="PTZ46" s="137"/>
      <c r="PUA46" s="137"/>
      <c r="PUB46" s="137"/>
      <c r="PUC46" s="137"/>
      <c r="PUD46" s="137"/>
      <c r="PUE46" s="137"/>
      <c r="PUF46" s="137"/>
      <c r="PUG46" s="137"/>
      <c r="PUH46" s="137"/>
      <c r="PUI46" s="137"/>
      <c r="PUJ46" s="137"/>
      <c r="PUK46" s="137"/>
      <c r="PUL46" s="137"/>
      <c r="PUM46" s="137"/>
      <c r="PUN46" s="137"/>
      <c r="PUO46" s="137"/>
      <c r="PUP46" s="137"/>
      <c r="PUQ46" s="137"/>
      <c r="PUR46" s="137"/>
      <c r="PUS46" s="137"/>
      <c r="PUT46" s="137"/>
      <c r="PUU46" s="137"/>
      <c r="PUV46" s="137"/>
      <c r="PUW46" s="137"/>
      <c r="PUX46" s="137"/>
      <c r="PUY46" s="137"/>
      <c r="PUZ46" s="137"/>
      <c r="PVA46" s="137"/>
      <c r="PVB46" s="137"/>
      <c r="PVC46" s="137"/>
      <c r="PVD46" s="137"/>
      <c r="PVE46" s="137"/>
      <c r="PVF46" s="137"/>
      <c r="PVG46" s="137"/>
      <c r="PVH46" s="137"/>
      <c r="PVI46" s="137"/>
      <c r="PVJ46" s="137"/>
      <c r="PVK46" s="137"/>
      <c r="PVL46" s="137"/>
      <c r="PVM46" s="137"/>
      <c r="PVN46" s="137"/>
      <c r="PVO46" s="137"/>
      <c r="PVP46" s="137"/>
      <c r="PVQ46" s="137"/>
      <c r="PVR46" s="137"/>
      <c r="PVS46" s="137"/>
      <c r="PVT46" s="137"/>
      <c r="PVU46" s="137"/>
      <c r="PVV46" s="137"/>
      <c r="PVW46" s="137"/>
      <c r="PVX46" s="137"/>
      <c r="PVY46" s="137"/>
      <c r="PVZ46" s="137"/>
      <c r="PWA46" s="137"/>
      <c r="PWB46" s="137"/>
      <c r="PWC46" s="137"/>
      <c r="PWD46" s="137"/>
      <c r="PWE46" s="137"/>
      <c r="PWF46" s="137"/>
      <c r="PWG46" s="137"/>
      <c r="PWH46" s="137"/>
      <c r="PWI46" s="137"/>
      <c r="PWJ46" s="137"/>
      <c r="PWK46" s="137"/>
      <c r="PWL46" s="137"/>
      <c r="PWM46" s="137"/>
      <c r="PWN46" s="137"/>
      <c r="PWO46" s="137"/>
      <c r="PWP46" s="137"/>
      <c r="PWQ46" s="137"/>
      <c r="PWR46" s="137"/>
      <c r="PWS46" s="137"/>
      <c r="PWT46" s="137"/>
      <c r="PWU46" s="137"/>
      <c r="PWV46" s="137"/>
      <c r="PWW46" s="137"/>
      <c r="PWX46" s="137"/>
      <c r="PWY46" s="137"/>
      <c r="PWZ46" s="137"/>
      <c r="PXA46" s="137"/>
      <c r="PXB46" s="137"/>
      <c r="PXC46" s="137"/>
      <c r="PXD46" s="137"/>
      <c r="PXE46" s="137"/>
      <c r="PXF46" s="137"/>
      <c r="PXG46" s="137"/>
      <c r="PXH46" s="137"/>
      <c r="PXI46" s="137"/>
      <c r="PXJ46" s="137"/>
      <c r="PXK46" s="137"/>
      <c r="PXL46" s="137"/>
      <c r="PXM46" s="137"/>
      <c r="PXN46" s="137"/>
      <c r="PXO46" s="137"/>
      <c r="PXP46" s="137"/>
      <c r="PXQ46" s="137"/>
      <c r="PXR46" s="137"/>
      <c r="PXS46" s="137"/>
      <c r="PXT46" s="137"/>
      <c r="PXU46" s="137"/>
      <c r="PXV46" s="137"/>
      <c r="PXW46" s="137"/>
      <c r="PXX46" s="137"/>
      <c r="PXY46" s="137"/>
      <c r="PXZ46" s="137"/>
      <c r="PYA46" s="137"/>
      <c r="PYB46" s="137"/>
      <c r="PYC46" s="137"/>
      <c r="PYD46" s="137"/>
      <c r="PYE46" s="137"/>
      <c r="PYF46" s="137"/>
      <c r="PYG46" s="137"/>
      <c r="PYH46" s="137"/>
      <c r="PYI46" s="137"/>
      <c r="PYJ46" s="137"/>
      <c r="PYK46" s="137"/>
      <c r="PYL46" s="137"/>
      <c r="PYM46" s="137"/>
      <c r="PYN46" s="137"/>
      <c r="PYO46" s="137"/>
      <c r="PYP46" s="137"/>
      <c r="PYQ46" s="137"/>
      <c r="PYR46" s="137"/>
      <c r="PYS46" s="137"/>
      <c r="PYT46" s="137"/>
      <c r="PYU46" s="137"/>
      <c r="PYV46" s="137"/>
      <c r="PYW46" s="137"/>
      <c r="PYX46" s="137"/>
      <c r="PYY46" s="137"/>
      <c r="PYZ46" s="137"/>
      <c r="PZA46" s="137"/>
      <c r="PZB46" s="137"/>
      <c r="PZC46" s="137"/>
      <c r="PZD46" s="137"/>
      <c r="PZE46" s="137"/>
      <c r="PZF46" s="137"/>
      <c r="PZG46" s="137"/>
      <c r="PZH46" s="137"/>
      <c r="PZI46" s="137"/>
      <c r="PZJ46" s="137"/>
      <c r="PZK46" s="137"/>
      <c r="PZL46" s="137"/>
      <c r="PZM46" s="137"/>
      <c r="PZN46" s="137"/>
      <c r="PZO46" s="137"/>
      <c r="PZP46" s="137"/>
      <c r="PZQ46" s="137"/>
      <c r="PZR46" s="137"/>
      <c r="PZS46" s="137"/>
      <c r="PZT46" s="137"/>
      <c r="PZU46" s="137"/>
      <c r="PZV46" s="137"/>
      <c r="PZW46" s="137"/>
      <c r="PZX46" s="137"/>
      <c r="PZY46" s="137"/>
      <c r="PZZ46" s="137"/>
      <c r="QAA46" s="137"/>
      <c r="QAB46" s="137"/>
      <c r="QAC46" s="137"/>
      <c r="QAD46" s="137"/>
      <c r="QAE46" s="137"/>
      <c r="QAF46" s="137"/>
      <c r="QAG46" s="137"/>
      <c r="QAH46" s="137"/>
      <c r="QAI46" s="137"/>
      <c r="QAJ46" s="137"/>
      <c r="QAK46" s="137"/>
      <c r="QAL46" s="137"/>
      <c r="QAM46" s="137"/>
      <c r="QAN46" s="137"/>
      <c r="QAO46" s="137"/>
      <c r="QAP46" s="137"/>
      <c r="QAQ46" s="137"/>
      <c r="QAR46" s="137"/>
      <c r="QAS46" s="137"/>
      <c r="QAT46" s="137"/>
      <c r="QAU46" s="137"/>
      <c r="QAV46" s="137"/>
      <c r="QAW46" s="137"/>
      <c r="QAX46" s="137"/>
      <c r="QAY46" s="137"/>
      <c r="QAZ46" s="137"/>
      <c r="QBA46" s="137"/>
      <c r="QBB46" s="137"/>
      <c r="QBC46" s="137"/>
      <c r="QBD46" s="137"/>
      <c r="QBE46" s="137"/>
      <c r="QBF46" s="137"/>
      <c r="QBG46" s="137"/>
      <c r="QBH46" s="137"/>
      <c r="QBI46" s="137"/>
      <c r="QBJ46" s="137"/>
      <c r="QBK46" s="137"/>
      <c r="QBL46" s="137"/>
      <c r="QBM46" s="137"/>
      <c r="QBN46" s="137"/>
      <c r="QBO46" s="137"/>
      <c r="QBP46" s="137"/>
      <c r="QBQ46" s="137"/>
      <c r="QBR46" s="137"/>
      <c r="QBS46" s="137"/>
      <c r="QBT46" s="137"/>
      <c r="QBU46" s="137"/>
      <c r="QBV46" s="137"/>
      <c r="QBW46" s="137"/>
      <c r="QBX46" s="137"/>
      <c r="QBY46" s="137"/>
      <c r="QBZ46" s="137"/>
      <c r="QCA46" s="137"/>
      <c r="QCB46" s="137"/>
      <c r="QCC46" s="137"/>
      <c r="QCD46" s="137"/>
      <c r="QCE46" s="137"/>
      <c r="QCF46" s="137"/>
      <c r="QCG46" s="137"/>
      <c r="QCH46" s="137"/>
      <c r="QCI46" s="137"/>
      <c r="QCJ46" s="137"/>
      <c r="QCK46" s="137"/>
      <c r="QCL46" s="137"/>
      <c r="QCM46" s="137"/>
      <c r="QCN46" s="137"/>
      <c r="QCO46" s="137"/>
      <c r="QCP46" s="137"/>
      <c r="QCQ46" s="137"/>
      <c r="QCR46" s="137"/>
      <c r="QCS46" s="137"/>
      <c r="QCT46" s="137"/>
      <c r="QCU46" s="137"/>
      <c r="QCV46" s="137"/>
      <c r="QCW46" s="137"/>
      <c r="QCX46" s="137"/>
      <c r="QCY46" s="137"/>
      <c r="QCZ46" s="137"/>
      <c r="QDA46" s="137"/>
      <c r="QDB46" s="137"/>
      <c r="QDC46" s="137"/>
      <c r="QDD46" s="137"/>
      <c r="QDE46" s="137"/>
      <c r="QDF46" s="137"/>
      <c r="QDG46" s="137"/>
      <c r="QDH46" s="137"/>
      <c r="QDI46" s="137"/>
      <c r="QDJ46" s="137"/>
      <c r="QDK46" s="137"/>
      <c r="QDL46" s="137"/>
      <c r="QDM46" s="137"/>
      <c r="QDN46" s="137"/>
      <c r="QDO46" s="137"/>
      <c r="QDP46" s="137"/>
      <c r="QDQ46" s="137"/>
      <c r="QDR46" s="137"/>
      <c r="QDS46" s="137"/>
      <c r="QDT46" s="137"/>
      <c r="QDU46" s="137"/>
      <c r="QDV46" s="137"/>
      <c r="QDW46" s="137"/>
      <c r="QDX46" s="137"/>
      <c r="QDY46" s="137"/>
      <c r="QDZ46" s="137"/>
      <c r="QEA46" s="137"/>
      <c r="QEB46" s="137"/>
      <c r="QEC46" s="137"/>
      <c r="QED46" s="137"/>
      <c r="QEE46" s="137"/>
      <c r="QEF46" s="137"/>
      <c r="QEG46" s="137"/>
      <c r="QEH46" s="137"/>
      <c r="QEI46" s="137"/>
      <c r="QEJ46" s="137"/>
      <c r="QEK46" s="137"/>
      <c r="QEL46" s="137"/>
      <c r="QEM46" s="137"/>
      <c r="QEN46" s="137"/>
      <c r="QEO46" s="137"/>
      <c r="QEP46" s="137"/>
      <c r="QEQ46" s="137"/>
      <c r="QER46" s="137"/>
      <c r="QES46" s="137"/>
      <c r="QET46" s="137"/>
      <c r="QEU46" s="137"/>
      <c r="QEV46" s="137"/>
      <c r="QEW46" s="137"/>
      <c r="QEX46" s="137"/>
      <c r="QEY46" s="137"/>
      <c r="QEZ46" s="137"/>
      <c r="QFA46" s="137"/>
      <c r="QFB46" s="137"/>
      <c r="QFC46" s="137"/>
      <c r="QFD46" s="137"/>
      <c r="QFE46" s="137"/>
      <c r="QFF46" s="137"/>
      <c r="QFG46" s="137"/>
      <c r="QFH46" s="137"/>
      <c r="QFI46" s="137"/>
      <c r="QFJ46" s="137"/>
      <c r="QFK46" s="137"/>
      <c r="QFL46" s="137"/>
      <c r="QFM46" s="137"/>
      <c r="QFN46" s="137"/>
      <c r="QFO46" s="137"/>
      <c r="QFP46" s="137"/>
      <c r="QFQ46" s="137"/>
      <c r="QFR46" s="137"/>
      <c r="QFS46" s="137"/>
      <c r="QFT46" s="137"/>
      <c r="QFU46" s="137"/>
      <c r="QFV46" s="137"/>
      <c r="QFW46" s="137"/>
      <c r="QFX46" s="137"/>
      <c r="QFY46" s="137"/>
      <c r="QFZ46" s="137"/>
      <c r="QGA46" s="137"/>
      <c r="QGB46" s="137"/>
      <c r="QGC46" s="137"/>
      <c r="QGD46" s="137"/>
      <c r="QGE46" s="137"/>
      <c r="QGF46" s="137"/>
      <c r="QGG46" s="137"/>
      <c r="QGH46" s="137"/>
      <c r="QGI46" s="137"/>
      <c r="QGJ46" s="137"/>
      <c r="QGK46" s="137"/>
      <c r="QGL46" s="137"/>
      <c r="QGM46" s="137"/>
      <c r="QGN46" s="137"/>
      <c r="QGO46" s="137"/>
      <c r="QGP46" s="137"/>
      <c r="QGQ46" s="137"/>
      <c r="QGR46" s="137"/>
      <c r="QGS46" s="137"/>
      <c r="QGT46" s="137"/>
      <c r="QGU46" s="137"/>
      <c r="QGV46" s="137"/>
      <c r="QGW46" s="137"/>
      <c r="QGX46" s="137"/>
      <c r="QGY46" s="137"/>
      <c r="QGZ46" s="137"/>
      <c r="QHA46" s="137"/>
      <c r="QHB46" s="137"/>
      <c r="QHC46" s="137"/>
      <c r="QHD46" s="137"/>
      <c r="QHE46" s="137"/>
      <c r="QHF46" s="137"/>
      <c r="QHG46" s="137"/>
      <c r="QHH46" s="137"/>
      <c r="QHI46" s="137"/>
      <c r="QHJ46" s="137"/>
      <c r="QHK46" s="137"/>
      <c r="QHL46" s="137"/>
      <c r="QHM46" s="137"/>
      <c r="QHN46" s="137"/>
      <c r="QHO46" s="137"/>
      <c r="QHP46" s="137"/>
      <c r="QHQ46" s="137"/>
      <c r="QHR46" s="137"/>
      <c r="QHS46" s="137"/>
      <c r="QHT46" s="137"/>
      <c r="QHU46" s="137"/>
      <c r="QHV46" s="137"/>
      <c r="QHW46" s="137"/>
      <c r="QHX46" s="137"/>
      <c r="QHY46" s="137"/>
      <c r="QHZ46" s="137"/>
      <c r="QIA46" s="137"/>
      <c r="QIB46" s="137"/>
      <c r="QIC46" s="137"/>
      <c r="QID46" s="137"/>
      <c r="QIE46" s="137"/>
      <c r="QIF46" s="137"/>
      <c r="QIG46" s="137"/>
      <c r="QIH46" s="137"/>
      <c r="QII46" s="137"/>
      <c r="QIJ46" s="137"/>
      <c r="QIK46" s="137"/>
      <c r="QIL46" s="137"/>
      <c r="QIM46" s="137"/>
      <c r="QIN46" s="137"/>
      <c r="QIO46" s="137"/>
      <c r="QIP46" s="137"/>
      <c r="QIQ46" s="137"/>
      <c r="QIR46" s="137"/>
      <c r="QIS46" s="137"/>
      <c r="QIT46" s="137"/>
      <c r="QIU46" s="137"/>
      <c r="QIV46" s="137"/>
      <c r="QIW46" s="137"/>
      <c r="QIX46" s="137"/>
      <c r="QIY46" s="137"/>
      <c r="QIZ46" s="137"/>
      <c r="QJA46" s="137"/>
      <c r="QJB46" s="137"/>
      <c r="QJC46" s="137"/>
      <c r="QJD46" s="137"/>
      <c r="QJE46" s="137"/>
      <c r="QJF46" s="137"/>
      <c r="QJG46" s="137"/>
      <c r="QJH46" s="137"/>
      <c r="QJI46" s="137"/>
      <c r="QJJ46" s="137"/>
      <c r="QJK46" s="137"/>
      <c r="QJL46" s="137"/>
      <c r="QJM46" s="137"/>
      <c r="QJN46" s="137"/>
      <c r="QJO46" s="137"/>
      <c r="QJP46" s="137"/>
      <c r="QJQ46" s="137"/>
      <c r="QJR46" s="137"/>
      <c r="QJS46" s="137"/>
      <c r="QJT46" s="137"/>
      <c r="QJU46" s="137"/>
      <c r="QJV46" s="137"/>
      <c r="QJW46" s="137"/>
      <c r="QJX46" s="137"/>
      <c r="QJY46" s="137"/>
      <c r="QJZ46" s="137"/>
      <c r="QKA46" s="137"/>
      <c r="QKB46" s="137"/>
      <c r="QKC46" s="137"/>
      <c r="QKD46" s="137"/>
      <c r="QKE46" s="137"/>
      <c r="QKF46" s="137"/>
      <c r="QKG46" s="137"/>
      <c r="QKH46" s="137"/>
      <c r="QKI46" s="137"/>
      <c r="QKJ46" s="137"/>
      <c r="QKK46" s="137"/>
      <c r="QKL46" s="137"/>
      <c r="QKM46" s="137"/>
      <c r="QKN46" s="137"/>
      <c r="QKO46" s="137"/>
      <c r="QKP46" s="137"/>
      <c r="QKQ46" s="137"/>
      <c r="QKR46" s="137"/>
      <c r="QKS46" s="137"/>
      <c r="QKT46" s="137"/>
      <c r="QKU46" s="137"/>
      <c r="QKV46" s="137"/>
      <c r="QKW46" s="137"/>
      <c r="QKX46" s="137"/>
      <c r="QKY46" s="137"/>
      <c r="QKZ46" s="137"/>
      <c r="QLA46" s="137"/>
      <c r="QLB46" s="137"/>
      <c r="QLC46" s="137"/>
      <c r="QLD46" s="137"/>
      <c r="QLE46" s="137"/>
      <c r="QLF46" s="137"/>
      <c r="QLG46" s="137"/>
      <c r="QLH46" s="137"/>
      <c r="QLI46" s="137"/>
      <c r="QLJ46" s="137"/>
      <c r="QLK46" s="137"/>
      <c r="QLL46" s="137"/>
      <c r="QLM46" s="137"/>
      <c r="QLN46" s="137"/>
      <c r="QLO46" s="137"/>
      <c r="QLP46" s="137"/>
      <c r="QLQ46" s="137"/>
      <c r="QLR46" s="137"/>
      <c r="QLS46" s="137"/>
      <c r="QLT46" s="137"/>
      <c r="QLU46" s="137"/>
      <c r="QLV46" s="137"/>
      <c r="QLW46" s="137"/>
      <c r="QLX46" s="137"/>
      <c r="QLY46" s="137"/>
      <c r="QLZ46" s="137"/>
      <c r="QMA46" s="137"/>
      <c r="QMB46" s="137"/>
      <c r="QMC46" s="137"/>
      <c r="QMD46" s="137"/>
      <c r="QME46" s="137"/>
      <c r="QMF46" s="137"/>
      <c r="QMG46" s="137"/>
      <c r="QMH46" s="137"/>
      <c r="QMI46" s="137"/>
      <c r="QMJ46" s="137"/>
      <c r="QMK46" s="137"/>
      <c r="QML46" s="137"/>
      <c r="QMM46" s="137"/>
      <c r="QMN46" s="137"/>
      <c r="QMO46" s="137"/>
      <c r="QMP46" s="137"/>
      <c r="QMQ46" s="137"/>
      <c r="QMR46" s="137"/>
      <c r="QMS46" s="137"/>
      <c r="QMT46" s="137"/>
      <c r="QMU46" s="137"/>
      <c r="QMV46" s="137"/>
      <c r="QMW46" s="137"/>
      <c r="QMX46" s="137"/>
      <c r="QMY46" s="137"/>
      <c r="QMZ46" s="137"/>
      <c r="QNA46" s="137"/>
      <c r="QNB46" s="137"/>
      <c r="QNC46" s="137"/>
      <c r="QND46" s="137"/>
      <c r="QNE46" s="137"/>
      <c r="QNF46" s="137"/>
      <c r="QNG46" s="137"/>
      <c r="QNH46" s="137"/>
      <c r="QNI46" s="137"/>
      <c r="QNJ46" s="137"/>
      <c r="QNK46" s="137"/>
      <c r="QNL46" s="137"/>
      <c r="QNM46" s="137"/>
      <c r="QNN46" s="137"/>
      <c r="QNO46" s="137"/>
      <c r="QNP46" s="137"/>
      <c r="QNQ46" s="137"/>
      <c r="QNR46" s="137"/>
      <c r="QNS46" s="137"/>
      <c r="QNT46" s="137"/>
      <c r="QNU46" s="137"/>
      <c r="QNV46" s="137"/>
      <c r="QNW46" s="137"/>
      <c r="QNX46" s="137"/>
      <c r="QNY46" s="137"/>
      <c r="QNZ46" s="137"/>
      <c r="QOA46" s="137"/>
      <c r="QOB46" s="137"/>
      <c r="QOC46" s="137"/>
      <c r="QOD46" s="137"/>
      <c r="QOE46" s="137"/>
      <c r="QOF46" s="137"/>
      <c r="QOG46" s="137"/>
      <c r="QOH46" s="137"/>
      <c r="QOI46" s="137"/>
      <c r="QOJ46" s="137"/>
      <c r="QOK46" s="137"/>
      <c r="QOL46" s="137"/>
      <c r="QOM46" s="137"/>
      <c r="QON46" s="137"/>
      <c r="QOO46" s="137"/>
      <c r="QOP46" s="137"/>
      <c r="QOQ46" s="137"/>
      <c r="QOR46" s="137"/>
      <c r="QOS46" s="137"/>
      <c r="QOT46" s="137"/>
      <c r="QOU46" s="137"/>
      <c r="QOV46" s="137"/>
      <c r="QOW46" s="137"/>
      <c r="QOX46" s="137"/>
      <c r="QOY46" s="137"/>
      <c r="QOZ46" s="137"/>
      <c r="QPA46" s="137"/>
      <c r="QPB46" s="137"/>
      <c r="QPC46" s="137"/>
      <c r="QPD46" s="137"/>
      <c r="QPE46" s="137"/>
      <c r="QPF46" s="137"/>
      <c r="QPG46" s="137"/>
      <c r="QPH46" s="137"/>
      <c r="QPI46" s="137"/>
      <c r="QPJ46" s="137"/>
      <c r="QPK46" s="137"/>
      <c r="QPL46" s="137"/>
      <c r="QPM46" s="137"/>
      <c r="QPN46" s="137"/>
      <c r="QPO46" s="137"/>
      <c r="QPP46" s="137"/>
      <c r="QPQ46" s="137"/>
      <c r="QPR46" s="137"/>
      <c r="QPS46" s="137"/>
      <c r="QPT46" s="137"/>
      <c r="QPU46" s="137"/>
      <c r="QPV46" s="137"/>
      <c r="QPW46" s="137"/>
      <c r="QPX46" s="137"/>
      <c r="QPY46" s="137"/>
      <c r="QPZ46" s="137"/>
      <c r="QQA46" s="137"/>
      <c r="QQB46" s="137"/>
      <c r="QQC46" s="137"/>
      <c r="QQD46" s="137"/>
      <c r="QQE46" s="137"/>
      <c r="QQF46" s="137"/>
      <c r="QQG46" s="137"/>
      <c r="QQH46" s="137"/>
      <c r="QQI46" s="137"/>
      <c r="QQJ46" s="137"/>
      <c r="QQK46" s="137"/>
      <c r="QQL46" s="137"/>
      <c r="QQM46" s="137"/>
      <c r="QQN46" s="137"/>
      <c r="QQO46" s="137"/>
      <c r="QQP46" s="137"/>
      <c r="QQQ46" s="137"/>
      <c r="QQR46" s="137"/>
      <c r="QQS46" s="137"/>
      <c r="QQT46" s="137"/>
      <c r="QQU46" s="137"/>
      <c r="QQV46" s="137"/>
      <c r="QQW46" s="137"/>
      <c r="QQX46" s="137"/>
      <c r="QQY46" s="137"/>
      <c r="QQZ46" s="137"/>
      <c r="QRA46" s="137"/>
      <c r="QRB46" s="137"/>
      <c r="QRC46" s="137"/>
      <c r="QRD46" s="137"/>
      <c r="QRE46" s="137"/>
      <c r="QRF46" s="137"/>
      <c r="QRG46" s="137"/>
      <c r="QRH46" s="137"/>
      <c r="QRI46" s="137"/>
      <c r="QRJ46" s="137"/>
      <c r="QRK46" s="137"/>
      <c r="QRL46" s="137"/>
      <c r="QRM46" s="137"/>
      <c r="QRN46" s="137"/>
      <c r="QRO46" s="137"/>
      <c r="QRP46" s="137"/>
      <c r="QRQ46" s="137"/>
      <c r="QRR46" s="137"/>
      <c r="QRS46" s="137"/>
      <c r="QRT46" s="137"/>
      <c r="QRU46" s="137"/>
      <c r="QRV46" s="137"/>
      <c r="QRW46" s="137"/>
      <c r="QRX46" s="137"/>
      <c r="QRY46" s="137"/>
      <c r="QRZ46" s="137"/>
      <c r="QSA46" s="137"/>
      <c r="QSB46" s="137"/>
      <c r="QSC46" s="137"/>
      <c r="QSD46" s="137"/>
      <c r="QSE46" s="137"/>
      <c r="QSF46" s="137"/>
      <c r="QSG46" s="137"/>
      <c r="QSH46" s="137"/>
      <c r="QSI46" s="137"/>
      <c r="QSJ46" s="137"/>
      <c r="QSK46" s="137"/>
      <c r="QSL46" s="137"/>
      <c r="QSM46" s="137"/>
      <c r="QSN46" s="137"/>
      <c r="QSO46" s="137"/>
      <c r="QSP46" s="137"/>
      <c r="QSQ46" s="137"/>
      <c r="QSR46" s="137"/>
      <c r="QSS46" s="137"/>
      <c r="QST46" s="137"/>
      <c r="QSU46" s="137"/>
      <c r="QSV46" s="137"/>
      <c r="QSW46" s="137"/>
      <c r="QSX46" s="137"/>
      <c r="QSY46" s="137"/>
      <c r="QSZ46" s="137"/>
      <c r="QTA46" s="137"/>
      <c r="QTB46" s="137"/>
      <c r="QTC46" s="137"/>
      <c r="QTD46" s="137"/>
      <c r="QTE46" s="137"/>
      <c r="QTF46" s="137"/>
      <c r="QTG46" s="137"/>
      <c r="QTH46" s="137"/>
      <c r="QTI46" s="137"/>
      <c r="QTJ46" s="137"/>
      <c r="QTK46" s="137"/>
      <c r="QTL46" s="137"/>
      <c r="QTM46" s="137"/>
      <c r="QTN46" s="137"/>
      <c r="QTO46" s="137"/>
      <c r="QTP46" s="137"/>
      <c r="QTQ46" s="137"/>
      <c r="QTR46" s="137"/>
      <c r="QTS46" s="137"/>
      <c r="QTT46" s="137"/>
      <c r="QTU46" s="137"/>
      <c r="QTV46" s="137"/>
      <c r="QTW46" s="137"/>
      <c r="QTX46" s="137"/>
      <c r="QTY46" s="137"/>
      <c r="QTZ46" s="137"/>
      <c r="QUA46" s="137"/>
      <c r="QUB46" s="137"/>
      <c r="QUC46" s="137"/>
      <c r="QUD46" s="137"/>
      <c r="QUE46" s="137"/>
      <c r="QUF46" s="137"/>
      <c r="QUG46" s="137"/>
      <c r="QUH46" s="137"/>
      <c r="QUI46" s="137"/>
      <c r="QUJ46" s="137"/>
      <c r="QUK46" s="137"/>
      <c r="QUL46" s="137"/>
      <c r="QUM46" s="137"/>
      <c r="QUN46" s="137"/>
      <c r="QUO46" s="137"/>
      <c r="QUP46" s="137"/>
      <c r="QUQ46" s="137"/>
      <c r="QUR46" s="137"/>
      <c r="QUS46" s="137"/>
      <c r="QUT46" s="137"/>
      <c r="QUU46" s="137"/>
      <c r="QUV46" s="137"/>
      <c r="QUW46" s="137"/>
      <c r="QUX46" s="137"/>
      <c r="QUY46" s="137"/>
      <c r="QUZ46" s="137"/>
      <c r="QVA46" s="137"/>
      <c r="QVB46" s="137"/>
      <c r="QVC46" s="137"/>
      <c r="QVD46" s="137"/>
      <c r="QVE46" s="137"/>
      <c r="QVF46" s="137"/>
      <c r="QVG46" s="137"/>
      <c r="QVH46" s="137"/>
      <c r="QVI46" s="137"/>
      <c r="QVJ46" s="137"/>
      <c r="QVK46" s="137"/>
      <c r="QVL46" s="137"/>
      <c r="QVM46" s="137"/>
      <c r="QVN46" s="137"/>
      <c r="QVO46" s="137"/>
      <c r="QVP46" s="137"/>
      <c r="QVQ46" s="137"/>
      <c r="QVR46" s="137"/>
      <c r="QVS46" s="137"/>
      <c r="QVT46" s="137"/>
      <c r="QVU46" s="137"/>
      <c r="QVV46" s="137"/>
      <c r="QVW46" s="137"/>
      <c r="QVX46" s="137"/>
      <c r="QVY46" s="137"/>
      <c r="QVZ46" s="137"/>
      <c r="QWA46" s="137"/>
      <c r="QWB46" s="137"/>
      <c r="QWC46" s="137"/>
      <c r="QWD46" s="137"/>
      <c r="QWE46" s="137"/>
      <c r="QWF46" s="137"/>
      <c r="QWG46" s="137"/>
      <c r="QWH46" s="137"/>
      <c r="QWI46" s="137"/>
      <c r="QWJ46" s="137"/>
      <c r="QWK46" s="137"/>
      <c r="QWL46" s="137"/>
      <c r="QWM46" s="137"/>
      <c r="QWN46" s="137"/>
      <c r="QWO46" s="137"/>
      <c r="QWP46" s="137"/>
      <c r="QWQ46" s="137"/>
      <c r="QWR46" s="137"/>
      <c r="QWS46" s="137"/>
      <c r="QWT46" s="137"/>
      <c r="QWU46" s="137"/>
      <c r="QWV46" s="137"/>
      <c r="QWW46" s="137"/>
      <c r="QWX46" s="137"/>
      <c r="QWY46" s="137"/>
      <c r="QWZ46" s="137"/>
      <c r="QXA46" s="137"/>
      <c r="QXB46" s="137"/>
      <c r="QXC46" s="137"/>
      <c r="QXD46" s="137"/>
      <c r="QXE46" s="137"/>
      <c r="QXF46" s="137"/>
      <c r="QXG46" s="137"/>
      <c r="QXH46" s="137"/>
      <c r="QXI46" s="137"/>
      <c r="QXJ46" s="137"/>
      <c r="QXK46" s="137"/>
      <c r="QXL46" s="137"/>
      <c r="QXM46" s="137"/>
      <c r="QXN46" s="137"/>
      <c r="QXO46" s="137"/>
      <c r="QXP46" s="137"/>
      <c r="QXQ46" s="137"/>
      <c r="QXR46" s="137"/>
      <c r="QXS46" s="137"/>
      <c r="QXT46" s="137"/>
      <c r="QXU46" s="137"/>
      <c r="QXV46" s="137"/>
      <c r="QXW46" s="137"/>
      <c r="QXX46" s="137"/>
      <c r="QXY46" s="137"/>
      <c r="QXZ46" s="137"/>
      <c r="QYA46" s="137"/>
      <c r="QYB46" s="137"/>
      <c r="QYC46" s="137"/>
      <c r="QYD46" s="137"/>
      <c r="QYE46" s="137"/>
      <c r="QYF46" s="137"/>
      <c r="QYG46" s="137"/>
      <c r="QYH46" s="137"/>
      <c r="QYI46" s="137"/>
      <c r="QYJ46" s="137"/>
      <c r="QYK46" s="137"/>
      <c r="QYL46" s="137"/>
      <c r="QYM46" s="137"/>
      <c r="QYN46" s="137"/>
      <c r="QYO46" s="137"/>
      <c r="QYP46" s="137"/>
      <c r="QYQ46" s="137"/>
      <c r="QYR46" s="137"/>
      <c r="QYS46" s="137"/>
      <c r="QYT46" s="137"/>
      <c r="QYU46" s="137"/>
      <c r="QYV46" s="137"/>
      <c r="QYW46" s="137"/>
      <c r="QYX46" s="137"/>
      <c r="QYY46" s="137"/>
      <c r="QYZ46" s="137"/>
      <c r="QZA46" s="137"/>
      <c r="QZB46" s="137"/>
      <c r="QZC46" s="137"/>
      <c r="QZD46" s="137"/>
      <c r="QZE46" s="137"/>
      <c r="QZF46" s="137"/>
      <c r="QZG46" s="137"/>
      <c r="QZH46" s="137"/>
      <c r="QZI46" s="137"/>
      <c r="QZJ46" s="137"/>
      <c r="QZK46" s="137"/>
      <c r="QZL46" s="137"/>
      <c r="QZM46" s="137"/>
      <c r="QZN46" s="137"/>
      <c r="QZO46" s="137"/>
      <c r="QZP46" s="137"/>
      <c r="QZQ46" s="137"/>
      <c r="QZR46" s="137"/>
      <c r="QZS46" s="137"/>
      <c r="QZT46" s="137"/>
      <c r="QZU46" s="137"/>
      <c r="QZV46" s="137"/>
      <c r="QZW46" s="137"/>
      <c r="QZX46" s="137"/>
      <c r="QZY46" s="137"/>
      <c r="QZZ46" s="137"/>
      <c r="RAA46" s="137"/>
      <c r="RAB46" s="137"/>
      <c r="RAC46" s="137"/>
      <c r="RAD46" s="137"/>
      <c r="RAE46" s="137"/>
      <c r="RAF46" s="137"/>
      <c r="RAG46" s="137"/>
      <c r="RAH46" s="137"/>
      <c r="RAI46" s="137"/>
      <c r="RAJ46" s="137"/>
      <c r="RAK46" s="137"/>
      <c r="RAL46" s="137"/>
      <c r="RAM46" s="137"/>
      <c r="RAN46" s="137"/>
      <c r="RAO46" s="137"/>
      <c r="RAP46" s="137"/>
      <c r="RAQ46" s="137"/>
      <c r="RAR46" s="137"/>
      <c r="RAS46" s="137"/>
      <c r="RAT46" s="137"/>
      <c r="RAU46" s="137"/>
      <c r="RAV46" s="137"/>
      <c r="RAW46" s="137"/>
      <c r="RAX46" s="137"/>
      <c r="RAY46" s="137"/>
      <c r="RAZ46" s="137"/>
      <c r="RBA46" s="137"/>
      <c r="RBB46" s="137"/>
      <c r="RBC46" s="137"/>
      <c r="RBD46" s="137"/>
      <c r="RBE46" s="137"/>
      <c r="RBF46" s="137"/>
      <c r="RBG46" s="137"/>
      <c r="RBH46" s="137"/>
      <c r="RBI46" s="137"/>
      <c r="RBJ46" s="137"/>
      <c r="RBK46" s="137"/>
      <c r="RBL46" s="137"/>
      <c r="RBM46" s="137"/>
      <c r="RBN46" s="137"/>
      <c r="RBO46" s="137"/>
      <c r="RBP46" s="137"/>
      <c r="RBQ46" s="137"/>
      <c r="RBR46" s="137"/>
      <c r="RBS46" s="137"/>
      <c r="RBT46" s="137"/>
      <c r="RBU46" s="137"/>
      <c r="RBV46" s="137"/>
      <c r="RBW46" s="137"/>
      <c r="RBX46" s="137"/>
      <c r="RBY46" s="137"/>
      <c r="RBZ46" s="137"/>
      <c r="RCA46" s="137"/>
      <c r="RCB46" s="137"/>
      <c r="RCC46" s="137"/>
      <c r="RCD46" s="137"/>
      <c r="RCE46" s="137"/>
      <c r="RCF46" s="137"/>
      <c r="RCG46" s="137"/>
      <c r="RCH46" s="137"/>
      <c r="RCI46" s="137"/>
      <c r="RCJ46" s="137"/>
      <c r="RCK46" s="137"/>
      <c r="RCL46" s="137"/>
      <c r="RCM46" s="137"/>
      <c r="RCN46" s="137"/>
      <c r="RCO46" s="137"/>
      <c r="RCP46" s="137"/>
      <c r="RCQ46" s="137"/>
      <c r="RCR46" s="137"/>
      <c r="RCS46" s="137"/>
      <c r="RCT46" s="137"/>
      <c r="RCU46" s="137"/>
      <c r="RCV46" s="137"/>
      <c r="RCW46" s="137"/>
      <c r="RCX46" s="137"/>
      <c r="RCY46" s="137"/>
      <c r="RCZ46" s="137"/>
      <c r="RDA46" s="137"/>
      <c r="RDB46" s="137"/>
      <c r="RDC46" s="137"/>
      <c r="RDD46" s="137"/>
      <c r="RDE46" s="137"/>
      <c r="RDF46" s="137"/>
      <c r="RDG46" s="137"/>
      <c r="RDH46" s="137"/>
      <c r="RDI46" s="137"/>
      <c r="RDJ46" s="137"/>
      <c r="RDK46" s="137"/>
      <c r="RDL46" s="137"/>
      <c r="RDM46" s="137"/>
      <c r="RDN46" s="137"/>
      <c r="RDO46" s="137"/>
      <c r="RDP46" s="137"/>
      <c r="RDQ46" s="137"/>
      <c r="RDR46" s="137"/>
      <c r="RDS46" s="137"/>
      <c r="RDT46" s="137"/>
      <c r="RDU46" s="137"/>
      <c r="RDV46" s="137"/>
      <c r="RDW46" s="137"/>
      <c r="RDX46" s="137"/>
      <c r="RDY46" s="137"/>
      <c r="RDZ46" s="137"/>
      <c r="REA46" s="137"/>
      <c r="REB46" s="137"/>
      <c r="REC46" s="137"/>
      <c r="RED46" s="137"/>
      <c r="REE46" s="137"/>
      <c r="REF46" s="137"/>
      <c r="REG46" s="137"/>
      <c r="REH46" s="137"/>
      <c r="REI46" s="137"/>
      <c r="REJ46" s="137"/>
      <c r="REK46" s="137"/>
      <c r="REL46" s="137"/>
      <c r="REM46" s="137"/>
      <c r="REN46" s="137"/>
      <c r="REO46" s="137"/>
      <c r="REP46" s="137"/>
      <c r="REQ46" s="137"/>
      <c r="RER46" s="137"/>
      <c r="RES46" s="137"/>
      <c r="RET46" s="137"/>
      <c r="REU46" s="137"/>
      <c r="REV46" s="137"/>
      <c r="REW46" s="137"/>
      <c r="REX46" s="137"/>
      <c r="REY46" s="137"/>
      <c r="REZ46" s="137"/>
      <c r="RFA46" s="137"/>
      <c r="RFB46" s="137"/>
      <c r="RFC46" s="137"/>
      <c r="RFD46" s="137"/>
      <c r="RFE46" s="137"/>
      <c r="RFF46" s="137"/>
      <c r="RFG46" s="137"/>
      <c r="RFH46" s="137"/>
      <c r="RFI46" s="137"/>
      <c r="RFJ46" s="137"/>
      <c r="RFK46" s="137"/>
      <c r="RFL46" s="137"/>
      <c r="RFM46" s="137"/>
      <c r="RFN46" s="137"/>
      <c r="RFO46" s="137"/>
      <c r="RFP46" s="137"/>
      <c r="RFQ46" s="137"/>
      <c r="RFR46" s="137"/>
      <c r="RFS46" s="137"/>
      <c r="RFT46" s="137"/>
      <c r="RFU46" s="137"/>
      <c r="RFV46" s="137"/>
      <c r="RFW46" s="137"/>
      <c r="RFX46" s="137"/>
      <c r="RFY46" s="137"/>
      <c r="RFZ46" s="137"/>
      <c r="RGA46" s="137"/>
      <c r="RGB46" s="137"/>
      <c r="RGC46" s="137"/>
      <c r="RGD46" s="137"/>
      <c r="RGE46" s="137"/>
      <c r="RGF46" s="137"/>
      <c r="RGG46" s="137"/>
      <c r="RGH46" s="137"/>
      <c r="RGI46" s="137"/>
      <c r="RGJ46" s="137"/>
      <c r="RGK46" s="137"/>
      <c r="RGL46" s="137"/>
      <c r="RGM46" s="137"/>
      <c r="RGN46" s="137"/>
      <c r="RGO46" s="137"/>
      <c r="RGP46" s="137"/>
      <c r="RGQ46" s="137"/>
      <c r="RGR46" s="137"/>
      <c r="RGS46" s="137"/>
      <c r="RGT46" s="137"/>
      <c r="RGU46" s="137"/>
      <c r="RGV46" s="137"/>
      <c r="RGW46" s="137"/>
      <c r="RGX46" s="137"/>
      <c r="RGY46" s="137"/>
      <c r="RGZ46" s="137"/>
      <c r="RHA46" s="137"/>
      <c r="RHB46" s="137"/>
      <c r="RHC46" s="137"/>
      <c r="RHD46" s="137"/>
      <c r="RHE46" s="137"/>
      <c r="RHF46" s="137"/>
      <c r="RHG46" s="137"/>
      <c r="RHH46" s="137"/>
      <c r="RHI46" s="137"/>
      <c r="RHJ46" s="137"/>
      <c r="RHK46" s="137"/>
      <c r="RHL46" s="137"/>
      <c r="RHM46" s="137"/>
      <c r="RHN46" s="137"/>
      <c r="RHO46" s="137"/>
      <c r="RHP46" s="137"/>
      <c r="RHQ46" s="137"/>
      <c r="RHR46" s="137"/>
      <c r="RHS46" s="137"/>
      <c r="RHT46" s="137"/>
      <c r="RHU46" s="137"/>
      <c r="RHV46" s="137"/>
      <c r="RHW46" s="137"/>
      <c r="RHX46" s="137"/>
      <c r="RHY46" s="137"/>
      <c r="RHZ46" s="137"/>
      <c r="RIA46" s="137"/>
      <c r="RIB46" s="137"/>
      <c r="RIC46" s="137"/>
      <c r="RID46" s="137"/>
      <c r="RIE46" s="137"/>
      <c r="RIF46" s="137"/>
      <c r="RIG46" s="137"/>
      <c r="RIH46" s="137"/>
      <c r="RII46" s="137"/>
      <c r="RIJ46" s="137"/>
      <c r="RIK46" s="137"/>
      <c r="RIL46" s="137"/>
      <c r="RIM46" s="137"/>
      <c r="RIN46" s="137"/>
      <c r="RIO46" s="137"/>
      <c r="RIP46" s="137"/>
      <c r="RIQ46" s="137"/>
      <c r="RIR46" s="137"/>
      <c r="RIS46" s="137"/>
      <c r="RIT46" s="137"/>
      <c r="RIU46" s="137"/>
      <c r="RIV46" s="137"/>
      <c r="RIW46" s="137"/>
      <c r="RIX46" s="137"/>
      <c r="RIY46" s="137"/>
      <c r="RIZ46" s="137"/>
      <c r="RJA46" s="137"/>
      <c r="RJB46" s="137"/>
      <c r="RJC46" s="137"/>
      <c r="RJD46" s="137"/>
      <c r="RJE46" s="137"/>
      <c r="RJF46" s="137"/>
      <c r="RJG46" s="137"/>
      <c r="RJH46" s="137"/>
      <c r="RJI46" s="137"/>
      <c r="RJJ46" s="137"/>
      <c r="RJK46" s="137"/>
      <c r="RJL46" s="137"/>
      <c r="RJM46" s="137"/>
      <c r="RJN46" s="137"/>
      <c r="RJO46" s="137"/>
      <c r="RJP46" s="137"/>
      <c r="RJQ46" s="137"/>
      <c r="RJR46" s="137"/>
      <c r="RJS46" s="137"/>
      <c r="RJT46" s="137"/>
      <c r="RJU46" s="137"/>
      <c r="RJV46" s="137"/>
      <c r="RJW46" s="137"/>
      <c r="RJX46" s="137"/>
      <c r="RJY46" s="137"/>
      <c r="RJZ46" s="137"/>
      <c r="RKA46" s="137"/>
      <c r="RKB46" s="137"/>
      <c r="RKC46" s="137"/>
      <c r="RKD46" s="137"/>
      <c r="RKE46" s="137"/>
      <c r="RKF46" s="137"/>
      <c r="RKG46" s="137"/>
      <c r="RKH46" s="137"/>
      <c r="RKI46" s="137"/>
      <c r="RKJ46" s="137"/>
      <c r="RKK46" s="137"/>
      <c r="RKL46" s="137"/>
      <c r="RKM46" s="137"/>
      <c r="RKN46" s="137"/>
      <c r="RKO46" s="137"/>
      <c r="RKP46" s="137"/>
      <c r="RKQ46" s="137"/>
      <c r="RKR46" s="137"/>
      <c r="RKS46" s="137"/>
      <c r="RKT46" s="137"/>
      <c r="RKU46" s="137"/>
      <c r="RKV46" s="137"/>
      <c r="RKW46" s="137"/>
      <c r="RKX46" s="137"/>
      <c r="RKY46" s="137"/>
      <c r="RKZ46" s="137"/>
      <c r="RLA46" s="137"/>
      <c r="RLB46" s="137"/>
      <c r="RLC46" s="137"/>
      <c r="RLD46" s="137"/>
      <c r="RLE46" s="137"/>
      <c r="RLF46" s="137"/>
      <c r="RLG46" s="137"/>
      <c r="RLH46" s="137"/>
      <c r="RLI46" s="137"/>
      <c r="RLJ46" s="137"/>
      <c r="RLK46" s="137"/>
      <c r="RLL46" s="137"/>
      <c r="RLM46" s="137"/>
      <c r="RLN46" s="137"/>
      <c r="RLO46" s="137"/>
      <c r="RLP46" s="137"/>
      <c r="RLQ46" s="137"/>
      <c r="RLR46" s="137"/>
      <c r="RLS46" s="137"/>
      <c r="RLT46" s="137"/>
      <c r="RLU46" s="137"/>
      <c r="RLV46" s="137"/>
      <c r="RLW46" s="137"/>
      <c r="RLX46" s="137"/>
      <c r="RLY46" s="137"/>
      <c r="RLZ46" s="137"/>
      <c r="RMA46" s="137"/>
      <c r="RMB46" s="137"/>
      <c r="RMC46" s="137"/>
      <c r="RMD46" s="137"/>
      <c r="RME46" s="137"/>
      <c r="RMF46" s="137"/>
      <c r="RMG46" s="137"/>
      <c r="RMH46" s="137"/>
      <c r="RMI46" s="137"/>
      <c r="RMJ46" s="137"/>
      <c r="RMK46" s="137"/>
      <c r="RML46" s="137"/>
      <c r="RMM46" s="137"/>
      <c r="RMN46" s="137"/>
      <c r="RMO46" s="137"/>
      <c r="RMP46" s="137"/>
      <c r="RMQ46" s="137"/>
      <c r="RMR46" s="137"/>
      <c r="RMS46" s="137"/>
      <c r="RMT46" s="137"/>
      <c r="RMU46" s="137"/>
      <c r="RMV46" s="137"/>
      <c r="RMW46" s="137"/>
      <c r="RMX46" s="137"/>
      <c r="RMY46" s="137"/>
      <c r="RMZ46" s="137"/>
      <c r="RNA46" s="137"/>
      <c r="RNB46" s="137"/>
      <c r="RNC46" s="137"/>
      <c r="RND46" s="137"/>
      <c r="RNE46" s="137"/>
      <c r="RNF46" s="137"/>
      <c r="RNG46" s="137"/>
      <c r="RNH46" s="137"/>
      <c r="RNI46" s="137"/>
      <c r="RNJ46" s="137"/>
      <c r="RNK46" s="137"/>
      <c r="RNL46" s="137"/>
      <c r="RNM46" s="137"/>
      <c r="RNN46" s="137"/>
      <c r="RNO46" s="137"/>
      <c r="RNP46" s="137"/>
      <c r="RNQ46" s="137"/>
      <c r="RNR46" s="137"/>
      <c r="RNS46" s="137"/>
      <c r="RNT46" s="137"/>
      <c r="RNU46" s="137"/>
      <c r="RNV46" s="137"/>
      <c r="RNW46" s="137"/>
      <c r="RNX46" s="137"/>
      <c r="RNY46" s="137"/>
      <c r="RNZ46" s="137"/>
      <c r="ROA46" s="137"/>
      <c r="ROB46" s="137"/>
      <c r="ROC46" s="137"/>
      <c r="ROD46" s="137"/>
      <c r="ROE46" s="137"/>
      <c r="ROF46" s="137"/>
      <c r="ROG46" s="137"/>
      <c r="ROH46" s="137"/>
      <c r="ROI46" s="137"/>
      <c r="ROJ46" s="137"/>
      <c r="ROK46" s="137"/>
      <c r="ROL46" s="137"/>
      <c r="ROM46" s="137"/>
      <c r="RON46" s="137"/>
      <c r="ROO46" s="137"/>
      <c r="ROP46" s="137"/>
      <c r="ROQ46" s="137"/>
      <c r="ROR46" s="137"/>
      <c r="ROS46" s="137"/>
      <c r="ROT46" s="137"/>
      <c r="ROU46" s="137"/>
      <c r="ROV46" s="137"/>
      <c r="ROW46" s="137"/>
      <c r="ROX46" s="137"/>
      <c r="ROY46" s="137"/>
      <c r="ROZ46" s="137"/>
      <c r="RPA46" s="137"/>
      <c r="RPB46" s="137"/>
      <c r="RPC46" s="137"/>
      <c r="RPD46" s="137"/>
      <c r="RPE46" s="137"/>
      <c r="RPF46" s="137"/>
      <c r="RPG46" s="137"/>
      <c r="RPH46" s="137"/>
      <c r="RPI46" s="137"/>
      <c r="RPJ46" s="137"/>
      <c r="RPK46" s="137"/>
      <c r="RPL46" s="137"/>
      <c r="RPM46" s="137"/>
      <c r="RPN46" s="137"/>
      <c r="RPO46" s="137"/>
      <c r="RPP46" s="137"/>
      <c r="RPQ46" s="137"/>
      <c r="RPR46" s="137"/>
      <c r="RPS46" s="137"/>
      <c r="RPT46" s="137"/>
      <c r="RPU46" s="137"/>
      <c r="RPV46" s="137"/>
      <c r="RPW46" s="137"/>
      <c r="RPX46" s="137"/>
      <c r="RPY46" s="137"/>
      <c r="RPZ46" s="137"/>
      <c r="RQA46" s="137"/>
      <c r="RQB46" s="137"/>
      <c r="RQC46" s="137"/>
      <c r="RQD46" s="137"/>
      <c r="RQE46" s="137"/>
      <c r="RQF46" s="137"/>
      <c r="RQG46" s="137"/>
      <c r="RQH46" s="137"/>
      <c r="RQI46" s="137"/>
      <c r="RQJ46" s="137"/>
      <c r="RQK46" s="137"/>
      <c r="RQL46" s="137"/>
      <c r="RQM46" s="137"/>
      <c r="RQN46" s="137"/>
      <c r="RQO46" s="137"/>
      <c r="RQP46" s="137"/>
      <c r="RQQ46" s="137"/>
      <c r="RQR46" s="137"/>
      <c r="RQS46" s="137"/>
      <c r="RQT46" s="137"/>
      <c r="RQU46" s="137"/>
      <c r="RQV46" s="137"/>
      <c r="RQW46" s="137"/>
      <c r="RQX46" s="137"/>
      <c r="RQY46" s="137"/>
      <c r="RQZ46" s="137"/>
      <c r="RRA46" s="137"/>
      <c r="RRB46" s="137"/>
      <c r="RRC46" s="137"/>
      <c r="RRD46" s="137"/>
      <c r="RRE46" s="137"/>
      <c r="RRF46" s="137"/>
      <c r="RRG46" s="137"/>
      <c r="RRH46" s="137"/>
      <c r="RRI46" s="137"/>
      <c r="RRJ46" s="137"/>
      <c r="RRK46" s="137"/>
      <c r="RRL46" s="137"/>
      <c r="RRM46" s="137"/>
      <c r="RRN46" s="137"/>
      <c r="RRO46" s="137"/>
      <c r="RRP46" s="137"/>
      <c r="RRQ46" s="137"/>
      <c r="RRR46" s="137"/>
      <c r="RRS46" s="137"/>
      <c r="RRT46" s="137"/>
      <c r="RRU46" s="137"/>
      <c r="RRV46" s="137"/>
      <c r="RRW46" s="137"/>
      <c r="RRX46" s="137"/>
      <c r="RRY46" s="137"/>
      <c r="RRZ46" s="137"/>
      <c r="RSA46" s="137"/>
      <c r="RSB46" s="137"/>
      <c r="RSC46" s="137"/>
      <c r="RSD46" s="137"/>
      <c r="RSE46" s="137"/>
      <c r="RSF46" s="137"/>
      <c r="RSG46" s="137"/>
      <c r="RSH46" s="137"/>
      <c r="RSI46" s="137"/>
      <c r="RSJ46" s="137"/>
      <c r="RSK46" s="137"/>
      <c r="RSL46" s="137"/>
      <c r="RSM46" s="137"/>
      <c r="RSN46" s="137"/>
      <c r="RSO46" s="137"/>
      <c r="RSP46" s="137"/>
      <c r="RSQ46" s="137"/>
      <c r="RSR46" s="137"/>
      <c r="RSS46" s="137"/>
      <c r="RST46" s="137"/>
      <c r="RSU46" s="137"/>
      <c r="RSV46" s="137"/>
      <c r="RSW46" s="137"/>
      <c r="RSX46" s="137"/>
      <c r="RSY46" s="137"/>
      <c r="RSZ46" s="137"/>
      <c r="RTA46" s="137"/>
      <c r="RTB46" s="137"/>
      <c r="RTC46" s="137"/>
      <c r="RTD46" s="137"/>
      <c r="RTE46" s="137"/>
      <c r="RTF46" s="137"/>
      <c r="RTG46" s="137"/>
      <c r="RTH46" s="137"/>
      <c r="RTI46" s="137"/>
      <c r="RTJ46" s="137"/>
      <c r="RTK46" s="137"/>
      <c r="RTL46" s="137"/>
      <c r="RTM46" s="137"/>
      <c r="RTN46" s="137"/>
      <c r="RTO46" s="137"/>
      <c r="RTP46" s="137"/>
      <c r="RTQ46" s="137"/>
      <c r="RTR46" s="137"/>
      <c r="RTS46" s="137"/>
      <c r="RTT46" s="137"/>
      <c r="RTU46" s="137"/>
      <c r="RTV46" s="137"/>
      <c r="RTW46" s="137"/>
      <c r="RTX46" s="137"/>
      <c r="RTY46" s="137"/>
      <c r="RTZ46" s="137"/>
      <c r="RUA46" s="137"/>
      <c r="RUB46" s="137"/>
      <c r="RUC46" s="137"/>
      <c r="RUD46" s="137"/>
      <c r="RUE46" s="137"/>
      <c r="RUF46" s="137"/>
      <c r="RUG46" s="137"/>
      <c r="RUH46" s="137"/>
      <c r="RUI46" s="137"/>
      <c r="RUJ46" s="137"/>
      <c r="RUK46" s="137"/>
      <c r="RUL46" s="137"/>
      <c r="RUM46" s="137"/>
      <c r="RUN46" s="137"/>
      <c r="RUO46" s="137"/>
      <c r="RUP46" s="137"/>
      <c r="RUQ46" s="137"/>
      <c r="RUR46" s="137"/>
      <c r="RUS46" s="137"/>
      <c r="RUT46" s="137"/>
      <c r="RUU46" s="137"/>
      <c r="RUV46" s="137"/>
      <c r="RUW46" s="137"/>
      <c r="RUX46" s="137"/>
      <c r="RUY46" s="137"/>
      <c r="RUZ46" s="137"/>
      <c r="RVA46" s="137"/>
      <c r="RVB46" s="137"/>
      <c r="RVC46" s="137"/>
      <c r="RVD46" s="137"/>
      <c r="RVE46" s="137"/>
      <c r="RVF46" s="137"/>
      <c r="RVG46" s="137"/>
      <c r="RVH46" s="137"/>
      <c r="RVI46" s="137"/>
      <c r="RVJ46" s="137"/>
      <c r="RVK46" s="137"/>
      <c r="RVL46" s="137"/>
      <c r="RVM46" s="137"/>
      <c r="RVN46" s="137"/>
      <c r="RVO46" s="137"/>
      <c r="RVP46" s="137"/>
      <c r="RVQ46" s="137"/>
      <c r="RVR46" s="137"/>
      <c r="RVS46" s="137"/>
      <c r="RVT46" s="137"/>
      <c r="RVU46" s="137"/>
      <c r="RVV46" s="137"/>
      <c r="RVW46" s="137"/>
      <c r="RVX46" s="137"/>
      <c r="RVY46" s="137"/>
      <c r="RVZ46" s="137"/>
      <c r="RWA46" s="137"/>
      <c r="RWB46" s="137"/>
      <c r="RWC46" s="137"/>
      <c r="RWD46" s="137"/>
      <c r="RWE46" s="137"/>
      <c r="RWF46" s="137"/>
      <c r="RWG46" s="137"/>
      <c r="RWH46" s="137"/>
      <c r="RWI46" s="137"/>
      <c r="RWJ46" s="137"/>
      <c r="RWK46" s="137"/>
      <c r="RWL46" s="137"/>
      <c r="RWM46" s="137"/>
      <c r="RWN46" s="137"/>
      <c r="RWO46" s="137"/>
      <c r="RWP46" s="137"/>
      <c r="RWQ46" s="137"/>
      <c r="RWR46" s="137"/>
      <c r="RWS46" s="137"/>
      <c r="RWT46" s="137"/>
      <c r="RWU46" s="137"/>
      <c r="RWV46" s="137"/>
      <c r="RWW46" s="137"/>
      <c r="RWX46" s="137"/>
      <c r="RWY46" s="137"/>
      <c r="RWZ46" s="137"/>
      <c r="RXA46" s="137"/>
      <c r="RXB46" s="137"/>
      <c r="RXC46" s="137"/>
      <c r="RXD46" s="137"/>
      <c r="RXE46" s="137"/>
      <c r="RXF46" s="137"/>
      <c r="RXG46" s="137"/>
      <c r="RXH46" s="137"/>
      <c r="RXI46" s="137"/>
      <c r="RXJ46" s="137"/>
      <c r="RXK46" s="137"/>
      <c r="RXL46" s="137"/>
      <c r="RXM46" s="137"/>
      <c r="RXN46" s="137"/>
      <c r="RXO46" s="137"/>
      <c r="RXP46" s="137"/>
      <c r="RXQ46" s="137"/>
      <c r="RXR46" s="137"/>
      <c r="RXS46" s="137"/>
      <c r="RXT46" s="137"/>
      <c r="RXU46" s="137"/>
      <c r="RXV46" s="137"/>
      <c r="RXW46" s="137"/>
      <c r="RXX46" s="137"/>
      <c r="RXY46" s="137"/>
      <c r="RXZ46" s="137"/>
      <c r="RYA46" s="137"/>
      <c r="RYB46" s="137"/>
      <c r="RYC46" s="137"/>
      <c r="RYD46" s="137"/>
      <c r="RYE46" s="137"/>
      <c r="RYF46" s="137"/>
      <c r="RYG46" s="137"/>
      <c r="RYH46" s="137"/>
      <c r="RYI46" s="137"/>
      <c r="RYJ46" s="137"/>
      <c r="RYK46" s="137"/>
      <c r="RYL46" s="137"/>
      <c r="RYM46" s="137"/>
      <c r="RYN46" s="137"/>
      <c r="RYO46" s="137"/>
      <c r="RYP46" s="137"/>
      <c r="RYQ46" s="137"/>
      <c r="RYR46" s="137"/>
      <c r="RYS46" s="137"/>
      <c r="RYT46" s="137"/>
      <c r="RYU46" s="137"/>
      <c r="RYV46" s="137"/>
      <c r="RYW46" s="137"/>
      <c r="RYX46" s="137"/>
      <c r="RYY46" s="137"/>
      <c r="RYZ46" s="137"/>
      <c r="RZA46" s="137"/>
      <c r="RZB46" s="137"/>
      <c r="RZC46" s="137"/>
      <c r="RZD46" s="137"/>
      <c r="RZE46" s="137"/>
      <c r="RZF46" s="137"/>
      <c r="RZG46" s="137"/>
      <c r="RZH46" s="137"/>
      <c r="RZI46" s="137"/>
      <c r="RZJ46" s="137"/>
      <c r="RZK46" s="137"/>
      <c r="RZL46" s="137"/>
      <c r="RZM46" s="137"/>
      <c r="RZN46" s="137"/>
      <c r="RZO46" s="137"/>
      <c r="RZP46" s="137"/>
      <c r="RZQ46" s="137"/>
      <c r="RZR46" s="137"/>
      <c r="RZS46" s="137"/>
      <c r="RZT46" s="137"/>
      <c r="RZU46" s="137"/>
      <c r="RZV46" s="137"/>
      <c r="RZW46" s="137"/>
      <c r="RZX46" s="137"/>
      <c r="RZY46" s="137"/>
      <c r="RZZ46" s="137"/>
      <c r="SAA46" s="137"/>
      <c r="SAB46" s="137"/>
      <c r="SAC46" s="137"/>
      <c r="SAD46" s="137"/>
      <c r="SAE46" s="137"/>
      <c r="SAF46" s="137"/>
      <c r="SAG46" s="137"/>
      <c r="SAH46" s="137"/>
      <c r="SAI46" s="137"/>
      <c r="SAJ46" s="137"/>
      <c r="SAK46" s="137"/>
      <c r="SAL46" s="137"/>
      <c r="SAM46" s="137"/>
      <c r="SAN46" s="137"/>
      <c r="SAO46" s="137"/>
      <c r="SAP46" s="137"/>
      <c r="SAQ46" s="137"/>
      <c r="SAR46" s="137"/>
      <c r="SAS46" s="137"/>
      <c r="SAT46" s="137"/>
      <c r="SAU46" s="137"/>
      <c r="SAV46" s="137"/>
      <c r="SAW46" s="137"/>
      <c r="SAX46" s="137"/>
      <c r="SAY46" s="137"/>
      <c r="SAZ46" s="137"/>
      <c r="SBA46" s="137"/>
      <c r="SBB46" s="137"/>
      <c r="SBC46" s="137"/>
      <c r="SBD46" s="137"/>
      <c r="SBE46" s="137"/>
      <c r="SBF46" s="137"/>
      <c r="SBG46" s="137"/>
      <c r="SBH46" s="137"/>
      <c r="SBI46" s="137"/>
      <c r="SBJ46" s="137"/>
      <c r="SBK46" s="137"/>
      <c r="SBL46" s="137"/>
      <c r="SBM46" s="137"/>
      <c r="SBN46" s="137"/>
      <c r="SBO46" s="137"/>
      <c r="SBP46" s="137"/>
      <c r="SBQ46" s="137"/>
      <c r="SBR46" s="137"/>
      <c r="SBS46" s="137"/>
      <c r="SBT46" s="137"/>
      <c r="SBU46" s="137"/>
      <c r="SBV46" s="137"/>
      <c r="SBW46" s="137"/>
      <c r="SBX46" s="137"/>
      <c r="SBY46" s="137"/>
      <c r="SBZ46" s="137"/>
      <c r="SCA46" s="137"/>
      <c r="SCB46" s="137"/>
      <c r="SCC46" s="137"/>
      <c r="SCD46" s="137"/>
      <c r="SCE46" s="137"/>
      <c r="SCF46" s="137"/>
      <c r="SCG46" s="137"/>
      <c r="SCH46" s="137"/>
      <c r="SCI46" s="137"/>
      <c r="SCJ46" s="137"/>
      <c r="SCK46" s="137"/>
      <c r="SCL46" s="137"/>
      <c r="SCM46" s="137"/>
      <c r="SCN46" s="137"/>
      <c r="SCO46" s="137"/>
      <c r="SCP46" s="137"/>
      <c r="SCQ46" s="137"/>
      <c r="SCR46" s="137"/>
      <c r="SCS46" s="137"/>
      <c r="SCT46" s="137"/>
      <c r="SCU46" s="137"/>
      <c r="SCV46" s="137"/>
      <c r="SCW46" s="137"/>
      <c r="SCX46" s="137"/>
      <c r="SCY46" s="137"/>
      <c r="SCZ46" s="137"/>
      <c r="SDA46" s="137"/>
      <c r="SDB46" s="137"/>
      <c r="SDC46" s="137"/>
      <c r="SDD46" s="137"/>
      <c r="SDE46" s="137"/>
      <c r="SDF46" s="137"/>
      <c r="SDG46" s="137"/>
      <c r="SDH46" s="137"/>
      <c r="SDI46" s="137"/>
      <c r="SDJ46" s="137"/>
      <c r="SDK46" s="137"/>
      <c r="SDL46" s="137"/>
      <c r="SDM46" s="137"/>
      <c r="SDN46" s="137"/>
      <c r="SDO46" s="137"/>
      <c r="SDP46" s="137"/>
      <c r="SDQ46" s="137"/>
      <c r="SDR46" s="137"/>
      <c r="SDS46" s="137"/>
      <c r="SDT46" s="137"/>
      <c r="SDU46" s="137"/>
      <c r="SDV46" s="137"/>
      <c r="SDW46" s="137"/>
      <c r="SDX46" s="137"/>
      <c r="SDY46" s="137"/>
      <c r="SDZ46" s="137"/>
      <c r="SEA46" s="137"/>
      <c r="SEB46" s="137"/>
      <c r="SEC46" s="137"/>
      <c r="SED46" s="137"/>
      <c r="SEE46" s="137"/>
      <c r="SEF46" s="137"/>
      <c r="SEG46" s="137"/>
      <c r="SEH46" s="137"/>
      <c r="SEI46" s="137"/>
      <c r="SEJ46" s="137"/>
      <c r="SEK46" s="137"/>
      <c r="SEL46" s="137"/>
      <c r="SEM46" s="137"/>
      <c r="SEN46" s="137"/>
      <c r="SEO46" s="137"/>
      <c r="SEP46" s="137"/>
      <c r="SEQ46" s="137"/>
      <c r="SER46" s="137"/>
      <c r="SES46" s="137"/>
      <c r="SET46" s="137"/>
      <c r="SEU46" s="137"/>
      <c r="SEV46" s="137"/>
      <c r="SEW46" s="137"/>
      <c r="SEX46" s="137"/>
      <c r="SEY46" s="137"/>
      <c r="SEZ46" s="137"/>
      <c r="SFA46" s="137"/>
      <c r="SFB46" s="137"/>
      <c r="SFC46" s="137"/>
      <c r="SFD46" s="137"/>
      <c r="SFE46" s="137"/>
      <c r="SFF46" s="137"/>
      <c r="SFG46" s="137"/>
      <c r="SFH46" s="137"/>
      <c r="SFI46" s="137"/>
      <c r="SFJ46" s="137"/>
      <c r="SFK46" s="137"/>
      <c r="SFL46" s="137"/>
      <c r="SFM46" s="137"/>
      <c r="SFN46" s="137"/>
      <c r="SFO46" s="137"/>
      <c r="SFP46" s="137"/>
      <c r="SFQ46" s="137"/>
      <c r="SFR46" s="137"/>
      <c r="SFS46" s="137"/>
      <c r="SFT46" s="137"/>
      <c r="SFU46" s="137"/>
      <c r="SFV46" s="137"/>
      <c r="SFW46" s="137"/>
      <c r="SFX46" s="137"/>
      <c r="SFY46" s="137"/>
      <c r="SFZ46" s="137"/>
      <c r="SGA46" s="137"/>
      <c r="SGB46" s="137"/>
      <c r="SGC46" s="137"/>
      <c r="SGD46" s="137"/>
      <c r="SGE46" s="137"/>
      <c r="SGF46" s="137"/>
      <c r="SGG46" s="137"/>
      <c r="SGH46" s="137"/>
      <c r="SGI46" s="137"/>
      <c r="SGJ46" s="137"/>
      <c r="SGK46" s="137"/>
      <c r="SGL46" s="137"/>
      <c r="SGM46" s="137"/>
      <c r="SGN46" s="137"/>
      <c r="SGO46" s="137"/>
      <c r="SGP46" s="137"/>
      <c r="SGQ46" s="137"/>
      <c r="SGR46" s="137"/>
      <c r="SGS46" s="137"/>
      <c r="SGT46" s="137"/>
      <c r="SGU46" s="137"/>
      <c r="SGV46" s="137"/>
      <c r="SGW46" s="137"/>
      <c r="SGX46" s="137"/>
      <c r="SGY46" s="137"/>
      <c r="SGZ46" s="137"/>
      <c r="SHA46" s="137"/>
      <c r="SHB46" s="137"/>
      <c r="SHC46" s="137"/>
      <c r="SHD46" s="137"/>
      <c r="SHE46" s="137"/>
      <c r="SHF46" s="137"/>
      <c r="SHG46" s="137"/>
      <c r="SHH46" s="137"/>
      <c r="SHI46" s="137"/>
      <c r="SHJ46" s="137"/>
      <c r="SHK46" s="137"/>
      <c r="SHL46" s="137"/>
      <c r="SHM46" s="137"/>
      <c r="SHN46" s="137"/>
      <c r="SHO46" s="137"/>
      <c r="SHP46" s="137"/>
      <c r="SHQ46" s="137"/>
      <c r="SHR46" s="137"/>
      <c r="SHS46" s="137"/>
      <c r="SHT46" s="137"/>
      <c r="SHU46" s="137"/>
      <c r="SHV46" s="137"/>
      <c r="SHW46" s="137"/>
      <c r="SHX46" s="137"/>
      <c r="SHY46" s="137"/>
      <c r="SHZ46" s="137"/>
      <c r="SIA46" s="137"/>
      <c r="SIB46" s="137"/>
      <c r="SIC46" s="137"/>
      <c r="SID46" s="137"/>
      <c r="SIE46" s="137"/>
      <c r="SIF46" s="137"/>
      <c r="SIG46" s="137"/>
      <c r="SIH46" s="137"/>
      <c r="SII46" s="137"/>
      <c r="SIJ46" s="137"/>
      <c r="SIK46" s="137"/>
      <c r="SIL46" s="137"/>
      <c r="SIM46" s="137"/>
      <c r="SIN46" s="137"/>
      <c r="SIO46" s="137"/>
      <c r="SIP46" s="137"/>
      <c r="SIQ46" s="137"/>
      <c r="SIR46" s="137"/>
      <c r="SIS46" s="137"/>
      <c r="SIT46" s="137"/>
      <c r="SIU46" s="137"/>
      <c r="SIV46" s="137"/>
      <c r="SIW46" s="137"/>
      <c r="SIX46" s="137"/>
      <c r="SIY46" s="137"/>
      <c r="SIZ46" s="137"/>
      <c r="SJA46" s="137"/>
      <c r="SJB46" s="137"/>
      <c r="SJC46" s="137"/>
      <c r="SJD46" s="137"/>
      <c r="SJE46" s="137"/>
      <c r="SJF46" s="137"/>
      <c r="SJG46" s="137"/>
      <c r="SJH46" s="137"/>
      <c r="SJI46" s="137"/>
      <c r="SJJ46" s="137"/>
      <c r="SJK46" s="137"/>
      <c r="SJL46" s="137"/>
      <c r="SJM46" s="137"/>
      <c r="SJN46" s="137"/>
      <c r="SJO46" s="137"/>
      <c r="SJP46" s="137"/>
      <c r="SJQ46" s="137"/>
      <c r="SJR46" s="137"/>
      <c r="SJS46" s="137"/>
      <c r="SJT46" s="137"/>
      <c r="SJU46" s="137"/>
      <c r="SJV46" s="137"/>
      <c r="SJW46" s="137"/>
      <c r="SJX46" s="137"/>
      <c r="SJY46" s="137"/>
      <c r="SJZ46" s="137"/>
      <c r="SKA46" s="137"/>
      <c r="SKB46" s="137"/>
      <c r="SKC46" s="137"/>
      <c r="SKD46" s="137"/>
      <c r="SKE46" s="137"/>
      <c r="SKF46" s="137"/>
      <c r="SKG46" s="137"/>
      <c r="SKH46" s="137"/>
      <c r="SKI46" s="137"/>
      <c r="SKJ46" s="137"/>
      <c r="SKK46" s="137"/>
      <c r="SKL46" s="137"/>
      <c r="SKM46" s="137"/>
      <c r="SKN46" s="137"/>
      <c r="SKO46" s="137"/>
      <c r="SKP46" s="137"/>
      <c r="SKQ46" s="137"/>
      <c r="SKR46" s="137"/>
      <c r="SKS46" s="137"/>
      <c r="SKT46" s="137"/>
      <c r="SKU46" s="137"/>
      <c r="SKV46" s="137"/>
      <c r="SKW46" s="137"/>
      <c r="SKX46" s="137"/>
      <c r="SKY46" s="137"/>
      <c r="SKZ46" s="137"/>
      <c r="SLA46" s="137"/>
      <c r="SLB46" s="137"/>
      <c r="SLC46" s="137"/>
      <c r="SLD46" s="137"/>
      <c r="SLE46" s="137"/>
      <c r="SLF46" s="137"/>
      <c r="SLG46" s="137"/>
      <c r="SLH46" s="137"/>
      <c r="SLI46" s="137"/>
      <c r="SLJ46" s="137"/>
      <c r="SLK46" s="137"/>
      <c r="SLL46" s="137"/>
      <c r="SLM46" s="137"/>
      <c r="SLN46" s="137"/>
      <c r="SLO46" s="137"/>
      <c r="SLP46" s="137"/>
      <c r="SLQ46" s="137"/>
      <c r="SLR46" s="137"/>
      <c r="SLS46" s="137"/>
      <c r="SLT46" s="137"/>
      <c r="SLU46" s="137"/>
      <c r="SLV46" s="137"/>
      <c r="SLW46" s="137"/>
      <c r="SLX46" s="137"/>
      <c r="SLY46" s="137"/>
      <c r="SLZ46" s="137"/>
      <c r="SMA46" s="137"/>
      <c r="SMB46" s="137"/>
      <c r="SMC46" s="137"/>
      <c r="SMD46" s="137"/>
      <c r="SME46" s="137"/>
      <c r="SMF46" s="137"/>
      <c r="SMG46" s="137"/>
      <c r="SMH46" s="137"/>
      <c r="SMI46" s="137"/>
      <c r="SMJ46" s="137"/>
      <c r="SMK46" s="137"/>
      <c r="SML46" s="137"/>
      <c r="SMM46" s="137"/>
      <c r="SMN46" s="137"/>
      <c r="SMO46" s="137"/>
      <c r="SMP46" s="137"/>
      <c r="SMQ46" s="137"/>
      <c r="SMR46" s="137"/>
      <c r="SMS46" s="137"/>
      <c r="SMT46" s="137"/>
      <c r="SMU46" s="137"/>
      <c r="SMV46" s="137"/>
      <c r="SMW46" s="137"/>
      <c r="SMX46" s="137"/>
      <c r="SMY46" s="137"/>
      <c r="SMZ46" s="137"/>
      <c r="SNA46" s="137"/>
      <c r="SNB46" s="137"/>
      <c r="SNC46" s="137"/>
      <c r="SND46" s="137"/>
      <c r="SNE46" s="137"/>
      <c r="SNF46" s="137"/>
      <c r="SNG46" s="137"/>
      <c r="SNH46" s="137"/>
      <c r="SNI46" s="137"/>
      <c r="SNJ46" s="137"/>
      <c r="SNK46" s="137"/>
      <c r="SNL46" s="137"/>
      <c r="SNM46" s="137"/>
      <c r="SNN46" s="137"/>
      <c r="SNO46" s="137"/>
      <c r="SNP46" s="137"/>
      <c r="SNQ46" s="137"/>
      <c r="SNR46" s="137"/>
      <c r="SNS46" s="137"/>
      <c r="SNT46" s="137"/>
      <c r="SNU46" s="137"/>
      <c r="SNV46" s="137"/>
      <c r="SNW46" s="137"/>
      <c r="SNX46" s="137"/>
      <c r="SNY46" s="137"/>
      <c r="SNZ46" s="137"/>
      <c r="SOA46" s="137"/>
      <c r="SOB46" s="137"/>
      <c r="SOC46" s="137"/>
      <c r="SOD46" s="137"/>
      <c r="SOE46" s="137"/>
      <c r="SOF46" s="137"/>
      <c r="SOG46" s="137"/>
      <c r="SOH46" s="137"/>
      <c r="SOI46" s="137"/>
      <c r="SOJ46" s="137"/>
      <c r="SOK46" s="137"/>
      <c r="SOL46" s="137"/>
      <c r="SOM46" s="137"/>
      <c r="SON46" s="137"/>
      <c r="SOO46" s="137"/>
      <c r="SOP46" s="137"/>
      <c r="SOQ46" s="137"/>
      <c r="SOR46" s="137"/>
      <c r="SOS46" s="137"/>
      <c r="SOT46" s="137"/>
      <c r="SOU46" s="137"/>
      <c r="SOV46" s="137"/>
      <c r="SOW46" s="137"/>
      <c r="SOX46" s="137"/>
      <c r="SOY46" s="137"/>
      <c r="SOZ46" s="137"/>
      <c r="SPA46" s="137"/>
      <c r="SPB46" s="137"/>
      <c r="SPC46" s="137"/>
      <c r="SPD46" s="137"/>
      <c r="SPE46" s="137"/>
      <c r="SPF46" s="137"/>
      <c r="SPG46" s="137"/>
      <c r="SPH46" s="137"/>
      <c r="SPI46" s="137"/>
      <c r="SPJ46" s="137"/>
      <c r="SPK46" s="137"/>
      <c r="SPL46" s="137"/>
      <c r="SPM46" s="137"/>
      <c r="SPN46" s="137"/>
      <c r="SPO46" s="137"/>
      <c r="SPP46" s="137"/>
      <c r="SPQ46" s="137"/>
      <c r="SPR46" s="137"/>
      <c r="SPS46" s="137"/>
      <c r="SPT46" s="137"/>
      <c r="SPU46" s="137"/>
      <c r="SPV46" s="137"/>
      <c r="SPW46" s="137"/>
      <c r="SPX46" s="137"/>
      <c r="SPY46" s="137"/>
      <c r="SPZ46" s="137"/>
      <c r="SQA46" s="137"/>
      <c r="SQB46" s="137"/>
      <c r="SQC46" s="137"/>
      <c r="SQD46" s="137"/>
      <c r="SQE46" s="137"/>
      <c r="SQF46" s="137"/>
      <c r="SQG46" s="137"/>
      <c r="SQH46" s="137"/>
      <c r="SQI46" s="137"/>
      <c r="SQJ46" s="137"/>
      <c r="SQK46" s="137"/>
      <c r="SQL46" s="137"/>
      <c r="SQM46" s="137"/>
      <c r="SQN46" s="137"/>
      <c r="SQO46" s="137"/>
      <c r="SQP46" s="137"/>
      <c r="SQQ46" s="137"/>
      <c r="SQR46" s="137"/>
      <c r="SQS46" s="137"/>
      <c r="SQT46" s="137"/>
      <c r="SQU46" s="137"/>
      <c r="SQV46" s="137"/>
      <c r="SQW46" s="137"/>
      <c r="SQX46" s="137"/>
      <c r="SQY46" s="137"/>
      <c r="SQZ46" s="137"/>
      <c r="SRA46" s="137"/>
      <c r="SRB46" s="137"/>
      <c r="SRC46" s="137"/>
      <c r="SRD46" s="137"/>
      <c r="SRE46" s="137"/>
      <c r="SRF46" s="137"/>
      <c r="SRG46" s="137"/>
      <c r="SRH46" s="137"/>
      <c r="SRI46" s="137"/>
      <c r="SRJ46" s="137"/>
      <c r="SRK46" s="137"/>
      <c r="SRL46" s="137"/>
      <c r="SRM46" s="137"/>
      <c r="SRN46" s="137"/>
      <c r="SRO46" s="137"/>
      <c r="SRP46" s="137"/>
      <c r="SRQ46" s="137"/>
      <c r="SRR46" s="137"/>
      <c r="SRS46" s="137"/>
      <c r="SRT46" s="137"/>
      <c r="SRU46" s="137"/>
      <c r="SRV46" s="137"/>
      <c r="SRW46" s="137"/>
      <c r="SRX46" s="137"/>
      <c r="SRY46" s="137"/>
      <c r="SRZ46" s="137"/>
      <c r="SSA46" s="137"/>
      <c r="SSB46" s="137"/>
      <c r="SSC46" s="137"/>
      <c r="SSD46" s="137"/>
      <c r="SSE46" s="137"/>
      <c r="SSF46" s="137"/>
      <c r="SSG46" s="137"/>
      <c r="SSH46" s="137"/>
      <c r="SSI46" s="137"/>
      <c r="SSJ46" s="137"/>
      <c r="SSK46" s="137"/>
      <c r="SSL46" s="137"/>
      <c r="SSM46" s="137"/>
      <c r="SSN46" s="137"/>
      <c r="SSO46" s="137"/>
      <c r="SSP46" s="137"/>
      <c r="SSQ46" s="137"/>
      <c r="SSR46" s="137"/>
      <c r="SSS46" s="137"/>
      <c r="SST46" s="137"/>
      <c r="SSU46" s="137"/>
      <c r="SSV46" s="137"/>
      <c r="SSW46" s="137"/>
      <c r="SSX46" s="137"/>
      <c r="SSY46" s="137"/>
      <c r="SSZ46" s="137"/>
      <c r="STA46" s="137"/>
      <c r="STB46" s="137"/>
      <c r="STC46" s="137"/>
      <c r="STD46" s="137"/>
      <c r="STE46" s="137"/>
      <c r="STF46" s="137"/>
      <c r="STG46" s="137"/>
      <c r="STH46" s="137"/>
      <c r="STI46" s="137"/>
      <c r="STJ46" s="137"/>
      <c r="STK46" s="137"/>
      <c r="STL46" s="137"/>
      <c r="STM46" s="137"/>
      <c r="STN46" s="137"/>
      <c r="STO46" s="137"/>
      <c r="STP46" s="137"/>
      <c r="STQ46" s="137"/>
      <c r="STR46" s="137"/>
      <c r="STS46" s="137"/>
      <c r="STT46" s="137"/>
      <c r="STU46" s="137"/>
      <c r="STV46" s="137"/>
      <c r="STW46" s="137"/>
      <c r="STX46" s="137"/>
      <c r="STY46" s="137"/>
      <c r="STZ46" s="137"/>
      <c r="SUA46" s="137"/>
      <c r="SUB46" s="137"/>
      <c r="SUC46" s="137"/>
      <c r="SUD46" s="137"/>
      <c r="SUE46" s="137"/>
      <c r="SUF46" s="137"/>
      <c r="SUG46" s="137"/>
      <c r="SUH46" s="137"/>
      <c r="SUI46" s="137"/>
      <c r="SUJ46" s="137"/>
      <c r="SUK46" s="137"/>
      <c r="SUL46" s="137"/>
      <c r="SUM46" s="137"/>
      <c r="SUN46" s="137"/>
      <c r="SUO46" s="137"/>
      <c r="SUP46" s="137"/>
      <c r="SUQ46" s="137"/>
      <c r="SUR46" s="137"/>
      <c r="SUS46" s="137"/>
      <c r="SUT46" s="137"/>
      <c r="SUU46" s="137"/>
      <c r="SUV46" s="137"/>
      <c r="SUW46" s="137"/>
      <c r="SUX46" s="137"/>
      <c r="SUY46" s="137"/>
      <c r="SUZ46" s="137"/>
      <c r="SVA46" s="137"/>
      <c r="SVB46" s="137"/>
      <c r="SVC46" s="137"/>
      <c r="SVD46" s="137"/>
      <c r="SVE46" s="137"/>
      <c r="SVF46" s="137"/>
      <c r="SVG46" s="137"/>
      <c r="SVH46" s="137"/>
      <c r="SVI46" s="137"/>
      <c r="SVJ46" s="137"/>
      <c r="SVK46" s="137"/>
      <c r="SVL46" s="137"/>
      <c r="SVM46" s="137"/>
      <c r="SVN46" s="137"/>
      <c r="SVO46" s="137"/>
      <c r="SVP46" s="137"/>
      <c r="SVQ46" s="137"/>
      <c r="SVR46" s="137"/>
      <c r="SVS46" s="137"/>
      <c r="SVT46" s="137"/>
      <c r="SVU46" s="137"/>
      <c r="SVV46" s="137"/>
      <c r="SVW46" s="137"/>
      <c r="SVX46" s="137"/>
      <c r="SVY46" s="137"/>
      <c r="SVZ46" s="137"/>
      <c r="SWA46" s="137"/>
      <c r="SWB46" s="137"/>
      <c r="SWC46" s="137"/>
      <c r="SWD46" s="137"/>
      <c r="SWE46" s="137"/>
      <c r="SWF46" s="137"/>
      <c r="SWG46" s="137"/>
      <c r="SWH46" s="137"/>
      <c r="SWI46" s="137"/>
      <c r="SWJ46" s="137"/>
      <c r="SWK46" s="137"/>
      <c r="SWL46" s="137"/>
      <c r="SWM46" s="137"/>
      <c r="SWN46" s="137"/>
      <c r="SWO46" s="137"/>
      <c r="SWP46" s="137"/>
      <c r="SWQ46" s="137"/>
      <c r="SWR46" s="137"/>
      <c r="SWS46" s="137"/>
      <c r="SWT46" s="137"/>
      <c r="SWU46" s="137"/>
      <c r="SWV46" s="137"/>
      <c r="SWW46" s="137"/>
      <c r="SWX46" s="137"/>
      <c r="SWY46" s="137"/>
      <c r="SWZ46" s="137"/>
      <c r="SXA46" s="137"/>
      <c r="SXB46" s="137"/>
      <c r="SXC46" s="137"/>
      <c r="SXD46" s="137"/>
      <c r="SXE46" s="137"/>
      <c r="SXF46" s="137"/>
      <c r="SXG46" s="137"/>
      <c r="SXH46" s="137"/>
      <c r="SXI46" s="137"/>
      <c r="SXJ46" s="137"/>
      <c r="SXK46" s="137"/>
      <c r="SXL46" s="137"/>
      <c r="SXM46" s="137"/>
      <c r="SXN46" s="137"/>
      <c r="SXO46" s="137"/>
      <c r="SXP46" s="137"/>
      <c r="SXQ46" s="137"/>
      <c r="SXR46" s="137"/>
      <c r="SXS46" s="137"/>
      <c r="SXT46" s="137"/>
      <c r="SXU46" s="137"/>
      <c r="SXV46" s="137"/>
      <c r="SXW46" s="137"/>
      <c r="SXX46" s="137"/>
      <c r="SXY46" s="137"/>
      <c r="SXZ46" s="137"/>
      <c r="SYA46" s="137"/>
      <c r="SYB46" s="137"/>
      <c r="SYC46" s="137"/>
      <c r="SYD46" s="137"/>
      <c r="SYE46" s="137"/>
      <c r="SYF46" s="137"/>
      <c r="SYG46" s="137"/>
      <c r="SYH46" s="137"/>
      <c r="SYI46" s="137"/>
      <c r="SYJ46" s="137"/>
      <c r="SYK46" s="137"/>
      <c r="SYL46" s="137"/>
      <c r="SYM46" s="137"/>
      <c r="SYN46" s="137"/>
      <c r="SYO46" s="137"/>
      <c r="SYP46" s="137"/>
      <c r="SYQ46" s="137"/>
      <c r="SYR46" s="137"/>
      <c r="SYS46" s="137"/>
      <c r="SYT46" s="137"/>
      <c r="SYU46" s="137"/>
      <c r="SYV46" s="137"/>
      <c r="SYW46" s="137"/>
      <c r="SYX46" s="137"/>
      <c r="SYY46" s="137"/>
      <c r="SYZ46" s="137"/>
      <c r="SZA46" s="137"/>
      <c r="SZB46" s="137"/>
      <c r="SZC46" s="137"/>
      <c r="SZD46" s="137"/>
      <c r="SZE46" s="137"/>
      <c r="SZF46" s="137"/>
      <c r="SZG46" s="137"/>
      <c r="SZH46" s="137"/>
      <c r="SZI46" s="137"/>
      <c r="SZJ46" s="137"/>
      <c r="SZK46" s="137"/>
      <c r="SZL46" s="137"/>
      <c r="SZM46" s="137"/>
      <c r="SZN46" s="137"/>
      <c r="SZO46" s="137"/>
      <c r="SZP46" s="137"/>
      <c r="SZQ46" s="137"/>
      <c r="SZR46" s="137"/>
      <c r="SZS46" s="137"/>
      <c r="SZT46" s="137"/>
      <c r="SZU46" s="137"/>
      <c r="SZV46" s="137"/>
      <c r="SZW46" s="137"/>
      <c r="SZX46" s="137"/>
      <c r="SZY46" s="137"/>
      <c r="SZZ46" s="137"/>
      <c r="TAA46" s="137"/>
      <c r="TAB46" s="137"/>
      <c r="TAC46" s="137"/>
      <c r="TAD46" s="137"/>
      <c r="TAE46" s="137"/>
      <c r="TAF46" s="137"/>
      <c r="TAG46" s="137"/>
      <c r="TAH46" s="137"/>
      <c r="TAI46" s="137"/>
      <c r="TAJ46" s="137"/>
      <c r="TAK46" s="137"/>
      <c r="TAL46" s="137"/>
      <c r="TAM46" s="137"/>
      <c r="TAN46" s="137"/>
      <c r="TAO46" s="137"/>
      <c r="TAP46" s="137"/>
      <c r="TAQ46" s="137"/>
      <c r="TAR46" s="137"/>
      <c r="TAS46" s="137"/>
      <c r="TAT46" s="137"/>
      <c r="TAU46" s="137"/>
      <c r="TAV46" s="137"/>
      <c r="TAW46" s="137"/>
      <c r="TAX46" s="137"/>
      <c r="TAY46" s="137"/>
      <c r="TAZ46" s="137"/>
      <c r="TBA46" s="137"/>
      <c r="TBB46" s="137"/>
      <c r="TBC46" s="137"/>
      <c r="TBD46" s="137"/>
      <c r="TBE46" s="137"/>
      <c r="TBF46" s="137"/>
      <c r="TBG46" s="137"/>
      <c r="TBH46" s="137"/>
      <c r="TBI46" s="137"/>
      <c r="TBJ46" s="137"/>
      <c r="TBK46" s="137"/>
      <c r="TBL46" s="137"/>
      <c r="TBM46" s="137"/>
      <c r="TBN46" s="137"/>
      <c r="TBO46" s="137"/>
      <c r="TBP46" s="137"/>
      <c r="TBQ46" s="137"/>
      <c r="TBR46" s="137"/>
      <c r="TBS46" s="137"/>
      <c r="TBT46" s="137"/>
      <c r="TBU46" s="137"/>
      <c r="TBV46" s="137"/>
      <c r="TBW46" s="137"/>
      <c r="TBX46" s="137"/>
      <c r="TBY46" s="137"/>
      <c r="TBZ46" s="137"/>
      <c r="TCA46" s="137"/>
      <c r="TCB46" s="137"/>
      <c r="TCC46" s="137"/>
      <c r="TCD46" s="137"/>
      <c r="TCE46" s="137"/>
      <c r="TCF46" s="137"/>
      <c r="TCG46" s="137"/>
      <c r="TCH46" s="137"/>
      <c r="TCI46" s="137"/>
      <c r="TCJ46" s="137"/>
      <c r="TCK46" s="137"/>
      <c r="TCL46" s="137"/>
      <c r="TCM46" s="137"/>
      <c r="TCN46" s="137"/>
      <c r="TCO46" s="137"/>
      <c r="TCP46" s="137"/>
      <c r="TCQ46" s="137"/>
      <c r="TCR46" s="137"/>
      <c r="TCS46" s="137"/>
      <c r="TCT46" s="137"/>
      <c r="TCU46" s="137"/>
      <c r="TCV46" s="137"/>
      <c r="TCW46" s="137"/>
      <c r="TCX46" s="137"/>
      <c r="TCY46" s="137"/>
      <c r="TCZ46" s="137"/>
      <c r="TDA46" s="137"/>
      <c r="TDB46" s="137"/>
      <c r="TDC46" s="137"/>
      <c r="TDD46" s="137"/>
      <c r="TDE46" s="137"/>
      <c r="TDF46" s="137"/>
      <c r="TDG46" s="137"/>
      <c r="TDH46" s="137"/>
      <c r="TDI46" s="137"/>
      <c r="TDJ46" s="137"/>
      <c r="TDK46" s="137"/>
      <c r="TDL46" s="137"/>
      <c r="TDM46" s="137"/>
      <c r="TDN46" s="137"/>
      <c r="TDO46" s="137"/>
      <c r="TDP46" s="137"/>
      <c r="TDQ46" s="137"/>
      <c r="TDR46" s="137"/>
      <c r="TDS46" s="137"/>
      <c r="TDT46" s="137"/>
      <c r="TDU46" s="137"/>
      <c r="TDV46" s="137"/>
      <c r="TDW46" s="137"/>
      <c r="TDX46" s="137"/>
      <c r="TDY46" s="137"/>
      <c r="TDZ46" s="137"/>
      <c r="TEA46" s="137"/>
      <c r="TEB46" s="137"/>
      <c r="TEC46" s="137"/>
      <c r="TED46" s="137"/>
      <c r="TEE46" s="137"/>
      <c r="TEF46" s="137"/>
      <c r="TEG46" s="137"/>
      <c r="TEH46" s="137"/>
      <c r="TEI46" s="137"/>
      <c r="TEJ46" s="137"/>
      <c r="TEK46" s="137"/>
      <c r="TEL46" s="137"/>
      <c r="TEM46" s="137"/>
      <c r="TEN46" s="137"/>
      <c r="TEO46" s="137"/>
      <c r="TEP46" s="137"/>
      <c r="TEQ46" s="137"/>
      <c r="TER46" s="137"/>
      <c r="TES46" s="137"/>
      <c r="TET46" s="137"/>
      <c r="TEU46" s="137"/>
      <c r="TEV46" s="137"/>
      <c r="TEW46" s="137"/>
      <c r="TEX46" s="137"/>
      <c r="TEY46" s="137"/>
      <c r="TEZ46" s="137"/>
      <c r="TFA46" s="137"/>
      <c r="TFB46" s="137"/>
      <c r="TFC46" s="137"/>
      <c r="TFD46" s="137"/>
      <c r="TFE46" s="137"/>
      <c r="TFF46" s="137"/>
      <c r="TFG46" s="137"/>
      <c r="TFH46" s="137"/>
      <c r="TFI46" s="137"/>
      <c r="TFJ46" s="137"/>
      <c r="TFK46" s="137"/>
      <c r="TFL46" s="137"/>
      <c r="TFM46" s="137"/>
      <c r="TFN46" s="137"/>
      <c r="TFO46" s="137"/>
      <c r="TFP46" s="137"/>
      <c r="TFQ46" s="137"/>
      <c r="TFR46" s="137"/>
      <c r="TFS46" s="137"/>
      <c r="TFT46" s="137"/>
      <c r="TFU46" s="137"/>
      <c r="TFV46" s="137"/>
      <c r="TFW46" s="137"/>
      <c r="TFX46" s="137"/>
      <c r="TFY46" s="137"/>
      <c r="TFZ46" s="137"/>
      <c r="TGA46" s="137"/>
      <c r="TGB46" s="137"/>
      <c r="TGC46" s="137"/>
      <c r="TGD46" s="137"/>
      <c r="TGE46" s="137"/>
      <c r="TGF46" s="137"/>
      <c r="TGG46" s="137"/>
      <c r="TGH46" s="137"/>
      <c r="TGI46" s="137"/>
      <c r="TGJ46" s="137"/>
      <c r="TGK46" s="137"/>
      <c r="TGL46" s="137"/>
      <c r="TGM46" s="137"/>
      <c r="TGN46" s="137"/>
      <c r="TGO46" s="137"/>
      <c r="TGP46" s="137"/>
      <c r="TGQ46" s="137"/>
      <c r="TGR46" s="137"/>
      <c r="TGS46" s="137"/>
      <c r="TGT46" s="137"/>
      <c r="TGU46" s="137"/>
      <c r="TGV46" s="137"/>
      <c r="TGW46" s="137"/>
      <c r="TGX46" s="137"/>
      <c r="TGY46" s="137"/>
      <c r="TGZ46" s="137"/>
      <c r="THA46" s="137"/>
      <c r="THB46" s="137"/>
      <c r="THC46" s="137"/>
      <c r="THD46" s="137"/>
      <c r="THE46" s="137"/>
      <c r="THF46" s="137"/>
      <c r="THG46" s="137"/>
      <c r="THH46" s="137"/>
      <c r="THI46" s="137"/>
      <c r="THJ46" s="137"/>
      <c r="THK46" s="137"/>
      <c r="THL46" s="137"/>
      <c r="THM46" s="137"/>
      <c r="THN46" s="137"/>
      <c r="THO46" s="137"/>
      <c r="THP46" s="137"/>
      <c r="THQ46" s="137"/>
      <c r="THR46" s="137"/>
      <c r="THS46" s="137"/>
      <c r="THT46" s="137"/>
      <c r="THU46" s="137"/>
      <c r="THV46" s="137"/>
      <c r="THW46" s="137"/>
      <c r="THX46" s="137"/>
      <c r="THY46" s="137"/>
      <c r="THZ46" s="137"/>
      <c r="TIA46" s="137"/>
      <c r="TIB46" s="137"/>
      <c r="TIC46" s="137"/>
      <c r="TID46" s="137"/>
      <c r="TIE46" s="137"/>
      <c r="TIF46" s="137"/>
      <c r="TIG46" s="137"/>
      <c r="TIH46" s="137"/>
      <c r="TII46" s="137"/>
      <c r="TIJ46" s="137"/>
      <c r="TIK46" s="137"/>
      <c r="TIL46" s="137"/>
      <c r="TIM46" s="137"/>
      <c r="TIN46" s="137"/>
      <c r="TIO46" s="137"/>
      <c r="TIP46" s="137"/>
      <c r="TIQ46" s="137"/>
      <c r="TIR46" s="137"/>
      <c r="TIS46" s="137"/>
      <c r="TIT46" s="137"/>
      <c r="TIU46" s="137"/>
      <c r="TIV46" s="137"/>
      <c r="TIW46" s="137"/>
      <c r="TIX46" s="137"/>
      <c r="TIY46" s="137"/>
      <c r="TIZ46" s="137"/>
      <c r="TJA46" s="137"/>
      <c r="TJB46" s="137"/>
      <c r="TJC46" s="137"/>
      <c r="TJD46" s="137"/>
      <c r="TJE46" s="137"/>
      <c r="TJF46" s="137"/>
      <c r="TJG46" s="137"/>
      <c r="TJH46" s="137"/>
      <c r="TJI46" s="137"/>
      <c r="TJJ46" s="137"/>
      <c r="TJK46" s="137"/>
      <c r="TJL46" s="137"/>
      <c r="TJM46" s="137"/>
      <c r="TJN46" s="137"/>
      <c r="TJO46" s="137"/>
      <c r="TJP46" s="137"/>
      <c r="TJQ46" s="137"/>
      <c r="TJR46" s="137"/>
      <c r="TJS46" s="137"/>
      <c r="TJT46" s="137"/>
      <c r="TJU46" s="137"/>
      <c r="TJV46" s="137"/>
      <c r="TJW46" s="137"/>
      <c r="TJX46" s="137"/>
      <c r="TJY46" s="137"/>
      <c r="TJZ46" s="137"/>
      <c r="TKA46" s="137"/>
      <c r="TKB46" s="137"/>
      <c r="TKC46" s="137"/>
      <c r="TKD46" s="137"/>
      <c r="TKE46" s="137"/>
      <c r="TKF46" s="137"/>
      <c r="TKG46" s="137"/>
      <c r="TKH46" s="137"/>
      <c r="TKI46" s="137"/>
      <c r="TKJ46" s="137"/>
      <c r="TKK46" s="137"/>
      <c r="TKL46" s="137"/>
      <c r="TKM46" s="137"/>
      <c r="TKN46" s="137"/>
      <c r="TKO46" s="137"/>
      <c r="TKP46" s="137"/>
      <c r="TKQ46" s="137"/>
      <c r="TKR46" s="137"/>
      <c r="TKS46" s="137"/>
      <c r="TKT46" s="137"/>
      <c r="TKU46" s="137"/>
      <c r="TKV46" s="137"/>
      <c r="TKW46" s="137"/>
      <c r="TKX46" s="137"/>
      <c r="TKY46" s="137"/>
      <c r="TKZ46" s="137"/>
      <c r="TLA46" s="137"/>
      <c r="TLB46" s="137"/>
      <c r="TLC46" s="137"/>
      <c r="TLD46" s="137"/>
      <c r="TLE46" s="137"/>
      <c r="TLF46" s="137"/>
      <c r="TLG46" s="137"/>
      <c r="TLH46" s="137"/>
      <c r="TLI46" s="137"/>
      <c r="TLJ46" s="137"/>
      <c r="TLK46" s="137"/>
      <c r="TLL46" s="137"/>
      <c r="TLM46" s="137"/>
      <c r="TLN46" s="137"/>
      <c r="TLO46" s="137"/>
      <c r="TLP46" s="137"/>
      <c r="TLQ46" s="137"/>
      <c r="TLR46" s="137"/>
      <c r="TLS46" s="137"/>
      <c r="TLT46" s="137"/>
      <c r="TLU46" s="137"/>
      <c r="TLV46" s="137"/>
      <c r="TLW46" s="137"/>
      <c r="TLX46" s="137"/>
      <c r="TLY46" s="137"/>
      <c r="TLZ46" s="137"/>
      <c r="TMA46" s="137"/>
      <c r="TMB46" s="137"/>
      <c r="TMC46" s="137"/>
      <c r="TMD46" s="137"/>
      <c r="TME46" s="137"/>
      <c r="TMF46" s="137"/>
      <c r="TMG46" s="137"/>
      <c r="TMH46" s="137"/>
      <c r="TMI46" s="137"/>
      <c r="TMJ46" s="137"/>
      <c r="TMK46" s="137"/>
      <c r="TML46" s="137"/>
      <c r="TMM46" s="137"/>
      <c r="TMN46" s="137"/>
      <c r="TMO46" s="137"/>
      <c r="TMP46" s="137"/>
      <c r="TMQ46" s="137"/>
      <c r="TMR46" s="137"/>
      <c r="TMS46" s="137"/>
      <c r="TMT46" s="137"/>
      <c r="TMU46" s="137"/>
      <c r="TMV46" s="137"/>
      <c r="TMW46" s="137"/>
      <c r="TMX46" s="137"/>
      <c r="TMY46" s="137"/>
      <c r="TMZ46" s="137"/>
      <c r="TNA46" s="137"/>
      <c r="TNB46" s="137"/>
      <c r="TNC46" s="137"/>
      <c r="TND46" s="137"/>
      <c r="TNE46" s="137"/>
      <c r="TNF46" s="137"/>
      <c r="TNG46" s="137"/>
      <c r="TNH46" s="137"/>
      <c r="TNI46" s="137"/>
      <c r="TNJ46" s="137"/>
      <c r="TNK46" s="137"/>
      <c r="TNL46" s="137"/>
      <c r="TNM46" s="137"/>
      <c r="TNN46" s="137"/>
      <c r="TNO46" s="137"/>
      <c r="TNP46" s="137"/>
      <c r="TNQ46" s="137"/>
      <c r="TNR46" s="137"/>
      <c r="TNS46" s="137"/>
      <c r="TNT46" s="137"/>
      <c r="TNU46" s="137"/>
      <c r="TNV46" s="137"/>
      <c r="TNW46" s="137"/>
      <c r="TNX46" s="137"/>
      <c r="TNY46" s="137"/>
      <c r="TNZ46" s="137"/>
      <c r="TOA46" s="137"/>
      <c r="TOB46" s="137"/>
      <c r="TOC46" s="137"/>
      <c r="TOD46" s="137"/>
      <c r="TOE46" s="137"/>
      <c r="TOF46" s="137"/>
      <c r="TOG46" s="137"/>
      <c r="TOH46" s="137"/>
      <c r="TOI46" s="137"/>
      <c r="TOJ46" s="137"/>
      <c r="TOK46" s="137"/>
      <c r="TOL46" s="137"/>
      <c r="TOM46" s="137"/>
      <c r="TON46" s="137"/>
      <c r="TOO46" s="137"/>
      <c r="TOP46" s="137"/>
      <c r="TOQ46" s="137"/>
      <c r="TOR46" s="137"/>
      <c r="TOS46" s="137"/>
      <c r="TOT46" s="137"/>
      <c r="TOU46" s="137"/>
      <c r="TOV46" s="137"/>
      <c r="TOW46" s="137"/>
      <c r="TOX46" s="137"/>
      <c r="TOY46" s="137"/>
      <c r="TOZ46" s="137"/>
      <c r="TPA46" s="137"/>
      <c r="TPB46" s="137"/>
      <c r="TPC46" s="137"/>
      <c r="TPD46" s="137"/>
      <c r="TPE46" s="137"/>
      <c r="TPF46" s="137"/>
      <c r="TPG46" s="137"/>
      <c r="TPH46" s="137"/>
      <c r="TPI46" s="137"/>
      <c r="TPJ46" s="137"/>
      <c r="TPK46" s="137"/>
      <c r="TPL46" s="137"/>
      <c r="TPM46" s="137"/>
      <c r="TPN46" s="137"/>
      <c r="TPO46" s="137"/>
      <c r="TPP46" s="137"/>
      <c r="TPQ46" s="137"/>
      <c r="TPR46" s="137"/>
      <c r="TPS46" s="137"/>
      <c r="TPT46" s="137"/>
      <c r="TPU46" s="137"/>
      <c r="TPV46" s="137"/>
      <c r="TPW46" s="137"/>
      <c r="TPX46" s="137"/>
      <c r="TPY46" s="137"/>
      <c r="TPZ46" s="137"/>
      <c r="TQA46" s="137"/>
      <c r="TQB46" s="137"/>
      <c r="TQC46" s="137"/>
      <c r="TQD46" s="137"/>
      <c r="TQE46" s="137"/>
      <c r="TQF46" s="137"/>
      <c r="TQG46" s="137"/>
      <c r="TQH46" s="137"/>
      <c r="TQI46" s="137"/>
      <c r="TQJ46" s="137"/>
      <c r="TQK46" s="137"/>
      <c r="TQL46" s="137"/>
      <c r="TQM46" s="137"/>
      <c r="TQN46" s="137"/>
      <c r="TQO46" s="137"/>
      <c r="TQP46" s="137"/>
      <c r="TQQ46" s="137"/>
      <c r="TQR46" s="137"/>
      <c r="TQS46" s="137"/>
      <c r="TQT46" s="137"/>
      <c r="TQU46" s="137"/>
      <c r="TQV46" s="137"/>
      <c r="TQW46" s="137"/>
      <c r="TQX46" s="137"/>
      <c r="TQY46" s="137"/>
      <c r="TQZ46" s="137"/>
      <c r="TRA46" s="137"/>
      <c r="TRB46" s="137"/>
      <c r="TRC46" s="137"/>
      <c r="TRD46" s="137"/>
      <c r="TRE46" s="137"/>
      <c r="TRF46" s="137"/>
      <c r="TRG46" s="137"/>
      <c r="TRH46" s="137"/>
      <c r="TRI46" s="137"/>
      <c r="TRJ46" s="137"/>
      <c r="TRK46" s="137"/>
      <c r="TRL46" s="137"/>
      <c r="TRM46" s="137"/>
      <c r="TRN46" s="137"/>
      <c r="TRO46" s="137"/>
      <c r="TRP46" s="137"/>
      <c r="TRQ46" s="137"/>
      <c r="TRR46" s="137"/>
      <c r="TRS46" s="137"/>
      <c r="TRT46" s="137"/>
      <c r="TRU46" s="137"/>
      <c r="TRV46" s="137"/>
      <c r="TRW46" s="137"/>
      <c r="TRX46" s="137"/>
      <c r="TRY46" s="137"/>
      <c r="TRZ46" s="137"/>
      <c r="TSA46" s="137"/>
      <c r="TSB46" s="137"/>
      <c r="TSC46" s="137"/>
      <c r="TSD46" s="137"/>
      <c r="TSE46" s="137"/>
      <c r="TSF46" s="137"/>
      <c r="TSG46" s="137"/>
      <c r="TSH46" s="137"/>
      <c r="TSI46" s="137"/>
      <c r="TSJ46" s="137"/>
      <c r="TSK46" s="137"/>
      <c r="TSL46" s="137"/>
      <c r="TSM46" s="137"/>
      <c r="TSN46" s="137"/>
      <c r="TSO46" s="137"/>
      <c r="TSP46" s="137"/>
      <c r="TSQ46" s="137"/>
      <c r="TSR46" s="137"/>
      <c r="TSS46" s="137"/>
      <c r="TST46" s="137"/>
      <c r="TSU46" s="137"/>
      <c r="TSV46" s="137"/>
      <c r="TSW46" s="137"/>
      <c r="TSX46" s="137"/>
      <c r="TSY46" s="137"/>
      <c r="TSZ46" s="137"/>
      <c r="TTA46" s="137"/>
      <c r="TTB46" s="137"/>
      <c r="TTC46" s="137"/>
      <c r="TTD46" s="137"/>
      <c r="TTE46" s="137"/>
      <c r="TTF46" s="137"/>
      <c r="TTG46" s="137"/>
      <c r="TTH46" s="137"/>
      <c r="TTI46" s="137"/>
      <c r="TTJ46" s="137"/>
      <c r="TTK46" s="137"/>
      <c r="TTL46" s="137"/>
      <c r="TTM46" s="137"/>
      <c r="TTN46" s="137"/>
      <c r="TTO46" s="137"/>
      <c r="TTP46" s="137"/>
      <c r="TTQ46" s="137"/>
      <c r="TTR46" s="137"/>
      <c r="TTS46" s="137"/>
      <c r="TTT46" s="137"/>
      <c r="TTU46" s="137"/>
      <c r="TTV46" s="137"/>
      <c r="TTW46" s="137"/>
      <c r="TTX46" s="137"/>
      <c r="TTY46" s="137"/>
      <c r="TTZ46" s="137"/>
      <c r="TUA46" s="137"/>
      <c r="TUB46" s="137"/>
      <c r="TUC46" s="137"/>
      <c r="TUD46" s="137"/>
      <c r="TUE46" s="137"/>
      <c r="TUF46" s="137"/>
      <c r="TUG46" s="137"/>
      <c r="TUH46" s="137"/>
      <c r="TUI46" s="137"/>
      <c r="TUJ46" s="137"/>
      <c r="TUK46" s="137"/>
      <c r="TUL46" s="137"/>
      <c r="TUM46" s="137"/>
      <c r="TUN46" s="137"/>
      <c r="TUO46" s="137"/>
      <c r="TUP46" s="137"/>
      <c r="TUQ46" s="137"/>
      <c r="TUR46" s="137"/>
      <c r="TUS46" s="137"/>
      <c r="TUT46" s="137"/>
      <c r="TUU46" s="137"/>
      <c r="TUV46" s="137"/>
      <c r="TUW46" s="137"/>
      <c r="TUX46" s="137"/>
      <c r="TUY46" s="137"/>
      <c r="TUZ46" s="137"/>
      <c r="TVA46" s="137"/>
      <c r="TVB46" s="137"/>
      <c r="TVC46" s="137"/>
      <c r="TVD46" s="137"/>
      <c r="TVE46" s="137"/>
      <c r="TVF46" s="137"/>
      <c r="TVG46" s="137"/>
      <c r="TVH46" s="137"/>
      <c r="TVI46" s="137"/>
      <c r="TVJ46" s="137"/>
      <c r="TVK46" s="137"/>
      <c r="TVL46" s="137"/>
      <c r="TVM46" s="137"/>
      <c r="TVN46" s="137"/>
      <c r="TVO46" s="137"/>
      <c r="TVP46" s="137"/>
      <c r="TVQ46" s="137"/>
      <c r="TVR46" s="137"/>
      <c r="TVS46" s="137"/>
      <c r="TVT46" s="137"/>
      <c r="TVU46" s="137"/>
      <c r="TVV46" s="137"/>
      <c r="TVW46" s="137"/>
      <c r="TVX46" s="137"/>
      <c r="TVY46" s="137"/>
      <c r="TVZ46" s="137"/>
      <c r="TWA46" s="137"/>
      <c r="TWB46" s="137"/>
      <c r="TWC46" s="137"/>
      <c r="TWD46" s="137"/>
      <c r="TWE46" s="137"/>
      <c r="TWF46" s="137"/>
      <c r="TWG46" s="137"/>
      <c r="TWH46" s="137"/>
      <c r="TWI46" s="137"/>
      <c r="TWJ46" s="137"/>
      <c r="TWK46" s="137"/>
      <c r="TWL46" s="137"/>
      <c r="TWM46" s="137"/>
      <c r="TWN46" s="137"/>
      <c r="TWO46" s="137"/>
      <c r="TWP46" s="137"/>
      <c r="TWQ46" s="137"/>
      <c r="TWR46" s="137"/>
      <c r="TWS46" s="137"/>
      <c r="TWT46" s="137"/>
      <c r="TWU46" s="137"/>
      <c r="TWV46" s="137"/>
      <c r="TWW46" s="137"/>
      <c r="TWX46" s="137"/>
      <c r="TWY46" s="137"/>
      <c r="TWZ46" s="137"/>
      <c r="TXA46" s="137"/>
      <c r="TXB46" s="137"/>
      <c r="TXC46" s="137"/>
      <c r="TXD46" s="137"/>
      <c r="TXE46" s="137"/>
      <c r="TXF46" s="137"/>
      <c r="TXG46" s="137"/>
      <c r="TXH46" s="137"/>
      <c r="TXI46" s="137"/>
      <c r="TXJ46" s="137"/>
      <c r="TXK46" s="137"/>
      <c r="TXL46" s="137"/>
      <c r="TXM46" s="137"/>
      <c r="TXN46" s="137"/>
      <c r="TXO46" s="137"/>
      <c r="TXP46" s="137"/>
      <c r="TXQ46" s="137"/>
      <c r="TXR46" s="137"/>
      <c r="TXS46" s="137"/>
      <c r="TXT46" s="137"/>
      <c r="TXU46" s="137"/>
      <c r="TXV46" s="137"/>
      <c r="TXW46" s="137"/>
      <c r="TXX46" s="137"/>
      <c r="TXY46" s="137"/>
      <c r="TXZ46" s="137"/>
      <c r="TYA46" s="137"/>
      <c r="TYB46" s="137"/>
      <c r="TYC46" s="137"/>
      <c r="TYD46" s="137"/>
      <c r="TYE46" s="137"/>
      <c r="TYF46" s="137"/>
      <c r="TYG46" s="137"/>
      <c r="TYH46" s="137"/>
      <c r="TYI46" s="137"/>
      <c r="TYJ46" s="137"/>
      <c r="TYK46" s="137"/>
      <c r="TYL46" s="137"/>
      <c r="TYM46" s="137"/>
      <c r="TYN46" s="137"/>
      <c r="TYO46" s="137"/>
      <c r="TYP46" s="137"/>
      <c r="TYQ46" s="137"/>
      <c r="TYR46" s="137"/>
      <c r="TYS46" s="137"/>
      <c r="TYT46" s="137"/>
      <c r="TYU46" s="137"/>
      <c r="TYV46" s="137"/>
      <c r="TYW46" s="137"/>
      <c r="TYX46" s="137"/>
      <c r="TYY46" s="137"/>
      <c r="TYZ46" s="137"/>
      <c r="TZA46" s="137"/>
      <c r="TZB46" s="137"/>
      <c r="TZC46" s="137"/>
      <c r="TZD46" s="137"/>
      <c r="TZE46" s="137"/>
      <c r="TZF46" s="137"/>
      <c r="TZG46" s="137"/>
      <c r="TZH46" s="137"/>
      <c r="TZI46" s="137"/>
      <c r="TZJ46" s="137"/>
      <c r="TZK46" s="137"/>
      <c r="TZL46" s="137"/>
      <c r="TZM46" s="137"/>
      <c r="TZN46" s="137"/>
      <c r="TZO46" s="137"/>
      <c r="TZP46" s="137"/>
      <c r="TZQ46" s="137"/>
      <c r="TZR46" s="137"/>
      <c r="TZS46" s="137"/>
      <c r="TZT46" s="137"/>
      <c r="TZU46" s="137"/>
      <c r="TZV46" s="137"/>
      <c r="TZW46" s="137"/>
      <c r="TZX46" s="137"/>
      <c r="TZY46" s="137"/>
      <c r="TZZ46" s="137"/>
      <c r="UAA46" s="137"/>
      <c r="UAB46" s="137"/>
      <c r="UAC46" s="137"/>
      <c r="UAD46" s="137"/>
      <c r="UAE46" s="137"/>
      <c r="UAF46" s="137"/>
      <c r="UAG46" s="137"/>
      <c r="UAH46" s="137"/>
      <c r="UAI46" s="137"/>
      <c r="UAJ46" s="137"/>
      <c r="UAK46" s="137"/>
      <c r="UAL46" s="137"/>
      <c r="UAM46" s="137"/>
      <c r="UAN46" s="137"/>
      <c r="UAO46" s="137"/>
      <c r="UAP46" s="137"/>
      <c r="UAQ46" s="137"/>
      <c r="UAR46" s="137"/>
      <c r="UAS46" s="137"/>
      <c r="UAT46" s="137"/>
      <c r="UAU46" s="137"/>
      <c r="UAV46" s="137"/>
      <c r="UAW46" s="137"/>
      <c r="UAX46" s="137"/>
      <c r="UAY46" s="137"/>
      <c r="UAZ46" s="137"/>
      <c r="UBA46" s="137"/>
      <c r="UBB46" s="137"/>
      <c r="UBC46" s="137"/>
      <c r="UBD46" s="137"/>
      <c r="UBE46" s="137"/>
      <c r="UBF46" s="137"/>
      <c r="UBG46" s="137"/>
      <c r="UBH46" s="137"/>
      <c r="UBI46" s="137"/>
      <c r="UBJ46" s="137"/>
      <c r="UBK46" s="137"/>
      <c r="UBL46" s="137"/>
      <c r="UBM46" s="137"/>
      <c r="UBN46" s="137"/>
      <c r="UBO46" s="137"/>
      <c r="UBP46" s="137"/>
      <c r="UBQ46" s="137"/>
      <c r="UBR46" s="137"/>
      <c r="UBS46" s="137"/>
      <c r="UBT46" s="137"/>
      <c r="UBU46" s="137"/>
      <c r="UBV46" s="137"/>
      <c r="UBW46" s="137"/>
      <c r="UBX46" s="137"/>
      <c r="UBY46" s="137"/>
      <c r="UBZ46" s="137"/>
      <c r="UCA46" s="137"/>
      <c r="UCB46" s="137"/>
      <c r="UCC46" s="137"/>
      <c r="UCD46" s="137"/>
      <c r="UCE46" s="137"/>
      <c r="UCF46" s="137"/>
      <c r="UCG46" s="137"/>
      <c r="UCH46" s="137"/>
      <c r="UCI46" s="137"/>
      <c r="UCJ46" s="137"/>
      <c r="UCK46" s="137"/>
      <c r="UCL46" s="137"/>
      <c r="UCM46" s="137"/>
      <c r="UCN46" s="137"/>
      <c r="UCO46" s="137"/>
      <c r="UCP46" s="137"/>
      <c r="UCQ46" s="137"/>
      <c r="UCR46" s="137"/>
      <c r="UCS46" s="137"/>
      <c r="UCT46" s="137"/>
      <c r="UCU46" s="137"/>
      <c r="UCV46" s="137"/>
      <c r="UCW46" s="137"/>
      <c r="UCX46" s="137"/>
      <c r="UCY46" s="137"/>
      <c r="UCZ46" s="137"/>
      <c r="UDA46" s="137"/>
      <c r="UDB46" s="137"/>
      <c r="UDC46" s="137"/>
      <c r="UDD46" s="137"/>
      <c r="UDE46" s="137"/>
      <c r="UDF46" s="137"/>
      <c r="UDG46" s="137"/>
      <c r="UDH46" s="137"/>
      <c r="UDI46" s="137"/>
      <c r="UDJ46" s="137"/>
      <c r="UDK46" s="137"/>
      <c r="UDL46" s="137"/>
      <c r="UDM46" s="137"/>
      <c r="UDN46" s="137"/>
      <c r="UDO46" s="137"/>
      <c r="UDP46" s="137"/>
      <c r="UDQ46" s="137"/>
      <c r="UDR46" s="137"/>
      <c r="UDS46" s="137"/>
      <c r="UDT46" s="137"/>
      <c r="UDU46" s="137"/>
      <c r="UDV46" s="137"/>
      <c r="UDW46" s="137"/>
      <c r="UDX46" s="137"/>
      <c r="UDY46" s="137"/>
      <c r="UDZ46" s="137"/>
      <c r="UEA46" s="137"/>
      <c r="UEB46" s="137"/>
      <c r="UEC46" s="137"/>
      <c r="UED46" s="137"/>
      <c r="UEE46" s="137"/>
      <c r="UEF46" s="137"/>
      <c r="UEG46" s="137"/>
      <c r="UEH46" s="137"/>
      <c r="UEI46" s="137"/>
      <c r="UEJ46" s="137"/>
      <c r="UEK46" s="137"/>
      <c r="UEL46" s="137"/>
      <c r="UEM46" s="137"/>
      <c r="UEN46" s="137"/>
      <c r="UEO46" s="137"/>
      <c r="UEP46" s="137"/>
      <c r="UEQ46" s="137"/>
      <c r="UER46" s="137"/>
      <c r="UES46" s="137"/>
      <c r="UET46" s="137"/>
      <c r="UEU46" s="137"/>
      <c r="UEV46" s="137"/>
      <c r="UEW46" s="137"/>
      <c r="UEX46" s="137"/>
      <c r="UEY46" s="137"/>
      <c r="UEZ46" s="137"/>
      <c r="UFA46" s="137"/>
      <c r="UFB46" s="137"/>
      <c r="UFC46" s="137"/>
      <c r="UFD46" s="137"/>
      <c r="UFE46" s="137"/>
      <c r="UFF46" s="137"/>
      <c r="UFG46" s="137"/>
      <c r="UFH46" s="137"/>
      <c r="UFI46" s="137"/>
      <c r="UFJ46" s="137"/>
      <c r="UFK46" s="137"/>
      <c r="UFL46" s="137"/>
      <c r="UFM46" s="137"/>
      <c r="UFN46" s="137"/>
      <c r="UFO46" s="137"/>
      <c r="UFP46" s="137"/>
      <c r="UFQ46" s="137"/>
      <c r="UFR46" s="137"/>
      <c r="UFS46" s="137"/>
      <c r="UFT46" s="137"/>
      <c r="UFU46" s="137"/>
      <c r="UFV46" s="137"/>
      <c r="UFW46" s="137"/>
      <c r="UFX46" s="137"/>
      <c r="UFY46" s="137"/>
      <c r="UFZ46" s="137"/>
      <c r="UGA46" s="137"/>
      <c r="UGB46" s="137"/>
      <c r="UGC46" s="137"/>
      <c r="UGD46" s="137"/>
      <c r="UGE46" s="137"/>
      <c r="UGF46" s="137"/>
      <c r="UGG46" s="137"/>
      <c r="UGH46" s="137"/>
      <c r="UGI46" s="137"/>
      <c r="UGJ46" s="137"/>
      <c r="UGK46" s="137"/>
      <c r="UGL46" s="137"/>
      <c r="UGM46" s="137"/>
      <c r="UGN46" s="137"/>
      <c r="UGO46" s="137"/>
      <c r="UGP46" s="137"/>
      <c r="UGQ46" s="137"/>
      <c r="UGR46" s="137"/>
      <c r="UGS46" s="137"/>
      <c r="UGT46" s="137"/>
      <c r="UGU46" s="137"/>
      <c r="UGV46" s="137"/>
      <c r="UGW46" s="137"/>
      <c r="UGX46" s="137"/>
      <c r="UGY46" s="137"/>
      <c r="UGZ46" s="137"/>
      <c r="UHA46" s="137"/>
      <c r="UHB46" s="137"/>
      <c r="UHC46" s="137"/>
      <c r="UHD46" s="137"/>
      <c r="UHE46" s="137"/>
      <c r="UHF46" s="137"/>
      <c r="UHG46" s="137"/>
      <c r="UHH46" s="137"/>
      <c r="UHI46" s="137"/>
      <c r="UHJ46" s="137"/>
      <c r="UHK46" s="137"/>
      <c r="UHL46" s="137"/>
      <c r="UHM46" s="137"/>
      <c r="UHN46" s="137"/>
      <c r="UHO46" s="137"/>
      <c r="UHP46" s="137"/>
      <c r="UHQ46" s="137"/>
      <c r="UHR46" s="137"/>
      <c r="UHS46" s="137"/>
      <c r="UHT46" s="137"/>
      <c r="UHU46" s="137"/>
      <c r="UHV46" s="137"/>
      <c r="UHW46" s="137"/>
      <c r="UHX46" s="137"/>
      <c r="UHY46" s="137"/>
      <c r="UHZ46" s="137"/>
      <c r="UIA46" s="137"/>
      <c r="UIB46" s="137"/>
      <c r="UIC46" s="137"/>
      <c r="UID46" s="137"/>
      <c r="UIE46" s="137"/>
      <c r="UIF46" s="137"/>
      <c r="UIG46" s="137"/>
      <c r="UIH46" s="137"/>
      <c r="UII46" s="137"/>
      <c r="UIJ46" s="137"/>
      <c r="UIK46" s="137"/>
      <c r="UIL46" s="137"/>
      <c r="UIM46" s="137"/>
      <c r="UIN46" s="137"/>
      <c r="UIO46" s="137"/>
      <c r="UIP46" s="137"/>
      <c r="UIQ46" s="137"/>
      <c r="UIR46" s="137"/>
      <c r="UIS46" s="137"/>
      <c r="UIT46" s="137"/>
      <c r="UIU46" s="137"/>
      <c r="UIV46" s="137"/>
      <c r="UIW46" s="137"/>
      <c r="UIX46" s="137"/>
      <c r="UIY46" s="137"/>
      <c r="UIZ46" s="137"/>
      <c r="UJA46" s="137"/>
      <c r="UJB46" s="137"/>
      <c r="UJC46" s="137"/>
      <c r="UJD46" s="137"/>
      <c r="UJE46" s="137"/>
      <c r="UJF46" s="137"/>
      <c r="UJG46" s="137"/>
      <c r="UJH46" s="137"/>
      <c r="UJI46" s="137"/>
      <c r="UJJ46" s="137"/>
      <c r="UJK46" s="137"/>
      <c r="UJL46" s="137"/>
      <c r="UJM46" s="137"/>
      <c r="UJN46" s="137"/>
      <c r="UJO46" s="137"/>
      <c r="UJP46" s="137"/>
      <c r="UJQ46" s="137"/>
      <c r="UJR46" s="137"/>
      <c r="UJS46" s="137"/>
      <c r="UJT46" s="137"/>
      <c r="UJU46" s="137"/>
      <c r="UJV46" s="137"/>
      <c r="UJW46" s="137"/>
      <c r="UJX46" s="137"/>
      <c r="UJY46" s="137"/>
      <c r="UJZ46" s="137"/>
      <c r="UKA46" s="137"/>
      <c r="UKB46" s="137"/>
      <c r="UKC46" s="137"/>
      <c r="UKD46" s="137"/>
      <c r="UKE46" s="137"/>
      <c r="UKF46" s="137"/>
      <c r="UKG46" s="137"/>
      <c r="UKH46" s="137"/>
      <c r="UKI46" s="137"/>
      <c r="UKJ46" s="137"/>
      <c r="UKK46" s="137"/>
      <c r="UKL46" s="137"/>
      <c r="UKM46" s="137"/>
      <c r="UKN46" s="137"/>
      <c r="UKO46" s="137"/>
      <c r="UKP46" s="137"/>
      <c r="UKQ46" s="137"/>
      <c r="UKR46" s="137"/>
      <c r="UKS46" s="137"/>
      <c r="UKT46" s="137"/>
      <c r="UKU46" s="137"/>
      <c r="UKV46" s="137"/>
      <c r="UKW46" s="137"/>
      <c r="UKX46" s="137"/>
      <c r="UKY46" s="137"/>
      <c r="UKZ46" s="137"/>
      <c r="ULA46" s="137"/>
      <c r="ULB46" s="137"/>
      <c r="ULC46" s="137"/>
      <c r="ULD46" s="137"/>
      <c r="ULE46" s="137"/>
      <c r="ULF46" s="137"/>
      <c r="ULG46" s="137"/>
      <c r="ULH46" s="137"/>
      <c r="ULI46" s="137"/>
      <c r="ULJ46" s="137"/>
      <c r="ULK46" s="137"/>
      <c r="ULL46" s="137"/>
      <c r="ULM46" s="137"/>
      <c r="ULN46" s="137"/>
      <c r="ULO46" s="137"/>
      <c r="ULP46" s="137"/>
      <c r="ULQ46" s="137"/>
      <c r="ULR46" s="137"/>
      <c r="ULS46" s="137"/>
      <c r="ULT46" s="137"/>
      <c r="ULU46" s="137"/>
      <c r="ULV46" s="137"/>
      <c r="ULW46" s="137"/>
      <c r="ULX46" s="137"/>
      <c r="ULY46" s="137"/>
      <c r="ULZ46" s="137"/>
      <c r="UMA46" s="137"/>
      <c r="UMB46" s="137"/>
      <c r="UMC46" s="137"/>
      <c r="UMD46" s="137"/>
      <c r="UME46" s="137"/>
      <c r="UMF46" s="137"/>
      <c r="UMG46" s="137"/>
      <c r="UMH46" s="137"/>
      <c r="UMI46" s="137"/>
      <c r="UMJ46" s="137"/>
      <c r="UMK46" s="137"/>
      <c r="UML46" s="137"/>
      <c r="UMM46" s="137"/>
      <c r="UMN46" s="137"/>
      <c r="UMO46" s="137"/>
      <c r="UMP46" s="137"/>
      <c r="UMQ46" s="137"/>
      <c r="UMR46" s="137"/>
      <c r="UMS46" s="137"/>
      <c r="UMT46" s="137"/>
      <c r="UMU46" s="137"/>
      <c r="UMV46" s="137"/>
      <c r="UMW46" s="137"/>
      <c r="UMX46" s="137"/>
      <c r="UMY46" s="137"/>
      <c r="UMZ46" s="137"/>
      <c r="UNA46" s="137"/>
      <c r="UNB46" s="137"/>
      <c r="UNC46" s="137"/>
      <c r="UND46" s="137"/>
      <c r="UNE46" s="137"/>
      <c r="UNF46" s="137"/>
      <c r="UNG46" s="137"/>
      <c r="UNH46" s="137"/>
      <c r="UNI46" s="137"/>
      <c r="UNJ46" s="137"/>
      <c r="UNK46" s="137"/>
      <c r="UNL46" s="137"/>
      <c r="UNM46" s="137"/>
      <c r="UNN46" s="137"/>
      <c r="UNO46" s="137"/>
      <c r="UNP46" s="137"/>
      <c r="UNQ46" s="137"/>
      <c r="UNR46" s="137"/>
      <c r="UNS46" s="137"/>
      <c r="UNT46" s="137"/>
      <c r="UNU46" s="137"/>
      <c r="UNV46" s="137"/>
      <c r="UNW46" s="137"/>
      <c r="UNX46" s="137"/>
      <c r="UNY46" s="137"/>
      <c r="UNZ46" s="137"/>
      <c r="UOA46" s="137"/>
      <c r="UOB46" s="137"/>
      <c r="UOC46" s="137"/>
      <c r="UOD46" s="137"/>
      <c r="UOE46" s="137"/>
      <c r="UOF46" s="137"/>
      <c r="UOG46" s="137"/>
      <c r="UOH46" s="137"/>
      <c r="UOI46" s="137"/>
      <c r="UOJ46" s="137"/>
      <c r="UOK46" s="137"/>
      <c r="UOL46" s="137"/>
      <c r="UOM46" s="137"/>
      <c r="UON46" s="137"/>
      <c r="UOO46" s="137"/>
      <c r="UOP46" s="137"/>
      <c r="UOQ46" s="137"/>
      <c r="UOR46" s="137"/>
      <c r="UOS46" s="137"/>
      <c r="UOT46" s="137"/>
      <c r="UOU46" s="137"/>
      <c r="UOV46" s="137"/>
      <c r="UOW46" s="137"/>
      <c r="UOX46" s="137"/>
      <c r="UOY46" s="137"/>
      <c r="UOZ46" s="137"/>
      <c r="UPA46" s="137"/>
      <c r="UPB46" s="137"/>
      <c r="UPC46" s="137"/>
      <c r="UPD46" s="137"/>
      <c r="UPE46" s="137"/>
      <c r="UPF46" s="137"/>
      <c r="UPG46" s="137"/>
      <c r="UPH46" s="137"/>
      <c r="UPI46" s="137"/>
      <c r="UPJ46" s="137"/>
      <c r="UPK46" s="137"/>
      <c r="UPL46" s="137"/>
      <c r="UPM46" s="137"/>
      <c r="UPN46" s="137"/>
      <c r="UPO46" s="137"/>
      <c r="UPP46" s="137"/>
      <c r="UPQ46" s="137"/>
      <c r="UPR46" s="137"/>
      <c r="UPS46" s="137"/>
      <c r="UPT46" s="137"/>
      <c r="UPU46" s="137"/>
      <c r="UPV46" s="137"/>
      <c r="UPW46" s="137"/>
      <c r="UPX46" s="137"/>
      <c r="UPY46" s="137"/>
      <c r="UPZ46" s="137"/>
      <c r="UQA46" s="137"/>
      <c r="UQB46" s="137"/>
      <c r="UQC46" s="137"/>
      <c r="UQD46" s="137"/>
      <c r="UQE46" s="137"/>
      <c r="UQF46" s="137"/>
      <c r="UQG46" s="137"/>
      <c r="UQH46" s="137"/>
      <c r="UQI46" s="137"/>
      <c r="UQJ46" s="137"/>
      <c r="UQK46" s="137"/>
      <c r="UQL46" s="137"/>
      <c r="UQM46" s="137"/>
      <c r="UQN46" s="137"/>
      <c r="UQO46" s="137"/>
      <c r="UQP46" s="137"/>
      <c r="UQQ46" s="137"/>
      <c r="UQR46" s="137"/>
      <c r="UQS46" s="137"/>
      <c r="UQT46" s="137"/>
      <c r="UQU46" s="137"/>
      <c r="UQV46" s="137"/>
      <c r="UQW46" s="137"/>
      <c r="UQX46" s="137"/>
      <c r="UQY46" s="137"/>
      <c r="UQZ46" s="137"/>
      <c r="URA46" s="137"/>
      <c r="URB46" s="137"/>
      <c r="URC46" s="137"/>
      <c r="URD46" s="137"/>
      <c r="URE46" s="137"/>
      <c r="URF46" s="137"/>
      <c r="URG46" s="137"/>
      <c r="URH46" s="137"/>
      <c r="URI46" s="137"/>
      <c r="URJ46" s="137"/>
      <c r="URK46" s="137"/>
      <c r="URL46" s="137"/>
      <c r="URM46" s="137"/>
      <c r="URN46" s="137"/>
      <c r="URO46" s="137"/>
      <c r="URP46" s="137"/>
      <c r="URQ46" s="137"/>
      <c r="URR46" s="137"/>
      <c r="URS46" s="137"/>
      <c r="URT46" s="137"/>
      <c r="URU46" s="137"/>
      <c r="URV46" s="137"/>
      <c r="URW46" s="137"/>
      <c r="URX46" s="137"/>
      <c r="URY46" s="137"/>
      <c r="URZ46" s="137"/>
      <c r="USA46" s="137"/>
      <c r="USB46" s="137"/>
      <c r="USC46" s="137"/>
      <c r="USD46" s="137"/>
      <c r="USE46" s="137"/>
      <c r="USF46" s="137"/>
      <c r="USG46" s="137"/>
      <c r="USH46" s="137"/>
      <c r="USI46" s="137"/>
      <c r="USJ46" s="137"/>
      <c r="USK46" s="137"/>
      <c r="USL46" s="137"/>
      <c r="USM46" s="137"/>
      <c r="USN46" s="137"/>
      <c r="USO46" s="137"/>
      <c r="USP46" s="137"/>
      <c r="USQ46" s="137"/>
      <c r="USR46" s="137"/>
      <c r="USS46" s="137"/>
      <c r="UST46" s="137"/>
      <c r="USU46" s="137"/>
      <c r="USV46" s="137"/>
      <c r="USW46" s="137"/>
      <c r="USX46" s="137"/>
      <c r="USY46" s="137"/>
      <c r="USZ46" s="137"/>
      <c r="UTA46" s="137"/>
      <c r="UTB46" s="137"/>
      <c r="UTC46" s="137"/>
      <c r="UTD46" s="137"/>
      <c r="UTE46" s="137"/>
      <c r="UTF46" s="137"/>
      <c r="UTG46" s="137"/>
      <c r="UTH46" s="137"/>
      <c r="UTI46" s="137"/>
      <c r="UTJ46" s="137"/>
      <c r="UTK46" s="137"/>
      <c r="UTL46" s="137"/>
      <c r="UTM46" s="137"/>
      <c r="UTN46" s="137"/>
      <c r="UTO46" s="137"/>
      <c r="UTP46" s="137"/>
      <c r="UTQ46" s="137"/>
      <c r="UTR46" s="137"/>
      <c r="UTS46" s="137"/>
      <c r="UTT46" s="137"/>
      <c r="UTU46" s="137"/>
      <c r="UTV46" s="137"/>
      <c r="UTW46" s="137"/>
      <c r="UTX46" s="137"/>
      <c r="UTY46" s="137"/>
      <c r="UTZ46" s="137"/>
      <c r="UUA46" s="137"/>
      <c r="UUB46" s="137"/>
      <c r="UUC46" s="137"/>
      <c r="UUD46" s="137"/>
      <c r="UUE46" s="137"/>
      <c r="UUF46" s="137"/>
      <c r="UUG46" s="137"/>
      <c r="UUH46" s="137"/>
      <c r="UUI46" s="137"/>
      <c r="UUJ46" s="137"/>
      <c r="UUK46" s="137"/>
      <c r="UUL46" s="137"/>
      <c r="UUM46" s="137"/>
      <c r="UUN46" s="137"/>
      <c r="UUO46" s="137"/>
      <c r="UUP46" s="137"/>
      <c r="UUQ46" s="137"/>
      <c r="UUR46" s="137"/>
      <c r="UUS46" s="137"/>
      <c r="UUT46" s="137"/>
      <c r="UUU46" s="137"/>
      <c r="UUV46" s="137"/>
      <c r="UUW46" s="137"/>
      <c r="UUX46" s="137"/>
      <c r="UUY46" s="137"/>
      <c r="UUZ46" s="137"/>
      <c r="UVA46" s="137"/>
      <c r="UVB46" s="137"/>
      <c r="UVC46" s="137"/>
      <c r="UVD46" s="137"/>
      <c r="UVE46" s="137"/>
      <c r="UVF46" s="137"/>
      <c r="UVG46" s="137"/>
      <c r="UVH46" s="137"/>
      <c r="UVI46" s="137"/>
      <c r="UVJ46" s="137"/>
      <c r="UVK46" s="137"/>
      <c r="UVL46" s="137"/>
      <c r="UVM46" s="137"/>
      <c r="UVN46" s="137"/>
      <c r="UVO46" s="137"/>
      <c r="UVP46" s="137"/>
      <c r="UVQ46" s="137"/>
      <c r="UVR46" s="137"/>
      <c r="UVS46" s="137"/>
      <c r="UVT46" s="137"/>
      <c r="UVU46" s="137"/>
      <c r="UVV46" s="137"/>
      <c r="UVW46" s="137"/>
      <c r="UVX46" s="137"/>
      <c r="UVY46" s="137"/>
      <c r="UVZ46" s="137"/>
      <c r="UWA46" s="137"/>
      <c r="UWB46" s="137"/>
      <c r="UWC46" s="137"/>
      <c r="UWD46" s="137"/>
      <c r="UWE46" s="137"/>
      <c r="UWF46" s="137"/>
      <c r="UWG46" s="137"/>
      <c r="UWH46" s="137"/>
      <c r="UWI46" s="137"/>
      <c r="UWJ46" s="137"/>
      <c r="UWK46" s="137"/>
      <c r="UWL46" s="137"/>
      <c r="UWM46" s="137"/>
      <c r="UWN46" s="137"/>
      <c r="UWO46" s="137"/>
      <c r="UWP46" s="137"/>
      <c r="UWQ46" s="137"/>
      <c r="UWR46" s="137"/>
      <c r="UWS46" s="137"/>
      <c r="UWT46" s="137"/>
      <c r="UWU46" s="137"/>
      <c r="UWV46" s="137"/>
      <c r="UWW46" s="137"/>
      <c r="UWX46" s="137"/>
      <c r="UWY46" s="137"/>
      <c r="UWZ46" s="137"/>
      <c r="UXA46" s="137"/>
      <c r="UXB46" s="137"/>
      <c r="UXC46" s="137"/>
      <c r="UXD46" s="137"/>
      <c r="UXE46" s="137"/>
      <c r="UXF46" s="137"/>
      <c r="UXG46" s="137"/>
      <c r="UXH46" s="137"/>
      <c r="UXI46" s="137"/>
      <c r="UXJ46" s="137"/>
      <c r="UXK46" s="137"/>
      <c r="UXL46" s="137"/>
      <c r="UXM46" s="137"/>
      <c r="UXN46" s="137"/>
      <c r="UXO46" s="137"/>
      <c r="UXP46" s="137"/>
      <c r="UXQ46" s="137"/>
      <c r="UXR46" s="137"/>
      <c r="UXS46" s="137"/>
      <c r="UXT46" s="137"/>
      <c r="UXU46" s="137"/>
      <c r="UXV46" s="137"/>
      <c r="UXW46" s="137"/>
      <c r="UXX46" s="137"/>
      <c r="UXY46" s="137"/>
      <c r="UXZ46" s="137"/>
      <c r="UYA46" s="137"/>
      <c r="UYB46" s="137"/>
      <c r="UYC46" s="137"/>
      <c r="UYD46" s="137"/>
      <c r="UYE46" s="137"/>
      <c r="UYF46" s="137"/>
      <c r="UYG46" s="137"/>
      <c r="UYH46" s="137"/>
      <c r="UYI46" s="137"/>
      <c r="UYJ46" s="137"/>
      <c r="UYK46" s="137"/>
      <c r="UYL46" s="137"/>
      <c r="UYM46" s="137"/>
      <c r="UYN46" s="137"/>
      <c r="UYO46" s="137"/>
      <c r="UYP46" s="137"/>
      <c r="UYQ46" s="137"/>
      <c r="UYR46" s="137"/>
      <c r="UYS46" s="137"/>
      <c r="UYT46" s="137"/>
      <c r="UYU46" s="137"/>
      <c r="UYV46" s="137"/>
      <c r="UYW46" s="137"/>
      <c r="UYX46" s="137"/>
      <c r="UYY46" s="137"/>
      <c r="UYZ46" s="137"/>
      <c r="UZA46" s="137"/>
      <c r="UZB46" s="137"/>
      <c r="UZC46" s="137"/>
      <c r="UZD46" s="137"/>
      <c r="UZE46" s="137"/>
      <c r="UZF46" s="137"/>
      <c r="UZG46" s="137"/>
      <c r="UZH46" s="137"/>
      <c r="UZI46" s="137"/>
      <c r="UZJ46" s="137"/>
      <c r="UZK46" s="137"/>
      <c r="UZL46" s="137"/>
      <c r="UZM46" s="137"/>
      <c r="UZN46" s="137"/>
      <c r="UZO46" s="137"/>
      <c r="UZP46" s="137"/>
      <c r="UZQ46" s="137"/>
      <c r="UZR46" s="137"/>
      <c r="UZS46" s="137"/>
      <c r="UZT46" s="137"/>
      <c r="UZU46" s="137"/>
      <c r="UZV46" s="137"/>
      <c r="UZW46" s="137"/>
      <c r="UZX46" s="137"/>
      <c r="UZY46" s="137"/>
      <c r="UZZ46" s="137"/>
      <c r="VAA46" s="137"/>
      <c r="VAB46" s="137"/>
      <c r="VAC46" s="137"/>
      <c r="VAD46" s="137"/>
      <c r="VAE46" s="137"/>
      <c r="VAF46" s="137"/>
      <c r="VAG46" s="137"/>
      <c r="VAH46" s="137"/>
      <c r="VAI46" s="137"/>
      <c r="VAJ46" s="137"/>
      <c r="VAK46" s="137"/>
      <c r="VAL46" s="137"/>
      <c r="VAM46" s="137"/>
      <c r="VAN46" s="137"/>
      <c r="VAO46" s="137"/>
      <c r="VAP46" s="137"/>
      <c r="VAQ46" s="137"/>
      <c r="VAR46" s="137"/>
      <c r="VAS46" s="137"/>
      <c r="VAT46" s="137"/>
      <c r="VAU46" s="137"/>
      <c r="VAV46" s="137"/>
      <c r="VAW46" s="137"/>
      <c r="VAX46" s="137"/>
      <c r="VAY46" s="137"/>
      <c r="VAZ46" s="137"/>
      <c r="VBA46" s="137"/>
      <c r="VBB46" s="137"/>
      <c r="VBC46" s="137"/>
      <c r="VBD46" s="137"/>
      <c r="VBE46" s="137"/>
      <c r="VBF46" s="137"/>
      <c r="VBG46" s="137"/>
      <c r="VBH46" s="137"/>
      <c r="VBI46" s="137"/>
      <c r="VBJ46" s="137"/>
      <c r="VBK46" s="137"/>
      <c r="VBL46" s="137"/>
      <c r="VBM46" s="137"/>
      <c r="VBN46" s="137"/>
      <c r="VBO46" s="137"/>
      <c r="VBP46" s="137"/>
      <c r="VBQ46" s="137"/>
      <c r="VBR46" s="137"/>
      <c r="VBS46" s="137"/>
      <c r="VBT46" s="137"/>
      <c r="VBU46" s="137"/>
      <c r="VBV46" s="137"/>
      <c r="VBW46" s="137"/>
      <c r="VBX46" s="137"/>
      <c r="VBY46" s="137"/>
      <c r="VBZ46" s="137"/>
      <c r="VCA46" s="137"/>
      <c r="VCB46" s="137"/>
      <c r="VCC46" s="137"/>
      <c r="VCD46" s="137"/>
      <c r="VCE46" s="137"/>
      <c r="VCF46" s="137"/>
      <c r="VCG46" s="137"/>
      <c r="VCH46" s="137"/>
      <c r="VCI46" s="137"/>
      <c r="VCJ46" s="137"/>
      <c r="VCK46" s="137"/>
      <c r="VCL46" s="137"/>
      <c r="VCM46" s="137"/>
      <c r="VCN46" s="137"/>
      <c r="VCO46" s="137"/>
      <c r="VCP46" s="137"/>
      <c r="VCQ46" s="137"/>
      <c r="VCR46" s="137"/>
      <c r="VCS46" s="137"/>
      <c r="VCT46" s="137"/>
      <c r="VCU46" s="137"/>
      <c r="VCV46" s="137"/>
      <c r="VCW46" s="137"/>
      <c r="VCX46" s="137"/>
      <c r="VCY46" s="137"/>
      <c r="VCZ46" s="137"/>
      <c r="VDA46" s="137"/>
      <c r="VDB46" s="137"/>
      <c r="VDC46" s="137"/>
      <c r="VDD46" s="137"/>
      <c r="VDE46" s="137"/>
      <c r="VDF46" s="137"/>
      <c r="VDG46" s="137"/>
      <c r="VDH46" s="137"/>
      <c r="VDI46" s="137"/>
      <c r="VDJ46" s="137"/>
      <c r="VDK46" s="137"/>
      <c r="VDL46" s="137"/>
      <c r="VDM46" s="137"/>
      <c r="VDN46" s="137"/>
      <c r="VDO46" s="137"/>
      <c r="VDP46" s="137"/>
      <c r="VDQ46" s="137"/>
      <c r="VDR46" s="137"/>
      <c r="VDS46" s="137"/>
      <c r="VDT46" s="137"/>
      <c r="VDU46" s="137"/>
      <c r="VDV46" s="137"/>
      <c r="VDW46" s="137"/>
      <c r="VDX46" s="137"/>
      <c r="VDY46" s="137"/>
      <c r="VDZ46" s="137"/>
      <c r="VEA46" s="137"/>
      <c r="VEB46" s="137"/>
      <c r="VEC46" s="137"/>
      <c r="VED46" s="137"/>
      <c r="VEE46" s="137"/>
      <c r="VEF46" s="137"/>
      <c r="VEG46" s="137"/>
      <c r="VEH46" s="137"/>
      <c r="VEI46" s="137"/>
      <c r="VEJ46" s="137"/>
      <c r="VEK46" s="137"/>
      <c r="VEL46" s="137"/>
      <c r="VEM46" s="137"/>
      <c r="VEN46" s="137"/>
      <c r="VEO46" s="137"/>
      <c r="VEP46" s="137"/>
      <c r="VEQ46" s="137"/>
      <c r="VER46" s="137"/>
      <c r="VES46" s="137"/>
      <c r="VET46" s="137"/>
      <c r="VEU46" s="137"/>
      <c r="VEV46" s="137"/>
      <c r="VEW46" s="137"/>
      <c r="VEX46" s="137"/>
      <c r="VEY46" s="137"/>
      <c r="VEZ46" s="137"/>
      <c r="VFA46" s="137"/>
      <c r="VFB46" s="137"/>
      <c r="VFC46" s="137"/>
      <c r="VFD46" s="137"/>
      <c r="VFE46" s="137"/>
      <c r="VFF46" s="137"/>
      <c r="VFG46" s="137"/>
      <c r="VFH46" s="137"/>
      <c r="VFI46" s="137"/>
      <c r="VFJ46" s="137"/>
      <c r="VFK46" s="137"/>
      <c r="VFL46" s="137"/>
      <c r="VFM46" s="137"/>
      <c r="VFN46" s="137"/>
      <c r="VFO46" s="137"/>
      <c r="VFP46" s="137"/>
      <c r="VFQ46" s="137"/>
      <c r="VFR46" s="137"/>
      <c r="VFS46" s="137"/>
      <c r="VFT46" s="137"/>
      <c r="VFU46" s="137"/>
      <c r="VFV46" s="137"/>
      <c r="VFW46" s="137"/>
      <c r="VFX46" s="137"/>
      <c r="VFY46" s="137"/>
      <c r="VFZ46" s="137"/>
      <c r="VGA46" s="137"/>
      <c r="VGB46" s="137"/>
      <c r="VGC46" s="137"/>
      <c r="VGD46" s="137"/>
      <c r="VGE46" s="137"/>
      <c r="VGF46" s="137"/>
      <c r="VGG46" s="137"/>
      <c r="VGH46" s="137"/>
      <c r="VGI46" s="137"/>
      <c r="VGJ46" s="137"/>
      <c r="VGK46" s="137"/>
      <c r="VGL46" s="137"/>
      <c r="VGM46" s="137"/>
      <c r="VGN46" s="137"/>
      <c r="VGO46" s="137"/>
      <c r="VGP46" s="137"/>
      <c r="VGQ46" s="137"/>
      <c r="VGR46" s="137"/>
      <c r="VGS46" s="137"/>
      <c r="VGT46" s="137"/>
      <c r="VGU46" s="137"/>
      <c r="VGV46" s="137"/>
      <c r="VGW46" s="137"/>
      <c r="VGX46" s="137"/>
      <c r="VGY46" s="137"/>
      <c r="VGZ46" s="137"/>
      <c r="VHA46" s="137"/>
      <c r="VHB46" s="137"/>
      <c r="VHC46" s="137"/>
      <c r="VHD46" s="137"/>
      <c r="VHE46" s="137"/>
      <c r="VHF46" s="137"/>
      <c r="VHG46" s="137"/>
      <c r="VHH46" s="137"/>
      <c r="VHI46" s="137"/>
      <c r="VHJ46" s="137"/>
      <c r="VHK46" s="137"/>
      <c r="VHL46" s="137"/>
      <c r="VHM46" s="137"/>
      <c r="VHN46" s="137"/>
      <c r="VHO46" s="137"/>
      <c r="VHP46" s="137"/>
      <c r="VHQ46" s="137"/>
      <c r="VHR46" s="137"/>
      <c r="VHS46" s="137"/>
      <c r="VHT46" s="137"/>
      <c r="VHU46" s="137"/>
      <c r="VHV46" s="137"/>
      <c r="VHW46" s="137"/>
      <c r="VHX46" s="137"/>
      <c r="VHY46" s="137"/>
      <c r="VHZ46" s="137"/>
      <c r="VIA46" s="137"/>
      <c r="VIB46" s="137"/>
      <c r="VIC46" s="137"/>
      <c r="VID46" s="137"/>
      <c r="VIE46" s="137"/>
      <c r="VIF46" s="137"/>
      <c r="VIG46" s="137"/>
      <c r="VIH46" s="137"/>
      <c r="VII46" s="137"/>
      <c r="VIJ46" s="137"/>
      <c r="VIK46" s="137"/>
      <c r="VIL46" s="137"/>
      <c r="VIM46" s="137"/>
      <c r="VIN46" s="137"/>
      <c r="VIO46" s="137"/>
      <c r="VIP46" s="137"/>
      <c r="VIQ46" s="137"/>
      <c r="VIR46" s="137"/>
      <c r="VIS46" s="137"/>
      <c r="VIT46" s="137"/>
      <c r="VIU46" s="137"/>
      <c r="VIV46" s="137"/>
      <c r="VIW46" s="137"/>
      <c r="VIX46" s="137"/>
      <c r="VIY46" s="137"/>
      <c r="VIZ46" s="137"/>
      <c r="VJA46" s="137"/>
      <c r="VJB46" s="137"/>
      <c r="VJC46" s="137"/>
      <c r="VJD46" s="137"/>
      <c r="VJE46" s="137"/>
      <c r="VJF46" s="137"/>
      <c r="VJG46" s="137"/>
      <c r="VJH46" s="137"/>
      <c r="VJI46" s="137"/>
      <c r="VJJ46" s="137"/>
      <c r="VJK46" s="137"/>
      <c r="VJL46" s="137"/>
      <c r="VJM46" s="137"/>
      <c r="VJN46" s="137"/>
      <c r="VJO46" s="137"/>
      <c r="VJP46" s="137"/>
      <c r="VJQ46" s="137"/>
      <c r="VJR46" s="137"/>
      <c r="VJS46" s="137"/>
      <c r="VJT46" s="137"/>
      <c r="VJU46" s="137"/>
      <c r="VJV46" s="137"/>
      <c r="VJW46" s="137"/>
      <c r="VJX46" s="137"/>
      <c r="VJY46" s="137"/>
      <c r="VJZ46" s="137"/>
      <c r="VKA46" s="137"/>
      <c r="VKB46" s="137"/>
      <c r="VKC46" s="137"/>
      <c r="VKD46" s="137"/>
      <c r="VKE46" s="137"/>
      <c r="VKF46" s="137"/>
      <c r="VKG46" s="137"/>
      <c r="VKH46" s="137"/>
      <c r="VKI46" s="137"/>
      <c r="VKJ46" s="137"/>
      <c r="VKK46" s="137"/>
      <c r="VKL46" s="137"/>
      <c r="VKM46" s="137"/>
      <c r="VKN46" s="137"/>
      <c r="VKO46" s="137"/>
      <c r="VKP46" s="137"/>
      <c r="VKQ46" s="137"/>
      <c r="VKR46" s="137"/>
      <c r="VKS46" s="137"/>
      <c r="VKT46" s="137"/>
      <c r="VKU46" s="137"/>
      <c r="VKV46" s="137"/>
      <c r="VKW46" s="137"/>
      <c r="VKX46" s="137"/>
      <c r="VKY46" s="137"/>
      <c r="VKZ46" s="137"/>
      <c r="VLA46" s="137"/>
      <c r="VLB46" s="137"/>
      <c r="VLC46" s="137"/>
      <c r="VLD46" s="137"/>
      <c r="VLE46" s="137"/>
      <c r="VLF46" s="137"/>
      <c r="VLG46" s="137"/>
      <c r="VLH46" s="137"/>
      <c r="VLI46" s="137"/>
      <c r="VLJ46" s="137"/>
      <c r="VLK46" s="137"/>
      <c r="VLL46" s="137"/>
      <c r="VLM46" s="137"/>
      <c r="VLN46" s="137"/>
      <c r="VLO46" s="137"/>
      <c r="VLP46" s="137"/>
      <c r="VLQ46" s="137"/>
      <c r="VLR46" s="137"/>
      <c r="VLS46" s="137"/>
      <c r="VLT46" s="137"/>
      <c r="VLU46" s="137"/>
      <c r="VLV46" s="137"/>
      <c r="VLW46" s="137"/>
      <c r="VLX46" s="137"/>
      <c r="VLY46" s="137"/>
      <c r="VLZ46" s="137"/>
      <c r="VMA46" s="137"/>
      <c r="VMB46" s="137"/>
      <c r="VMC46" s="137"/>
      <c r="VMD46" s="137"/>
      <c r="VME46" s="137"/>
      <c r="VMF46" s="137"/>
      <c r="VMG46" s="137"/>
      <c r="VMH46" s="137"/>
      <c r="VMI46" s="137"/>
      <c r="VMJ46" s="137"/>
      <c r="VMK46" s="137"/>
      <c r="VML46" s="137"/>
      <c r="VMM46" s="137"/>
      <c r="VMN46" s="137"/>
      <c r="VMO46" s="137"/>
      <c r="VMP46" s="137"/>
      <c r="VMQ46" s="137"/>
      <c r="VMR46" s="137"/>
      <c r="VMS46" s="137"/>
      <c r="VMT46" s="137"/>
      <c r="VMU46" s="137"/>
      <c r="VMV46" s="137"/>
      <c r="VMW46" s="137"/>
      <c r="VMX46" s="137"/>
      <c r="VMY46" s="137"/>
      <c r="VMZ46" s="137"/>
      <c r="VNA46" s="137"/>
      <c r="VNB46" s="137"/>
      <c r="VNC46" s="137"/>
      <c r="VND46" s="137"/>
      <c r="VNE46" s="137"/>
      <c r="VNF46" s="137"/>
      <c r="VNG46" s="137"/>
      <c r="VNH46" s="137"/>
      <c r="VNI46" s="137"/>
      <c r="VNJ46" s="137"/>
      <c r="VNK46" s="137"/>
      <c r="VNL46" s="137"/>
      <c r="VNM46" s="137"/>
      <c r="VNN46" s="137"/>
      <c r="VNO46" s="137"/>
      <c r="VNP46" s="137"/>
      <c r="VNQ46" s="137"/>
      <c r="VNR46" s="137"/>
      <c r="VNS46" s="137"/>
      <c r="VNT46" s="137"/>
      <c r="VNU46" s="137"/>
      <c r="VNV46" s="137"/>
      <c r="VNW46" s="137"/>
      <c r="VNX46" s="137"/>
      <c r="VNY46" s="137"/>
      <c r="VNZ46" s="137"/>
      <c r="VOA46" s="137"/>
      <c r="VOB46" s="137"/>
      <c r="VOC46" s="137"/>
      <c r="VOD46" s="137"/>
      <c r="VOE46" s="137"/>
      <c r="VOF46" s="137"/>
      <c r="VOG46" s="137"/>
      <c r="VOH46" s="137"/>
      <c r="VOI46" s="137"/>
      <c r="VOJ46" s="137"/>
      <c r="VOK46" s="137"/>
      <c r="VOL46" s="137"/>
      <c r="VOM46" s="137"/>
      <c r="VON46" s="137"/>
      <c r="VOO46" s="137"/>
      <c r="VOP46" s="137"/>
      <c r="VOQ46" s="137"/>
      <c r="VOR46" s="137"/>
      <c r="VOS46" s="137"/>
      <c r="VOT46" s="137"/>
      <c r="VOU46" s="137"/>
      <c r="VOV46" s="137"/>
      <c r="VOW46" s="137"/>
      <c r="VOX46" s="137"/>
      <c r="VOY46" s="137"/>
      <c r="VOZ46" s="137"/>
      <c r="VPA46" s="137"/>
      <c r="VPB46" s="137"/>
      <c r="VPC46" s="137"/>
      <c r="VPD46" s="137"/>
      <c r="VPE46" s="137"/>
      <c r="VPF46" s="137"/>
      <c r="VPG46" s="137"/>
      <c r="VPH46" s="137"/>
      <c r="VPI46" s="137"/>
      <c r="VPJ46" s="137"/>
      <c r="VPK46" s="137"/>
      <c r="VPL46" s="137"/>
      <c r="VPM46" s="137"/>
      <c r="VPN46" s="137"/>
      <c r="VPO46" s="137"/>
      <c r="VPP46" s="137"/>
      <c r="VPQ46" s="137"/>
      <c r="VPR46" s="137"/>
      <c r="VPS46" s="137"/>
      <c r="VPT46" s="137"/>
      <c r="VPU46" s="137"/>
      <c r="VPV46" s="137"/>
      <c r="VPW46" s="137"/>
      <c r="VPX46" s="137"/>
      <c r="VPY46" s="137"/>
      <c r="VPZ46" s="137"/>
      <c r="VQA46" s="137"/>
      <c r="VQB46" s="137"/>
      <c r="VQC46" s="137"/>
      <c r="VQD46" s="137"/>
      <c r="VQE46" s="137"/>
      <c r="VQF46" s="137"/>
      <c r="VQG46" s="137"/>
      <c r="VQH46" s="137"/>
      <c r="VQI46" s="137"/>
      <c r="VQJ46" s="137"/>
      <c r="VQK46" s="137"/>
      <c r="VQL46" s="137"/>
      <c r="VQM46" s="137"/>
      <c r="VQN46" s="137"/>
      <c r="VQO46" s="137"/>
      <c r="VQP46" s="137"/>
      <c r="VQQ46" s="137"/>
      <c r="VQR46" s="137"/>
      <c r="VQS46" s="137"/>
      <c r="VQT46" s="137"/>
      <c r="VQU46" s="137"/>
      <c r="VQV46" s="137"/>
      <c r="VQW46" s="137"/>
      <c r="VQX46" s="137"/>
      <c r="VQY46" s="137"/>
      <c r="VQZ46" s="137"/>
      <c r="VRA46" s="137"/>
      <c r="VRB46" s="137"/>
      <c r="VRC46" s="137"/>
      <c r="VRD46" s="137"/>
      <c r="VRE46" s="137"/>
      <c r="VRF46" s="137"/>
      <c r="VRG46" s="137"/>
      <c r="VRH46" s="137"/>
      <c r="VRI46" s="137"/>
      <c r="VRJ46" s="137"/>
      <c r="VRK46" s="137"/>
      <c r="VRL46" s="137"/>
      <c r="VRM46" s="137"/>
      <c r="VRN46" s="137"/>
      <c r="VRO46" s="137"/>
      <c r="VRP46" s="137"/>
      <c r="VRQ46" s="137"/>
      <c r="VRR46" s="137"/>
      <c r="VRS46" s="137"/>
      <c r="VRT46" s="137"/>
      <c r="VRU46" s="137"/>
      <c r="VRV46" s="137"/>
      <c r="VRW46" s="137"/>
      <c r="VRX46" s="137"/>
      <c r="VRY46" s="137"/>
      <c r="VRZ46" s="137"/>
      <c r="VSA46" s="137"/>
      <c r="VSB46" s="137"/>
      <c r="VSC46" s="137"/>
      <c r="VSD46" s="137"/>
      <c r="VSE46" s="137"/>
      <c r="VSF46" s="137"/>
      <c r="VSG46" s="137"/>
      <c r="VSH46" s="137"/>
      <c r="VSI46" s="137"/>
      <c r="VSJ46" s="137"/>
      <c r="VSK46" s="137"/>
      <c r="VSL46" s="137"/>
      <c r="VSM46" s="137"/>
      <c r="VSN46" s="137"/>
      <c r="VSO46" s="137"/>
      <c r="VSP46" s="137"/>
      <c r="VSQ46" s="137"/>
      <c r="VSR46" s="137"/>
      <c r="VSS46" s="137"/>
      <c r="VST46" s="137"/>
      <c r="VSU46" s="137"/>
      <c r="VSV46" s="137"/>
      <c r="VSW46" s="137"/>
      <c r="VSX46" s="137"/>
      <c r="VSY46" s="137"/>
      <c r="VSZ46" s="137"/>
      <c r="VTA46" s="137"/>
      <c r="VTB46" s="137"/>
      <c r="VTC46" s="137"/>
      <c r="VTD46" s="137"/>
      <c r="VTE46" s="137"/>
      <c r="VTF46" s="137"/>
      <c r="VTG46" s="137"/>
      <c r="VTH46" s="137"/>
      <c r="VTI46" s="137"/>
      <c r="VTJ46" s="137"/>
      <c r="VTK46" s="137"/>
      <c r="VTL46" s="137"/>
      <c r="VTM46" s="137"/>
      <c r="VTN46" s="137"/>
      <c r="VTO46" s="137"/>
      <c r="VTP46" s="137"/>
      <c r="VTQ46" s="137"/>
      <c r="VTR46" s="137"/>
      <c r="VTS46" s="137"/>
      <c r="VTT46" s="137"/>
      <c r="VTU46" s="137"/>
      <c r="VTV46" s="137"/>
      <c r="VTW46" s="137"/>
      <c r="VTX46" s="137"/>
      <c r="VTY46" s="137"/>
      <c r="VTZ46" s="137"/>
      <c r="VUA46" s="137"/>
      <c r="VUB46" s="137"/>
      <c r="VUC46" s="137"/>
      <c r="VUD46" s="137"/>
      <c r="VUE46" s="137"/>
      <c r="VUF46" s="137"/>
      <c r="VUG46" s="137"/>
      <c r="VUH46" s="137"/>
      <c r="VUI46" s="137"/>
      <c r="VUJ46" s="137"/>
      <c r="VUK46" s="137"/>
      <c r="VUL46" s="137"/>
      <c r="VUM46" s="137"/>
      <c r="VUN46" s="137"/>
      <c r="VUO46" s="137"/>
      <c r="VUP46" s="137"/>
      <c r="VUQ46" s="137"/>
      <c r="VUR46" s="137"/>
      <c r="VUS46" s="137"/>
      <c r="VUT46" s="137"/>
      <c r="VUU46" s="137"/>
      <c r="VUV46" s="137"/>
      <c r="VUW46" s="137"/>
      <c r="VUX46" s="137"/>
      <c r="VUY46" s="137"/>
      <c r="VUZ46" s="137"/>
      <c r="VVA46" s="137"/>
      <c r="VVB46" s="137"/>
      <c r="VVC46" s="137"/>
      <c r="VVD46" s="137"/>
      <c r="VVE46" s="137"/>
      <c r="VVF46" s="137"/>
      <c r="VVG46" s="137"/>
      <c r="VVH46" s="137"/>
      <c r="VVI46" s="137"/>
      <c r="VVJ46" s="137"/>
      <c r="VVK46" s="137"/>
      <c r="VVL46" s="137"/>
      <c r="VVM46" s="137"/>
      <c r="VVN46" s="137"/>
      <c r="VVO46" s="137"/>
      <c r="VVP46" s="137"/>
      <c r="VVQ46" s="137"/>
      <c r="VVR46" s="137"/>
      <c r="VVS46" s="137"/>
      <c r="VVT46" s="137"/>
      <c r="VVU46" s="137"/>
      <c r="VVV46" s="137"/>
      <c r="VVW46" s="137"/>
      <c r="VVX46" s="137"/>
      <c r="VVY46" s="137"/>
      <c r="VVZ46" s="137"/>
      <c r="VWA46" s="137"/>
      <c r="VWB46" s="137"/>
      <c r="VWC46" s="137"/>
      <c r="VWD46" s="137"/>
      <c r="VWE46" s="137"/>
      <c r="VWF46" s="137"/>
      <c r="VWG46" s="137"/>
      <c r="VWH46" s="137"/>
      <c r="VWI46" s="137"/>
      <c r="VWJ46" s="137"/>
      <c r="VWK46" s="137"/>
      <c r="VWL46" s="137"/>
      <c r="VWM46" s="137"/>
      <c r="VWN46" s="137"/>
      <c r="VWO46" s="137"/>
      <c r="VWP46" s="137"/>
      <c r="VWQ46" s="137"/>
      <c r="VWR46" s="137"/>
      <c r="VWS46" s="137"/>
      <c r="VWT46" s="137"/>
      <c r="VWU46" s="137"/>
      <c r="VWV46" s="137"/>
      <c r="VWW46" s="137"/>
      <c r="VWX46" s="137"/>
      <c r="VWY46" s="137"/>
      <c r="VWZ46" s="137"/>
      <c r="VXA46" s="137"/>
      <c r="VXB46" s="137"/>
      <c r="VXC46" s="137"/>
      <c r="VXD46" s="137"/>
      <c r="VXE46" s="137"/>
      <c r="VXF46" s="137"/>
      <c r="VXG46" s="137"/>
      <c r="VXH46" s="137"/>
      <c r="VXI46" s="137"/>
      <c r="VXJ46" s="137"/>
      <c r="VXK46" s="137"/>
      <c r="VXL46" s="137"/>
      <c r="VXM46" s="137"/>
      <c r="VXN46" s="137"/>
      <c r="VXO46" s="137"/>
      <c r="VXP46" s="137"/>
      <c r="VXQ46" s="137"/>
      <c r="VXR46" s="137"/>
      <c r="VXS46" s="137"/>
      <c r="VXT46" s="137"/>
      <c r="VXU46" s="137"/>
      <c r="VXV46" s="137"/>
      <c r="VXW46" s="137"/>
      <c r="VXX46" s="137"/>
      <c r="VXY46" s="137"/>
      <c r="VXZ46" s="137"/>
      <c r="VYA46" s="137"/>
      <c r="VYB46" s="137"/>
      <c r="VYC46" s="137"/>
      <c r="VYD46" s="137"/>
      <c r="VYE46" s="137"/>
      <c r="VYF46" s="137"/>
      <c r="VYG46" s="137"/>
      <c r="VYH46" s="137"/>
      <c r="VYI46" s="137"/>
      <c r="VYJ46" s="137"/>
      <c r="VYK46" s="137"/>
      <c r="VYL46" s="137"/>
      <c r="VYM46" s="137"/>
      <c r="VYN46" s="137"/>
      <c r="VYO46" s="137"/>
      <c r="VYP46" s="137"/>
      <c r="VYQ46" s="137"/>
      <c r="VYR46" s="137"/>
      <c r="VYS46" s="137"/>
      <c r="VYT46" s="137"/>
      <c r="VYU46" s="137"/>
      <c r="VYV46" s="137"/>
      <c r="VYW46" s="137"/>
      <c r="VYX46" s="137"/>
      <c r="VYY46" s="137"/>
      <c r="VYZ46" s="137"/>
      <c r="VZA46" s="137"/>
      <c r="VZB46" s="137"/>
      <c r="VZC46" s="137"/>
      <c r="VZD46" s="137"/>
      <c r="VZE46" s="137"/>
      <c r="VZF46" s="137"/>
      <c r="VZG46" s="137"/>
      <c r="VZH46" s="137"/>
      <c r="VZI46" s="137"/>
      <c r="VZJ46" s="137"/>
      <c r="VZK46" s="137"/>
      <c r="VZL46" s="137"/>
      <c r="VZM46" s="137"/>
      <c r="VZN46" s="137"/>
      <c r="VZO46" s="137"/>
      <c r="VZP46" s="137"/>
      <c r="VZQ46" s="137"/>
      <c r="VZR46" s="137"/>
      <c r="VZS46" s="137"/>
      <c r="VZT46" s="137"/>
      <c r="VZU46" s="137"/>
      <c r="VZV46" s="137"/>
      <c r="VZW46" s="137"/>
      <c r="VZX46" s="137"/>
      <c r="VZY46" s="137"/>
      <c r="VZZ46" s="137"/>
      <c r="WAA46" s="137"/>
      <c r="WAB46" s="137"/>
      <c r="WAC46" s="137"/>
      <c r="WAD46" s="137"/>
      <c r="WAE46" s="137"/>
      <c r="WAF46" s="137"/>
      <c r="WAG46" s="137"/>
      <c r="WAH46" s="137"/>
      <c r="WAI46" s="137"/>
      <c r="WAJ46" s="137"/>
      <c r="WAK46" s="137"/>
      <c r="WAL46" s="137"/>
      <c r="WAM46" s="137"/>
      <c r="WAN46" s="137"/>
      <c r="WAO46" s="137"/>
      <c r="WAP46" s="137"/>
      <c r="WAQ46" s="137"/>
      <c r="WAR46" s="137"/>
      <c r="WAS46" s="137"/>
      <c r="WAT46" s="137"/>
      <c r="WAU46" s="137"/>
      <c r="WAV46" s="137"/>
      <c r="WAW46" s="137"/>
      <c r="WAX46" s="137"/>
      <c r="WAY46" s="137"/>
      <c r="WAZ46" s="137"/>
      <c r="WBA46" s="137"/>
      <c r="WBB46" s="137"/>
      <c r="WBC46" s="137"/>
      <c r="WBD46" s="137"/>
      <c r="WBE46" s="137"/>
      <c r="WBF46" s="137"/>
      <c r="WBG46" s="137"/>
      <c r="WBH46" s="137"/>
      <c r="WBI46" s="137"/>
      <c r="WBJ46" s="137"/>
      <c r="WBK46" s="137"/>
      <c r="WBL46" s="137"/>
      <c r="WBM46" s="137"/>
      <c r="WBN46" s="137"/>
      <c r="WBO46" s="137"/>
      <c r="WBP46" s="137"/>
      <c r="WBQ46" s="137"/>
      <c r="WBR46" s="137"/>
      <c r="WBS46" s="137"/>
      <c r="WBT46" s="137"/>
      <c r="WBU46" s="137"/>
      <c r="WBV46" s="137"/>
      <c r="WBW46" s="137"/>
      <c r="WBX46" s="137"/>
      <c r="WBY46" s="137"/>
      <c r="WBZ46" s="137"/>
      <c r="WCA46" s="137"/>
      <c r="WCB46" s="137"/>
      <c r="WCC46" s="137"/>
      <c r="WCD46" s="137"/>
      <c r="WCE46" s="137"/>
      <c r="WCF46" s="137"/>
      <c r="WCG46" s="137"/>
      <c r="WCH46" s="137"/>
      <c r="WCI46" s="137"/>
      <c r="WCJ46" s="137"/>
      <c r="WCK46" s="137"/>
      <c r="WCL46" s="137"/>
      <c r="WCM46" s="137"/>
      <c r="WCN46" s="137"/>
      <c r="WCO46" s="137"/>
      <c r="WCP46" s="137"/>
      <c r="WCQ46" s="137"/>
      <c r="WCR46" s="137"/>
      <c r="WCS46" s="137"/>
      <c r="WCT46" s="137"/>
      <c r="WCU46" s="137"/>
      <c r="WCV46" s="137"/>
      <c r="WCW46" s="137"/>
      <c r="WCX46" s="137"/>
      <c r="WCY46" s="137"/>
      <c r="WCZ46" s="137"/>
      <c r="WDA46" s="137"/>
      <c r="WDB46" s="137"/>
      <c r="WDC46" s="137"/>
      <c r="WDD46" s="137"/>
      <c r="WDE46" s="137"/>
      <c r="WDF46" s="137"/>
      <c r="WDG46" s="137"/>
      <c r="WDH46" s="137"/>
      <c r="WDI46" s="137"/>
      <c r="WDJ46" s="137"/>
      <c r="WDK46" s="137"/>
      <c r="WDL46" s="137"/>
      <c r="WDM46" s="137"/>
      <c r="WDN46" s="137"/>
      <c r="WDO46" s="137"/>
      <c r="WDP46" s="137"/>
      <c r="WDQ46" s="137"/>
      <c r="WDR46" s="137"/>
      <c r="WDS46" s="137"/>
      <c r="WDT46" s="137"/>
      <c r="WDU46" s="137"/>
      <c r="WDV46" s="137"/>
      <c r="WDW46" s="137"/>
      <c r="WDX46" s="137"/>
      <c r="WDY46" s="137"/>
      <c r="WDZ46" s="137"/>
      <c r="WEA46" s="137"/>
      <c r="WEB46" s="137"/>
      <c r="WEC46" s="137"/>
      <c r="WED46" s="137"/>
      <c r="WEE46" s="137"/>
      <c r="WEF46" s="137"/>
      <c r="WEG46" s="137"/>
      <c r="WEH46" s="137"/>
      <c r="WEI46" s="137"/>
      <c r="WEJ46" s="137"/>
      <c r="WEK46" s="137"/>
      <c r="WEL46" s="137"/>
      <c r="WEM46" s="137"/>
      <c r="WEN46" s="137"/>
      <c r="WEO46" s="137"/>
      <c r="WEP46" s="137"/>
      <c r="WEQ46" s="137"/>
      <c r="WER46" s="137"/>
      <c r="WES46" s="137"/>
      <c r="WET46" s="137"/>
      <c r="WEU46" s="137"/>
      <c r="WEV46" s="137"/>
      <c r="WEW46" s="137"/>
      <c r="WEX46" s="137"/>
      <c r="WEY46" s="137"/>
      <c r="WEZ46" s="137"/>
      <c r="WFA46" s="137"/>
      <c r="WFB46" s="137"/>
      <c r="WFC46" s="137"/>
      <c r="WFD46" s="137"/>
      <c r="WFE46" s="137"/>
      <c r="WFF46" s="137"/>
      <c r="WFG46" s="137"/>
      <c r="WFH46" s="137"/>
      <c r="WFI46" s="137"/>
      <c r="WFJ46" s="137"/>
      <c r="WFK46" s="137"/>
      <c r="WFL46" s="137"/>
      <c r="WFM46" s="137"/>
      <c r="WFN46" s="137"/>
      <c r="WFO46" s="137"/>
      <c r="WFP46" s="137"/>
      <c r="WFQ46" s="137"/>
      <c r="WFR46" s="137"/>
      <c r="WFS46" s="137"/>
      <c r="WFT46" s="137"/>
      <c r="WFU46" s="137"/>
      <c r="WFV46" s="137"/>
      <c r="WFW46" s="137"/>
      <c r="WFX46" s="137"/>
      <c r="WFY46" s="137"/>
      <c r="WFZ46" s="137"/>
      <c r="WGA46" s="137"/>
      <c r="WGB46" s="137"/>
      <c r="WGC46" s="137"/>
      <c r="WGD46" s="137"/>
      <c r="WGE46" s="137"/>
      <c r="WGF46" s="137"/>
      <c r="WGG46" s="137"/>
      <c r="WGH46" s="137"/>
      <c r="WGI46" s="137"/>
      <c r="WGJ46" s="137"/>
      <c r="WGK46" s="137"/>
      <c r="WGL46" s="137"/>
      <c r="WGM46" s="137"/>
      <c r="WGN46" s="137"/>
      <c r="WGO46" s="137"/>
      <c r="WGP46" s="137"/>
      <c r="WGQ46" s="137"/>
      <c r="WGR46" s="137"/>
      <c r="WGS46" s="137"/>
      <c r="WGT46" s="137"/>
      <c r="WGU46" s="137"/>
      <c r="WGV46" s="137"/>
      <c r="WGW46" s="137"/>
      <c r="WGX46" s="137"/>
      <c r="WGY46" s="137"/>
      <c r="WGZ46" s="137"/>
      <c r="WHA46" s="137"/>
      <c r="WHB46" s="137"/>
      <c r="WHC46" s="137"/>
      <c r="WHD46" s="137"/>
      <c r="WHE46" s="137"/>
      <c r="WHF46" s="137"/>
      <c r="WHG46" s="137"/>
      <c r="WHH46" s="137"/>
      <c r="WHI46" s="137"/>
      <c r="WHJ46" s="137"/>
      <c r="WHK46" s="137"/>
      <c r="WHL46" s="137"/>
      <c r="WHM46" s="137"/>
      <c r="WHN46" s="137"/>
      <c r="WHO46" s="137"/>
      <c r="WHP46" s="137"/>
      <c r="WHQ46" s="137"/>
      <c r="WHR46" s="137"/>
      <c r="WHS46" s="137"/>
      <c r="WHT46" s="137"/>
      <c r="WHU46" s="137"/>
      <c r="WHV46" s="137"/>
      <c r="WHW46" s="137"/>
      <c r="WHX46" s="137"/>
      <c r="WHY46" s="137"/>
      <c r="WHZ46" s="137"/>
      <c r="WIA46" s="137"/>
      <c r="WIB46" s="137"/>
      <c r="WIC46" s="137"/>
      <c r="WID46" s="137"/>
      <c r="WIE46" s="137"/>
      <c r="WIF46" s="137"/>
      <c r="WIG46" s="137"/>
      <c r="WIH46" s="137"/>
      <c r="WII46" s="137"/>
      <c r="WIJ46" s="137"/>
      <c r="WIK46" s="137"/>
      <c r="WIL46" s="137"/>
      <c r="WIM46" s="137"/>
      <c r="WIN46" s="137"/>
      <c r="WIO46" s="137"/>
      <c r="WIP46" s="137"/>
      <c r="WIQ46" s="137"/>
      <c r="WIR46" s="137"/>
      <c r="WIS46" s="137"/>
      <c r="WIT46" s="137"/>
      <c r="WIU46" s="137"/>
      <c r="WIV46" s="137"/>
      <c r="WIW46" s="137"/>
      <c r="WIX46" s="137"/>
      <c r="WIY46" s="137"/>
      <c r="WIZ46" s="137"/>
      <c r="WJA46" s="137"/>
      <c r="WJB46" s="137"/>
      <c r="WJC46" s="137"/>
      <c r="WJD46" s="137"/>
      <c r="WJE46" s="137"/>
      <c r="WJF46" s="137"/>
      <c r="WJG46" s="137"/>
      <c r="WJH46" s="137"/>
      <c r="WJI46" s="137"/>
      <c r="WJJ46" s="137"/>
      <c r="WJK46" s="137"/>
      <c r="WJL46" s="137"/>
      <c r="WJM46" s="137"/>
      <c r="WJN46" s="137"/>
      <c r="WJO46" s="137"/>
      <c r="WJP46" s="137"/>
      <c r="WJQ46" s="137"/>
      <c r="WJR46" s="137"/>
      <c r="WJS46" s="137"/>
      <c r="WJT46" s="137"/>
      <c r="WJU46" s="137"/>
      <c r="WJV46" s="137"/>
      <c r="WJW46" s="137"/>
      <c r="WJX46" s="137"/>
      <c r="WJY46" s="137"/>
      <c r="WJZ46" s="137"/>
      <c r="WKA46" s="137"/>
      <c r="WKB46" s="137"/>
      <c r="WKC46" s="137"/>
      <c r="WKD46" s="137"/>
      <c r="WKE46" s="137"/>
      <c r="WKF46" s="137"/>
      <c r="WKG46" s="137"/>
      <c r="WKH46" s="137"/>
      <c r="WKI46" s="137"/>
      <c r="WKJ46" s="137"/>
      <c r="WKK46" s="137"/>
      <c r="WKL46" s="137"/>
      <c r="WKM46" s="137"/>
      <c r="WKN46" s="137"/>
      <c r="WKO46" s="137"/>
      <c r="WKP46" s="137"/>
      <c r="WKQ46" s="137"/>
      <c r="WKR46" s="137"/>
      <c r="WKS46" s="137"/>
      <c r="WKT46" s="137"/>
      <c r="WKU46" s="137"/>
      <c r="WKV46" s="137"/>
      <c r="WKW46" s="137"/>
      <c r="WKX46" s="137"/>
      <c r="WKY46" s="137"/>
      <c r="WKZ46" s="137"/>
      <c r="WLA46" s="137"/>
      <c r="WLB46" s="137"/>
      <c r="WLC46" s="137"/>
      <c r="WLD46" s="137"/>
      <c r="WLE46" s="137"/>
      <c r="WLF46" s="137"/>
      <c r="WLG46" s="137"/>
      <c r="WLH46" s="137"/>
      <c r="WLI46" s="137"/>
      <c r="WLJ46" s="137"/>
      <c r="WLK46" s="137"/>
      <c r="WLL46" s="137"/>
      <c r="WLM46" s="137"/>
      <c r="WLN46" s="137"/>
      <c r="WLO46" s="137"/>
      <c r="WLP46" s="137"/>
      <c r="WLQ46" s="137"/>
      <c r="WLR46" s="137"/>
      <c r="WLS46" s="137"/>
      <c r="WLT46" s="137"/>
      <c r="WLU46" s="137"/>
      <c r="WLV46" s="137"/>
      <c r="WLW46" s="137"/>
      <c r="WLX46" s="137"/>
      <c r="WLY46" s="137"/>
      <c r="WLZ46" s="137"/>
      <c r="WMA46" s="137"/>
      <c r="WMB46" s="137"/>
      <c r="WMC46" s="137"/>
      <c r="WMD46" s="137"/>
      <c r="WME46" s="137"/>
      <c r="WMF46" s="137"/>
      <c r="WMG46" s="137"/>
      <c r="WMH46" s="137"/>
      <c r="WMI46" s="137"/>
      <c r="WMJ46" s="137"/>
      <c r="WMK46" s="137"/>
      <c r="WML46" s="137"/>
      <c r="WMM46" s="137"/>
      <c r="WMN46" s="137"/>
      <c r="WMO46" s="137"/>
      <c r="WMP46" s="137"/>
      <c r="WMQ46" s="137"/>
      <c r="WMR46" s="137"/>
      <c r="WMS46" s="137"/>
      <c r="WMT46" s="137"/>
      <c r="WMU46" s="137"/>
      <c r="WMV46" s="137"/>
      <c r="WMW46" s="137"/>
      <c r="WMX46" s="137"/>
      <c r="WMY46" s="137"/>
      <c r="WMZ46" s="137"/>
      <c r="WNA46" s="137"/>
      <c r="WNB46" s="137"/>
      <c r="WNC46" s="137"/>
      <c r="WND46" s="137"/>
      <c r="WNE46" s="137"/>
      <c r="WNF46" s="137"/>
      <c r="WNG46" s="137"/>
      <c r="WNH46" s="137"/>
      <c r="WNI46" s="137"/>
      <c r="WNJ46" s="137"/>
      <c r="WNK46" s="137"/>
      <c r="WNL46" s="137"/>
      <c r="WNM46" s="137"/>
      <c r="WNN46" s="137"/>
      <c r="WNO46" s="137"/>
      <c r="WNP46" s="137"/>
      <c r="WNQ46" s="137"/>
      <c r="WNR46" s="137"/>
      <c r="WNS46" s="137"/>
      <c r="WNT46" s="137"/>
      <c r="WNU46" s="137"/>
      <c r="WNV46" s="137"/>
      <c r="WNW46" s="137"/>
      <c r="WNX46" s="137"/>
      <c r="WNY46" s="137"/>
      <c r="WNZ46" s="137"/>
      <c r="WOA46" s="137"/>
      <c r="WOB46" s="137"/>
      <c r="WOC46" s="137"/>
      <c r="WOD46" s="137"/>
      <c r="WOE46" s="137"/>
      <c r="WOF46" s="137"/>
      <c r="WOG46" s="137"/>
      <c r="WOH46" s="137"/>
      <c r="WOI46" s="137"/>
      <c r="WOJ46" s="137"/>
      <c r="WOK46" s="137"/>
      <c r="WOL46" s="137"/>
      <c r="WOM46" s="137"/>
      <c r="WON46" s="137"/>
      <c r="WOO46" s="137"/>
      <c r="WOP46" s="137"/>
      <c r="WOQ46" s="137"/>
      <c r="WOR46" s="137"/>
      <c r="WOS46" s="137"/>
      <c r="WOT46" s="137"/>
      <c r="WOU46" s="137"/>
      <c r="WOV46" s="137"/>
      <c r="WOW46" s="137"/>
      <c r="WOX46" s="137"/>
      <c r="WOY46" s="137"/>
      <c r="WOZ46" s="137"/>
      <c r="WPA46" s="137"/>
      <c r="WPB46" s="137"/>
      <c r="WPC46" s="137"/>
      <c r="WPD46" s="137"/>
      <c r="WPE46" s="137"/>
      <c r="WPF46" s="137"/>
      <c r="WPG46" s="137"/>
      <c r="WPH46" s="137"/>
      <c r="WPI46" s="137"/>
      <c r="WPJ46" s="137"/>
      <c r="WPK46" s="137"/>
      <c r="WPL46" s="137"/>
      <c r="WPM46" s="137"/>
      <c r="WPN46" s="137"/>
      <c r="WPO46" s="137"/>
      <c r="WPP46" s="137"/>
      <c r="WPQ46" s="137"/>
      <c r="WPR46" s="137"/>
      <c r="WPS46" s="137"/>
      <c r="WPT46" s="137"/>
      <c r="WPU46" s="137"/>
      <c r="WPV46" s="137"/>
      <c r="WPW46" s="137"/>
      <c r="WPX46" s="137"/>
      <c r="WPY46" s="137"/>
      <c r="WPZ46" s="137"/>
      <c r="WQA46" s="137"/>
      <c r="WQB46" s="137"/>
      <c r="WQC46" s="137"/>
      <c r="WQD46" s="137"/>
      <c r="WQE46" s="137"/>
      <c r="WQF46" s="137"/>
      <c r="WQG46" s="137"/>
      <c r="WQH46" s="137"/>
      <c r="WQI46" s="137"/>
      <c r="WQJ46" s="137"/>
      <c r="WQK46" s="137"/>
      <c r="WQL46" s="137"/>
      <c r="WQM46" s="137"/>
      <c r="WQN46" s="137"/>
      <c r="WQO46" s="137"/>
      <c r="WQP46" s="137"/>
      <c r="WQQ46" s="137"/>
      <c r="WQR46" s="137"/>
      <c r="WQS46" s="137"/>
      <c r="WQT46" s="137"/>
      <c r="WQU46" s="137"/>
      <c r="WQV46" s="137"/>
      <c r="WQW46" s="137"/>
      <c r="WQX46" s="137"/>
      <c r="WQY46" s="137"/>
      <c r="WQZ46" s="137"/>
      <c r="WRA46" s="137"/>
      <c r="WRB46" s="137"/>
      <c r="WRC46" s="137"/>
      <c r="WRD46" s="137"/>
      <c r="WRE46" s="137"/>
      <c r="WRF46" s="137"/>
      <c r="WRG46" s="137"/>
      <c r="WRH46" s="137"/>
      <c r="WRI46" s="137"/>
      <c r="WRJ46" s="137"/>
      <c r="WRK46" s="137"/>
      <c r="WRL46" s="137"/>
      <c r="WRM46" s="137"/>
      <c r="WRN46" s="137"/>
      <c r="WRO46" s="137"/>
      <c r="WRP46" s="137"/>
      <c r="WRQ46" s="137"/>
      <c r="WRR46" s="137"/>
      <c r="WRS46" s="137"/>
      <c r="WRT46" s="137"/>
      <c r="WRU46" s="137"/>
      <c r="WRV46" s="137"/>
      <c r="WRW46" s="137"/>
      <c r="WRX46" s="137"/>
      <c r="WRY46" s="137"/>
      <c r="WRZ46" s="137"/>
      <c r="WSA46" s="137"/>
      <c r="WSB46" s="137"/>
      <c r="WSC46" s="137"/>
      <c r="WSD46" s="137"/>
      <c r="WSE46" s="137"/>
      <c r="WSF46" s="137"/>
      <c r="WSG46" s="137"/>
      <c r="WSH46" s="137"/>
      <c r="WSI46" s="137"/>
      <c r="WSJ46" s="137"/>
      <c r="WSK46" s="137"/>
      <c r="WSL46" s="137"/>
      <c r="WSM46" s="137"/>
      <c r="WSN46" s="137"/>
      <c r="WSO46" s="137"/>
      <c r="WSP46" s="137"/>
      <c r="WSQ46" s="137"/>
      <c r="WSR46" s="137"/>
      <c r="WSS46" s="137"/>
      <c r="WST46" s="137"/>
      <c r="WSU46" s="137"/>
      <c r="WSV46" s="137"/>
      <c r="WSW46" s="137"/>
      <c r="WSX46" s="137"/>
      <c r="WSY46" s="137"/>
      <c r="WSZ46" s="137"/>
      <c r="WTA46" s="137"/>
      <c r="WTB46" s="137"/>
      <c r="WTC46" s="137"/>
      <c r="WTD46" s="137"/>
      <c r="WTE46" s="137"/>
      <c r="WTF46" s="137"/>
      <c r="WTG46" s="137"/>
      <c r="WTH46" s="137"/>
      <c r="WTI46" s="137"/>
      <c r="WTJ46" s="137"/>
      <c r="WTK46" s="137"/>
      <c r="WTL46" s="137"/>
      <c r="WTM46" s="137"/>
      <c r="WTN46" s="137"/>
      <c r="WTO46" s="137"/>
      <c r="WTP46" s="137"/>
      <c r="WTQ46" s="137"/>
      <c r="WTR46" s="137"/>
      <c r="WTS46" s="137"/>
      <c r="WTT46" s="137"/>
      <c r="WTU46" s="137"/>
      <c r="WTV46" s="137"/>
      <c r="WTW46" s="137"/>
      <c r="WTX46" s="137"/>
      <c r="WTY46" s="137"/>
      <c r="WTZ46" s="137"/>
      <c r="WUA46" s="137"/>
      <c r="WUB46" s="137"/>
      <c r="WUC46" s="137"/>
      <c r="WUD46" s="137"/>
      <c r="WUE46" s="137"/>
      <c r="WUF46" s="137"/>
      <c r="WUG46" s="137"/>
      <c r="WUH46" s="137"/>
      <c r="WUI46" s="137"/>
      <c r="WUJ46" s="137"/>
      <c r="WUK46" s="137"/>
      <c r="WUL46" s="137"/>
      <c r="WUM46" s="137"/>
      <c r="WUN46" s="137"/>
      <c r="WUO46" s="137"/>
      <c r="WUP46" s="137"/>
      <c r="WUQ46" s="137"/>
      <c r="WUR46" s="137"/>
      <c r="WUS46" s="137"/>
      <c r="WUT46" s="137"/>
      <c r="WUU46" s="137"/>
      <c r="WUV46" s="137"/>
      <c r="WUW46" s="137"/>
      <c r="WUX46" s="137"/>
      <c r="WUY46" s="137"/>
      <c r="WUZ46" s="137"/>
      <c r="WVA46" s="137"/>
      <c r="WVB46" s="137"/>
      <c r="WVC46" s="137"/>
      <c r="WVD46" s="137"/>
      <c r="WVE46" s="137"/>
      <c r="WVF46" s="137"/>
      <c r="WVG46" s="137"/>
      <c r="WVH46" s="137"/>
      <c r="WVI46" s="137"/>
      <c r="WVJ46" s="137"/>
      <c r="WVK46" s="137"/>
      <c r="WVL46" s="137"/>
      <c r="WVM46" s="137"/>
      <c r="WVN46" s="137"/>
      <c r="WVO46" s="137"/>
      <c r="WVP46" s="137"/>
      <c r="WVQ46" s="137"/>
      <c r="WVR46" s="137"/>
      <c r="WVS46" s="137"/>
      <c r="WVT46" s="137"/>
      <c r="WVU46" s="137"/>
      <c r="WVV46" s="137"/>
      <c r="WVW46" s="137"/>
      <c r="WVX46" s="137"/>
      <c r="WVY46" s="137"/>
      <c r="WVZ46" s="137"/>
      <c r="WWA46" s="137"/>
      <c r="WWB46" s="137"/>
      <c r="WWC46" s="137"/>
      <c r="WWD46" s="137"/>
      <c r="WWE46" s="137"/>
      <c r="WWF46" s="137"/>
      <c r="WWG46" s="137"/>
      <c r="WWH46" s="137"/>
      <c r="WWI46" s="137"/>
      <c r="WWJ46" s="137"/>
      <c r="WWK46" s="137"/>
      <c r="WWL46" s="137"/>
      <c r="WWM46" s="137"/>
      <c r="WWN46" s="137"/>
      <c r="WWO46" s="137"/>
      <c r="WWP46" s="137"/>
      <c r="WWQ46" s="137"/>
      <c r="WWR46" s="137"/>
      <c r="WWS46" s="137"/>
      <c r="WWT46" s="137"/>
      <c r="WWU46" s="137"/>
      <c r="WWV46" s="137"/>
      <c r="WWW46" s="137"/>
      <c r="WWX46" s="137"/>
      <c r="WWY46" s="137"/>
      <c r="WWZ46" s="137"/>
      <c r="WXA46" s="137"/>
      <c r="WXB46" s="137"/>
      <c r="WXC46" s="137"/>
      <c r="WXD46" s="137"/>
      <c r="WXE46" s="137"/>
      <c r="WXF46" s="137"/>
      <c r="WXG46" s="137"/>
      <c r="WXH46" s="137"/>
      <c r="WXI46" s="137"/>
      <c r="WXJ46" s="137"/>
      <c r="WXK46" s="137"/>
      <c r="WXL46" s="137"/>
      <c r="WXM46" s="137"/>
      <c r="WXN46" s="137"/>
      <c r="WXO46" s="137"/>
      <c r="WXP46" s="137"/>
      <c r="WXQ46" s="137"/>
      <c r="WXR46" s="137"/>
      <c r="WXS46" s="137"/>
      <c r="WXT46" s="137"/>
      <c r="WXU46" s="137"/>
      <c r="WXV46" s="137"/>
      <c r="WXW46" s="137"/>
      <c r="WXX46" s="137"/>
      <c r="WXY46" s="137"/>
      <c r="WXZ46" s="137"/>
      <c r="WYA46" s="137"/>
      <c r="WYB46" s="137"/>
      <c r="WYC46" s="137"/>
      <c r="WYD46" s="137"/>
      <c r="WYE46" s="137"/>
      <c r="WYF46" s="137"/>
      <c r="WYG46" s="137"/>
      <c r="WYH46" s="137"/>
      <c r="WYI46" s="137"/>
      <c r="WYJ46" s="137"/>
      <c r="WYK46" s="137"/>
      <c r="WYL46" s="137"/>
      <c r="WYM46" s="137"/>
      <c r="WYN46" s="137"/>
      <c r="WYO46" s="137"/>
      <c r="WYP46" s="137"/>
      <c r="WYQ46" s="137"/>
      <c r="WYR46" s="137"/>
      <c r="WYS46" s="137"/>
      <c r="WYT46" s="137"/>
      <c r="WYU46" s="137"/>
      <c r="WYV46" s="137"/>
      <c r="WYW46" s="137"/>
      <c r="WYX46" s="137"/>
      <c r="WYY46" s="137"/>
      <c r="WYZ46" s="137"/>
      <c r="WZA46" s="137"/>
      <c r="WZB46" s="137"/>
      <c r="WZC46" s="137"/>
      <c r="WZD46" s="137"/>
      <c r="WZE46" s="137"/>
      <c r="WZF46" s="137"/>
      <c r="WZG46" s="137"/>
      <c r="WZH46" s="137"/>
      <c r="WZI46" s="137"/>
      <c r="WZJ46" s="137"/>
      <c r="WZK46" s="137"/>
      <c r="WZL46" s="137"/>
      <c r="WZM46" s="137"/>
      <c r="WZN46" s="137"/>
      <c r="WZO46" s="137"/>
      <c r="WZP46" s="137"/>
      <c r="WZQ46" s="137"/>
      <c r="WZR46" s="137"/>
      <c r="WZS46" s="137"/>
      <c r="WZT46" s="137"/>
      <c r="WZU46" s="137"/>
      <c r="WZV46" s="137"/>
      <c r="WZW46" s="137"/>
      <c r="WZX46" s="137"/>
      <c r="WZY46" s="137"/>
      <c r="WZZ46" s="137"/>
      <c r="XAA46" s="137"/>
      <c r="XAB46" s="137"/>
      <c r="XAC46" s="137"/>
      <c r="XAD46" s="137"/>
      <c r="XAE46" s="137"/>
      <c r="XAF46" s="137"/>
      <c r="XAG46" s="137"/>
      <c r="XAH46" s="137"/>
      <c r="XAI46" s="137"/>
      <c r="XAJ46" s="137"/>
      <c r="XAK46" s="137"/>
      <c r="XAL46" s="137"/>
      <c r="XAM46" s="137"/>
      <c r="XAN46" s="137"/>
      <c r="XAO46" s="137"/>
      <c r="XAP46" s="137"/>
      <c r="XAQ46" s="137"/>
      <c r="XAR46" s="137"/>
      <c r="XAS46" s="137"/>
      <c r="XAT46" s="137"/>
      <c r="XAU46" s="137"/>
      <c r="XAV46" s="137"/>
      <c r="XAW46" s="137"/>
      <c r="XAX46" s="137"/>
      <c r="XAY46" s="137"/>
      <c r="XAZ46" s="137"/>
      <c r="XBA46" s="137"/>
      <c r="XBB46" s="137"/>
      <c r="XBC46" s="137"/>
      <c r="XBD46" s="137"/>
      <c r="XBE46" s="137"/>
      <c r="XBF46" s="137"/>
      <c r="XBG46" s="137"/>
      <c r="XBH46" s="137"/>
      <c r="XBI46" s="137"/>
      <c r="XBJ46" s="137"/>
      <c r="XBK46" s="137"/>
      <c r="XBL46" s="137"/>
      <c r="XBM46" s="137"/>
      <c r="XBN46" s="137"/>
      <c r="XBO46" s="137"/>
      <c r="XBP46" s="137"/>
      <c r="XBQ46" s="137"/>
      <c r="XBR46" s="137"/>
      <c r="XBS46" s="137"/>
      <c r="XBT46" s="137"/>
      <c r="XBU46" s="137"/>
      <c r="XBV46" s="137"/>
      <c r="XBW46" s="137"/>
      <c r="XBX46" s="137"/>
      <c r="XBY46" s="137"/>
      <c r="XBZ46" s="137"/>
      <c r="XCA46" s="137"/>
      <c r="XCB46" s="137"/>
      <c r="XCC46" s="137"/>
      <c r="XCD46" s="137"/>
      <c r="XCE46" s="137"/>
      <c r="XCF46" s="137"/>
      <c r="XCG46" s="137"/>
      <c r="XCH46" s="137"/>
      <c r="XCI46" s="137"/>
      <c r="XCJ46" s="137"/>
      <c r="XCK46" s="137"/>
      <c r="XCL46" s="137"/>
      <c r="XCM46" s="137"/>
      <c r="XCN46" s="137"/>
      <c r="XCO46" s="137"/>
      <c r="XCP46" s="137"/>
      <c r="XCQ46" s="137"/>
      <c r="XCR46" s="137"/>
      <c r="XCS46" s="137"/>
      <c r="XCT46" s="137"/>
      <c r="XCU46" s="137"/>
      <c r="XCV46" s="137"/>
      <c r="XCW46" s="137"/>
      <c r="XCX46" s="137"/>
      <c r="XCY46" s="137"/>
      <c r="XCZ46" s="137"/>
      <c r="XDA46" s="137"/>
      <c r="XDB46" s="137"/>
      <c r="XDC46" s="137"/>
      <c r="XDD46" s="137"/>
      <c r="XDE46" s="137"/>
      <c r="XDF46" s="137"/>
      <c r="XDG46" s="137"/>
      <c r="XDH46" s="137"/>
      <c r="XDI46" s="137"/>
      <c r="XDJ46" s="137"/>
      <c r="XDK46" s="137"/>
      <c r="XDL46" s="137"/>
      <c r="XDM46" s="137"/>
      <c r="XDN46" s="137"/>
      <c r="XDO46" s="137"/>
      <c r="XDP46" s="137"/>
      <c r="XDQ46" s="137"/>
      <c r="XDR46" s="137"/>
      <c r="XDS46" s="137"/>
      <c r="XDT46" s="137"/>
      <c r="XDU46" s="137"/>
      <c r="XDV46" s="137"/>
      <c r="XDW46" s="137"/>
      <c r="XDX46" s="137"/>
      <c r="XDY46" s="137"/>
      <c r="XDZ46" s="137"/>
      <c r="XEA46" s="137"/>
      <c r="XEB46" s="137"/>
      <c r="XEC46" s="137"/>
      <c r="XED46" s="137"/>
      <c r="XEE46" s="137"/>
      <c r="XEF46" s="137"/>
      <c r="XEG46" s="137"/>
      <c r="XEH46" s="137"/>
      <c r="XEI46" s="137"/>
      <c r="XEJ46" s="137"/>
      <c r="XEK46" s="137"/>
      <c r="XEL46" s="137"/>
      <c r="XEM46" s="137"/>
      <c r="XEN46" s="137"/>
      <c r="XEO46" s="137"/>
      <c r="XEP46" s="137"/>
      <c r="XEQ46" s="137"/>
      <c r="XER46" s="137"/>
      <c r="XES46" s="137"/>
      <c r="XET46" s="137"/>
      <c r="XEU46" s="137"/>
      <c r="XEV46" s="137"/>
      <c r="XEW46" s="137"/>
      <c r="XEX46" s="137"/>
      <c r="XEY46" s="137"/>
      <c r="XEZ46" s="137"/>
      <c r="XFA46" s="137"/>
      <c r="XFB46" s="137"/>
      <c r="XFC46" s="137"/>
    </row>
    <row r="47" spans="1:16383" s="98" customFormat="1" ht="20" customHeight="1">
      <c r="A47" s="140"/>
      <c r="B47" s="141"/>
      <c r="C47" s="141"/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2"/>
      <c r="T47" s="143"/>
    </row>
    <row r="48" spans="1:16383" s="98" customFormat="1" ht="20" customHeight="1">
      <c r="A48" s="144" t="s">
        <v>67</v>
      </c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5"/>
    </row>
    <row r="49" spans="1:21" s="98" customFormat="1" ht="20" customHeight="1">
      <c r="A49" s="146" t="s">
        <v>68</v>
      </c>
      <c r="B49" s="146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5"/>
    </row>
    <row r="50" spans="1:21" s="98" customFormat="1" ht="20" customHeight="1">
      <c r="A50" s="101" t="s">
        <v>48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47" t="s">
        <v>69</v>
      </c>
      <c r="S50" s="147"/>
      <c r="T50" s="145"/>
    </row>
    <row r="51" spans="1:21" s="98" customFormat="1" ht="20" customHeight="1">
      <c r="A51" s="147"/>
      <c r="B51" s="147"/>
      <c r="C51" s="147"/>
      <c r="D51" s="147"/>
      <c r="E51" s="147"/>
      <c r="F51" s="147"/>
      <c r="G51" s="147"/>
      <c r="H51" s="147"/>
      <c r="I51" s="102" t="s">
        <v>10</v>
      </c>
      <c r="J51" s="102" t="s">
        <v>53</v>
      </c>
      <c r="K51" s="102" t="s">
        <v>54</v>
      </c>
      <c r="L51" s="102" t="s">
        <v>55</v>
      </c>
      <c r="M51" s="102" t="s">
        <v>56</v>
      </c>
      <c r="N51" s="102" t="s">
        <v>70</v>
      </c>
      <c r="O51" s="102" t="s">
        <v>71</v>
      </c>
      <c r="P51" s="102" t="s">
        <v>72</v>
      </c>
      <c r="Q51" s="102" t="s">
        <v>73</v>
      </c>
      <c r="R51" s="147"/>
      <c r="S51" s="147"/>
      <c r="T51" s="145"/>
    </row>
    <row r="52" spans="1:21" s="98" customFormat="1" ht="20" customHeight="1">
      <c r="A52" s="148" t="s">
        <v>61</v>
      </c>
      <c r="B52" s="148"/>
      <c r="C52" s="148"/>
      <c r="D52" s="148"/>
      <c r="E52" s="148"/>
      <c r="F52" s="148"/>
      <c r="G52" s="148"/>
      <c r="H52" s="148"/>
      <c r="I52" s="107">
        <f>47+194+1-2+1-3-238+13+3+11+2-10+239+25-8+1-1-1-2+1-1-27-2-100-1-1-1</f>
        <v>140</v>
      </c>
      <c r="J52" s="107">
        <f>49+375-10-1-1+1-4-2-13+1-1+5-3-396+35+2+10-2-1+2+2-30+306+1-3+80-8+1-4-2-3-3-3-10-1-2+1-1-1-3-1-1-1-1-3-1-2-1-3-3-100-2-4-1+100-1-1+1-10</f>
        <v>328</v>
      </c>
      <c r="K52" s="107">
        <f>46+30-1-4-6-6+2+1-4-9-1-1-1-1-1-1+12-9-3-43+5+10+11-2+1+1-4-1+1+27+10-8-1+150-12+1-9-3-12-5-5-7-15-1-4+1-14-2-1-3-3-2-1-21-1-1-6-19-3-50-2+100-1-1-2-1-1-1-1+1-1-6</f>
        <v>86</v>
      </c>
      <c r="L52" s="107">
        <f>0+12-1-1-8-2+3+10+5-2-6-1+2-6-1-2-3+1+50-11-35+1+126-2-1-6-1-13-5-13-7-5-1-4-1+1-9-1-1-4-1-1-1-1-4-2-9-2-1-6-1-14-15+50-1-1-1-1+1-1-1</f>
        <v>45</v>
      </c>
      <c r="M52" s="118">
        <f>1-1+45-40-2-3+2-2+2+1-2-1+80-11-9+1-4-11-3-1-6-6-1+1-3-1-10-1-2-1-1-5-4-2+20-1-1-1-1+1-1-1-3</f>
        <v>12</v>
      </c>
      <c r="N52" s="107">
        <f>0+2-1-1+1-1+3-1+1-3+1-1+49-7-2-3-1+1-1-1-1-2-3-1+1-14-3-1-1+1-1</f>
        <v>10</v>
      </c>
      <c r="O52" s="107">
        <f>0+5-1-1-3+1-1+1+1+25-7-1+1-1-2-1-1+1-1+1-1-1+1-1</f>
        <v>14</v>
      </c>
      <c r="P52" s="107">
        <f>5-1-4+5-1-3+8-1+1</f>
        <v>9</v>
      </c>
      <c r="Q52" s="107">
        <f>6-1-5+12+2+8-1+1</f>
        <v>22</v>
      </c>
      <c r="R52" s="149">
        <f>SUM(I52:Q52)</f>
        <v>666</v>
      </c>
      <c r="S52" s="149"/>
      <c r="T52" s="145"/>
    </row>
    <row r="53" spans="1:21" s="98" customFormat="1" ht="19.5" customHeight="1">
      <c r="A53" s="150" t="s">
        <v>74</v>
      </c>
      <c r="B53" s="150"/>
      <c r="C53" s="150"/>
      <c r="D53" s="150"/>
      <c r="E53" s="150"/>
      <c r="F53" s="150"/>
      <c r="G53" s="150"/>
      <c r="H53" s="150"/>
      <c r="I53" s="107">
        <f>0+6+3+3-3-6-1-2+74-8-8+2-2+1-2-2+30+10+1-2-1-8-2</f>
        <v>83</v>
      </c>
      <c r="J53" s="107">
        <f>19-19+2+1+4-1-5-1+131-25-1-25-1-5-12-10-13+35-20+19-2+1-3-1-3-1-1+1+100-1+30-1-1+1-2-1-6-8-6-28-1-3-3-2-9-6-1-2-2-2</f>
        <v>110</v>
      </c>
      <c r="K53" s="107">
        <f>22+1-22-1+1-7-17+23+10-10+5-1-1-3+19-19+2+3+22-1-10-1-5+77-32-39-5-3-7+120-40-5-1-10-2-5-3-5+20-1+160-1-1+51-1+1-5-3-1-5-16-9-1-14-52-1-1-2-1-9-21-1-13-1+1-6-3-1-1-4</f>
        <v>108</v>
      </c>
      <c r="L53" s="107">
        <f>19-19+1+15-16+14-1-1-2-10+42-2-23-17+3+115-12-46+73-5-24-38-7-17+40-20-5+13-9-1-1-1-5-3-7-1-1+159+35-1-1+1-1-2-6-32-1-15-16-41-1-1-18-19-9-1-1-1-12-5-1-1-1-1-8</f>
        <v>40</v>
      </c>
      <c r="M53" s="107">
        <f>9+2-9-1-1+3-2-1+100-8-5-8-16-8-2-5-1-1+2-1-3+28-4-3-1-3-2+50-1-1+1-2-3-1-16-4-1-10-13-6-9-7-3-2-2-5</f>
        <v>24</v>
      </c>
      <c r="N53" s="130">
        <f>23+13+13-23-13-13+2-6+4+2-2+1+80-2-1-2-2-1+15+1-1-3-3-1-2-1-1-6-2-2</f>
        <v>67</v>
      </c>
      <c r="O53" s="118">
        <f>2-2-1+1+1+1+1-1-2+38-1-2-1+15-1</f>
        <v>48</v>
      </c>
      <c r="P53" s="118">
        <f>10+2-1</f>
        <v>11</v>
      </c>
      <c r="Q53" s="118">
        <f>10+2-1</f>
        <v>11</v>
      </c>
      <c r="R53" s="149">
        <f>SUM(I53:Q53)</f>
        <v>502</v>
      </c>
      <c r="S53" s="149"/>
      <c r="T53" s="145"/>
    </row>
    <row r="54" spans="1:21" s="98" customFormat="1" ht="19.5" customHeight="1">
      <c r="A54" s="140"/>
      <c r="B54" s="141"/>
      <c r="C54" s="141"/>
      <c r="D54" s="141"/>
      <c r="E54" s="141"/>
      <c r="F54" s="141"/>
      <c r="G54" s="141"/>
      <c r="H54" s="141"/>
      <c r="I54" s="125"/>
      <c r="J54" s="125"/>
      <c r="K54" s="125"/>
      <c r="L54" s="125"/>
      <c r="M54" s="125"/>
      <c r="N54" s="125"/>
      <c r="O54" s="125"/>
      <c r="P54" s="141"/>
      <c r="Q54" s="141"/>
      <c r="R54" s="151">
        <f>SUM(R52:R53)</f>
        <v>1168</v>
      </c>
      <c r="S54" s="151"/>
      <c r="T54" s="145"/>
    </row>
    <row r="55" spans="1:21" s="98" customFormat="1" ht="19.5" customHeight="1">
      <c r="A55" s="140"/>
      <c r="B55" s="141"/>
      <c r="C55" s="141"/>
      <c r="D55" s="141"/>
      <c r="E55" s="141"/>
      <c r="F55" s="141"/>
      <c r="G55" s="141"/>
      <c r="H55" s="141"/>
      <c r="I55" s="125"/>
      <c r="J55" s="125"/>
      <c r="K55" s="125"/>
      <c r="L55" s="125"/>
      <c r="M55" s="125"/>
      <c r="N55" s="125"/>
      <c r="O55" s="125"/>
      <c r="P55" s="141"/>
      <c r="Q55" s="141"/>
      <c r="R55" s="152"/>
      <c r="S55" s="152"/>
      <c r="T55" s="145"/>
    </row>
    <row r="56" spans="1:21" s="98" customFormat="1" ht="19.5" customHeight="1">
      <c r="A56" s="140"/>
      <c r="B56" s="141"/>
      <c r="C56" s="141"/>
      <c r="D56" s="141"/>
      <c r="E56" s="141"/>
      <c r="F56" s="141"/>
      <c r="G56" s="141"/>
      <c r="H56" s="141"/>
      <c r="I56" s="125"/>
      <c r="J56" s="125"/>
      <c r="K56" s="125"/>
      <c r="L56" s="125"/>
      <c r="M56" s="125"/>
      <c r="N56" s="125"/>
      <c r="O56" s="125"/>
      <c r="P56" s="141"/>
      <c r="Q56" s="141"/>
      <c r="R56" s="152"/>
      <c r="S56" s="152"/>
      <c r="T56" s="145"/>
    </row>
    <row r="57" spans="1:21" s="98" customFormat="1" ht="54.5" customHeight="1">
      <c r="A57" s="97" t="s">
        <v>75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</row>
    <row r="58" spans="1:21" s="98" customFormat="1" ht="39.75" customHeight="1">
      <c r="A58" s="153"/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154"/>
      <c r="T58" s="154"/>
    </row>
    <row r="59" spans="1:21" s="98" customFormat="1" ht="47.25" customHeight="1">
      <c r="A59" s="155" t="s">
        <v>76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</row>
    <row r="60" spans="1:21" s="98" customFormat="1" ht="20" customHeight="1" thickBot="1">
      <c r="A60" s="156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</row>
    <row r="61" spans="1:21" s="98" customFormat="1" ht="20" customHeight="1">
      <c r="A61" s="157"/>
      <c r="B61" s="158" t="s">
        <v>3</v>
      </c>
      <c r="C61" s="158"/>
      <c r="D61" s="158"/>
      <c r="E61" s="158"/>
      <c r="F61" s="158"/>
      <c r="G61" s="158"/>
      <c r="H61" s="158"/>
      <c r="I61" s="158"/>
      <c r="J61" s="158"/>
      <c r="K61" s="104"/>
      <c r="L61" s="104"/>
      <c r="M61" s="101" t="s">
        <v>4</v>
      </c>
      <c r="N61" s="101"/>
      <c r="O61" s="101"/>
      <c r="P61" s="101"/>
      <c r="Q61" s="101"/>
      <c r="R61" s="101"/>
      <c r="S61" s="101"/>
      <c r="T61" s="101"/>
    </row>
    <row r="62" spans="1:21" s="98" customFormat="1" ht="20" customHeight="1">
      <c r="A62" s="159" t="s">
        <v>77</v>
      </c>
      <c r="B62" s="104" t="s">
        <v>10</v>
      </c>
      <c r="C62" s="104" t="s">
        <v>53</v>
      </c>
      <c r="D62" s="104" t="s">
        <v>54</v>
      </c>
      <c r="E62" s="104" t="s">
        <v>55</v>
      </c>
      <c r="F62" s="104" t="s">
        <v>56</v>
      </c>
      <c r="G62" s="104" t="s">
        <v>15</v>
      </c>
      <c r="H62" s="104" t="s">
        <v>16</v>
      </c>
      <c r="I62" s="104" t="s">
        <v>17</v>
      </c>
      <c r="J62" s="104" t="s">
        <v>18</v>
      </c>
      <c r="K62" s="104" t="s">
        <v>10</v>
      </c>
      <c r="L62" s="104" t="s">
        <v>11</v>
      </c>
      <c r="M62" s="104" t="s">
        <v>54</v>
      </c>
      <c r="N62" s="104" t="s">
        <v>55</v>
      </c>
      <c r="O62" s="104" t="s">
        <v>56</v>
      </c>
      <c r="P62" s="104" t="s">
        <v>15</v>
      </c>
      <c r="Q62" s="104" t="s">
        <v>16</v>
      </c>
      <c r="R62" s="104" t="s">
        <v>17</v>
      </c>
      <c r="S62" s="104" t="s">
        <v>18</v>
      </c>
      <c r="T62" s="160" t="s">
        <v>57</v>
      </c>
    </row>
    <row r="63" spans="1:21" s="98" customFormat="1" ht="44.25" customHeight="1">
      <c r="A63" s="161" t="s">
        <v>19</v>
      </c>
      <c r="B63" s="107">
        <f>25+60+11-6-1-2+1-15+1-1+1-2-1-1-2-2-6-1-3-1-1-1-1-1-2-1-1-1-2-1-2-3-2-2-1-2-1-1-1-4-1-1-2-2-11-1-6+14-1-1-1-1-1+1-1-9+1-1+4-3-1+50-5-1+30-1-47-17-1-1-2-2-1+1-3+50-1-2-1-1-1-2-1-1</f>
        <v>40</v>
      </c>
      <c r="C63" s="107">
        <f>1+51+48+50+50+35+50+62+50+50+4-2-1+1-1-6-1+1-1-1-1+150-1-1-1-1-1-2-1-1-1-1-1+3+1-2+1+1-25-6-4-1-2+1-2-2-6-5-3-8-1-3-4-1-3-1+30-10-1+2+1-1-1-29-29-1-1-3-3-23-2-1-1+8-1-1-9-1+1-20-1-1-2-2-1-1-3-2-20-1-1-1-5-9+4-3-3-1-2-3-1-1-3-1-2-3-1-2-21-1-2-1-1-3-1-1-1-4-11-1-1-1+1-3-6-1-14-3-1-1-5-4-1-1-1-1-1+1-1-20-46-2-2-1-50-1-1-2-1-1-1-2-1-1-1-1+2-1-6-2-2-2-3-2-6+2-1-6-3-1+23-5-1-1-1-1+1-11-1-2-1-2-2-1-2-1-2-7-4-1-1-1-1-1-2-2-1-1-1-1-3-1-1+3-2-1-1-3-1-1-1-1-9-3-2-1-2-2-1-1-1-1-1-2-1-4-2+100-5-2-3-1-2-1+50-98-1-1-1-1-1-2-1+1-1-1-1-1-2-3-6-1-3-4-1-2-1-1-3+1-1+70-1-25-1-6-37+25-1-5-1-2-1-1-1-1-1-1-9-1</f>
        <v>0</v>
      </c>
      <c r="D63" s="107">
        <f>13-8-1-1-2-1+31-2-2-1-2-5-4-1-3-2-2-1-1-2-1-1-1+8-1-2-3-2+100-7-2-8-2-1-2+150-142-7-6-1-2-1-1-1-1-2-19-1-3-2-1-1+1-1-1-1-3-1-1-1-2-1-5-1-3-3-4-10+10+120-10-1-2-3-1-1-29-1-1-6-1-1-10-2-2-1-3-4-29-9-1-1-1+29-5-3-1-2-1-3-2-5-1-1-1-3-1-1-1-8</f>
        <v>0</v>
      </c>
      <c r="E63" s="107">
        <f>45+41+45+45+45+65+37+9+13-1-1+23-1-18-2-8-1-1-3-1-1-2-1-2-1-3-1-1-2+5+1+2-1-4-2+1+1-7-2+1-2-1-1-1-1-1-4-1-1-3-1-1-5-10-1-1-2-1-1-1-2-2-13-10-1-1-10-4-1+5-2-1-1-19-7-1-1-3-2-1-2-3-22-1-1-3-2+3-1-2-3-1-29-1-1-1-2-1-1-2-2-1-2-3-2-1-1-1-2-1-3-2-2+1-3-1-9-1-1-6-3-1-4-1-1-1-2-7-4-2-2-4-1-1-1-9-2-2-2-1-1-1-3-1+1-11-9+79-1-26-1-1-3-1-1-2-1-2-1-1-2-1-2-1-2-1-2+1-1-7-3-1-1-1+1+4+119+227-2-5-30-65-3-1+182-1-6-2-2-1+13-1+1-1+1-5-1-4-1-2-2-1-2-1-1-1-1-1-1-2-1-1-7-2-5-1-1-2-7-5-8-9-1-2-1-2-1-1-1-2-3-1-8-10-114-2-1-1-1-1-1-1+3-3-1-1-5-1-1-1-2-6-4-4-2-1-3-1-2-1-1-1-2-13-5-1-1-1-2-1-1-5-1-1-6-2-7-1-3-1+70-162-1-17-1-4-1-2-2+119-3-1-3+10-10-1-1-2-4-3-2-3-3-10-1-1-4-5-3-69+69-2-2-1-6-1-1-6-1-2-2-1-1-1-9-2-4-2-1-3-1-3-1</f>
        <v>16</v>
      </c>
      <c r="F63" s="107">
        <f>1-1+19-1-1+3+2-2+1-2-1+100-1-4-4-1-2-11-2-1-3-1+40-5-2+4-1-1-1-6-4-1-1-1-1-2-2-1-11-1-1+3-1-1-13-2-1-1-1-2-1-1-1-1-1-1-3-1-4-3-1-1-4-1-3-2-2-2-4-2-32+37-3-32-2+2+55+200-2-2-20-36-1-2-4-1+1-2-1-1-2-1-1-2-11-1-1-2-1-1-1-2-1-1-1+2-1-3-4-1-1-1-2-1-1-1-3-1-1-1-1-79-37-4-3-1-1-2-1-1-5-1-1+1-1+60-1-1-2-1-6-1-1-2-1-1-1-5-1-1-1-11</f>
        <v>23</v>
      </c>
      <c r="G63" s="107">
        <f>45+27+12+1-1-2-1+30-1-2-1-1-1+5+3-1+1-1-1-1-3-7-2-3-1-1-8-1-3+2-2-1-1-4-2-1-1-2-1-1-2-1-2-1-1-3-2-1-2-1-7-1-1-4-6-2-1-1-15-1-12+50+1+50+1-4+1-1-1-3-1-2-3-1-1-1-1+2-1-1-1-1-1-1-4-19-1-1-1-1-4-1-1-1-1-4-3-1-1</f>
        <v>36</v>
      </c>
      <c r="H63" s="107">
        <f>40+9+1+29-2+16+29-1+5-1+1-1-3-1-1-2-2-1-1-2-1-2-15-8-2-50+2-1+1-1-1-1-1-1-1+40-1-4-1-1-1+1-1-1-1</f>
        <v>60</v>
      </c>
      <c r="I63" s="141">
        <f>10+11+3+9+10+6+6+1+10-1-2-40-1-1-1</f>
        <v>20</v>
      </c>
      <c r="J63" s="162">
        <f>10+10+39+10+8+10+15+1+10-1-15-50-1-1</f>
        <v>45</v>
      </c>
      <c r="K63" s="163">
        <f>49+45+25-1-1-1+2+1+1+1-15-1-2-20-1-1-2+40-2-3-1-1-1-1-1-1-40-2-3-1-4-2+2-6-1-1-2-1-5-2-1-1-1-2-4-1-4-1-1-2-1-2-8-1+6-1-1-2+43-1-1-2-1-3-1-1-3-1-1-1-1</f>
        <v>38</v>
      </c>
      <c r="L63" s="102">
        <f>50+14+50+45+45+15+49+35+31-1-2-1-3-1-1-2-1-1-1-1-3+8+1+5-1-2-2-1-8-2+1-2-1-2-1-1-2-1-1-2-3-1-3-1-6-17-1-31-1-1-1-2-1-2-1+90-1-2-2-1+1+2-2-1-47-21+1-1-1-1-1-1+1-1-2-25-2-1-1+4-1-3-1-1-1-5-1-1-1-1-3-1-1-6-1-1-1-12-3-6-1-1-1+1+2-15-1-3-1-1-4-9-1-1-1-3-1-1-5-1-1-2-1-1+139-1-2-1-5-2-1-1-1-6-3-1-1-1-1-2-5-1-1-1-1-6+1-1-10-4-2-2-1-4-4-21+4-11-30-1-1-23-1-1-1-1-15-1-3-1-2-1-1-1-1-1-1-20-2-1-1+1-1-1-1-3-2+2+60-2-1-1-11-1-5-3+1-7-2-1-3-1-2-1-1-1-1-1-1-1-1-1-1-2-1-1-1-2-1-2-1-1-1-7-3-4-1-1-1-2-1-2-8-3+2-2+250-1-2-1-2-2-2-2-10-2-1-1-5-1-2-1-2-1-1-2-1-1-1-1-2-2-2-1-1-5-30-1-1-1-5-1-1-1-5-8-1-1-6-2-3-1-1-1-1-5-1-1-1-1-2-2-2-1-1-3-1-1-3-1-1-1-1-8-3-1-1-7-2-2-23</f>
        <v>45</v>
      </c>
      <c r="M63" s="163">
        <f>36+50+50+24+45+50+50+50+50+55+40+54+55+48+50+50+50+50+46+57-2-3+1-3-10-2-4-1+1-10-1-8-2-2-2-1-1-1-1-2-1-1-1-1-1+21+1+49-1-7-4-1-2-1-2-1-6-1-2+1+1-5-1-2-25-3-3-5-2-3-7-10-14-5-7-1-3-7-2-1-1-1-2-1-4-37-4-17-1-34-1-2-1-1-9-5-9-5-5-1-2-2-1+30-1-3-1+1-1+6+6-5-4-1-1-1-1-1-157+1+5-2-2-2-2-1+1-1-1-7-1-3-1-10-1-21-3-2-2-5+15-1-1-19-6-2-1-1-1-1-1-21-1-1-1-1-1-1-8-1-4-8-3-2-1-2-10-9-18-2-1-1-1-6-1-3-1-1-1+1+11-1-3-1-10-1-1-6-1-1-10-1-1-1-18-1-1-3-5-1-1-1-2-1-1+75-3-2-5-9-1-2-1-1-1-1-8-7-1-1-1-1-1-1-1-1-1-4-1-2-5-1-1-2+1-1-8-6-3-6-1+100+75-3-35-2-5-12-1-1-5-2-5-2-1-2-2-1+2-1-13-1-60-1-1-1-19-1-5-2-1-1-1-4-2-5-1-4-1-6-1-8-1-1-3-1-3-1-1-3-1-1-3-13-1-20-3-3-1-1-2-1-1+3+119-2+1-2-1-1-10-5-1-4-1+2+19-3-1-1-1-2-21-1-1-11-1-1-2-5-1-1-12+1-1-1-7-8-2-1-3-1-7-3-1-1-1-1-1-22-1-1-2-3-1-2-1-1-1-1-1-1-1-1-1-6-22-2-1-1-1-1-1-2-4-1-3-1-1-1-2-2-3-5-1-10-1-18-2-1-21-1-1+6-1-2-1-3-1-2-1-3-1-1-1-1-1-2-1-3-15-1-2-3-2-2+6-2-1-1-1-1+60-1-45-14+120-65-6-21-1-1-1-7-8-2-5-2-1+169-1-1-5-3-1-7-2-1-8-6-1-2-2-1-4-4-3-1-3-85-1-1-2-2-1-5-5-1-1-5-3-1+5-2-1-2+116+49-45-5-1-1-2-1-2-1-9-1-1+2-10-1-6-1-5-3-8-6-1-7-3-2-1-2-14+1-1-3-1-15-1-1-3-1-1-1-1</f>
        <v>0</v>
      </c>
      <c r="N63" s="163">
        <f>45+46+26+50+65-1-2-2+1-3-15-1+412-30-15-2-1-2-4-2-1+1-1-1-1-1-2+1+37-1-4+2-1-1-8-2-3-4-1-1-6-3-1+3+1-2-1-5+2+2-23-2-2-1-1-3-3-14-15-3-1-1-9-1-3-1-19-2-1-20-68-4-2-1-1-3-1-20-2-1+151-1-1-1-4-1-1-1+24-5-1-6-1+1+4+4-1-1+11+4-4-5-2-143-1-1-2-1-10+10-1-1+1-1-1-7-1-4-13-22-3-1-4-3-4-30+12-2-1-2-1-4-18-4-1+150-1-25-1-3-1-1-1-1-1-1-5-7-1-1-2-1-7-7-1-2-5-1-6-20-2-3-1-6-1-1-4-1-1+1-1-2-2-1-2-1-7-12-3+100-3-17-1-1-5-1+1-9-1-2-8-1-3-1-12-6-9-1+1-1-2-6-1-8-1-1-1-1-1-1-2-1-1-1-4-1-9+200-6-4-1-1-3-4-20-8-19-3-1-5-3-2-1-3-1-1-1+3-14-60-1-25-1-2-3-1-1-6-1-1-12-1-10-1-1-4-8-2-2-1-3-3-1-3-2-1-1-1-1-2-1-1-3-2-1-3-22-11-2-1-2-2-1-7-1-1+3-22-1+2-3-2-1-3-3+1+18-6-1-2-21-1-1-9-1-2-1-10-1-13-1+1+1-1-1-8+146-1-2-2-3-7-1-1-2-1+279-1-1-1-1-1-1-2-16-15-2-8-15-21+1-1+3-5-5-1-6-3-3-4-2-1-2-9-1-4-3-1-2-2-1-2-1-2-1-1-2-5-1-6-1-1-1-2-1-2-1-2-12-4-1-4-1-1-2-2-1-1-1-1-5-1-48-1-1-6-1-1-14+1-1-3-1-1-1+100-1-1-106-1-1-6-1-2-4-1-3-2-1-2-1-5-3-2-1-1-1-1-3-10-1-1-2-2-2-1-1-2-2-1-3-1-2-1-3+14-50+129-129+19+260-4-1+110-146-2-1-1-2-2-9-4-2-2-1-1-1+4-22-2-1-4-7-1-1-6-1-3-3-1-3-3-2-1-1-12-1-3-2-129-1-3+2-3</f>
        <v>0</v>
      </c>
      <c r="O63" s="163">
        <f>0-1-1-2-1-1+6+10-3-2-4-1+1+43+14-3-5-3+80-2-1-2-4+1+2+1+1-1+31-3-1-1-2+2+1-1+2-1-4-1-2-11-3-1-1-1-2-1-7-3-11+1-1-8-93+6+3-1-1-1-1-1+4-3+98-47-2-1-2-1-3-9-21-2-3-3-1-8+2-1-1+88-1-28-1-1-5-2-1-1-3-2-10-1-1-5-1-1-16-1-1-2-1-3+160-3-1-1-4-10-1-1-1-8-4-10-1-1-4-3-2-1-1-2-1-1-4-6-2-1-1-8+79+1-2-5-1-3-22-2-2-1-2-4-3-1-1-2-1-1-15+1-4-2-1-50-2-1-12-1-1-2-2-11-1+1-1+2+4-1-5+2+1+100-3-2-10-2-1-1-2-1-1-3-1-2-19-3-1-2-4-1-10-1-1-14-1+1-1-1-9-1-2-1-3+1-1+150-1-4-1-21-1-4-1-15-2-5-9-1-2-2-6-4-1-4-5-1-1-1-2-2-2-3-1-3-1-1-1-1-1-2-1-3-1-1-1-2-1-1-1-22-1-1-2+196-1-70-21-1-4-5-6-5-1-2-1-3-1-1-2-1-1-1-2-2-1-3-1-1-2-5-2-45-5+40+35-75+40+80-35-1-1-2-3-1-4-2-1-6-1-5-1-1-1-1-2-3-2-10+35-1-2-2-10-1-5-1-30-12-2-3+1-1-1-2</f>
        <v>0</v>
      </c>
      <c r="P63" s="163">
        <f>0+1-1-21+50+1-2-3-1-1-1-1-1+9-1+1+5+1-1-2-2+1-3-3-1-2-15-6-1+2-2+1+3-2+2-1-19-1-3-1-5-6+150-2-2-1-1-5-3-1-1-4-21-1-15-1-1-2-2-1-1-1-2-3-1-4-3-2-1-1-1-2-3-1-2-1-1-1-1-3+1-6-1-1+30-6-1-3-1-1-1-5-1-1-1-8-1-1-2-2-5-2+2-1-1+2+8-10+1-1+80-5-4-21-1-2-3-1-1-2-1-2-1-1-1-1-1-1-3-2-2-1-1-2-1-1-1-1-6-1-1+80-6-2-2-1+2-1-2-1-2-1-18-1-1-1-2-2-2-3-1-1-21-1-2-2-1-2-1-1-1</f>
        <v>8</v>
      </c>
      <c r="Q63" s="107">
        <f>6-1+25+1+70-3-1-1-1+1+3-1-2+10-1-1-1-1-4-35-16-1-3-3-1-2-2-2-2-2-1-1-1-12-1-1-1-2-6-1-2+1+3+60-3-1-1-15-2-2-2-1-2-3+1-4-1-1-2-1-1-2-2-1-1-1-1-2-2-1-1-4-5+50-4-11-1-2-1-1-1-2-1-8-1-3-2+10-1+4-1-1-1</f>
        <v>22</v>
      </c>
      <c r="R63" s="107">
        <f>1-1+1+2+1+40-1-1-1+7+5-1-2-35-1-1-1-2-2-1-7+15-2-1-1-1-4-1-3-1-1+10+49-3-1</f>
        <v>55</v>
      </c>
      <c r="S63" s="163">
        <f>24-3-1+2-1-2-1-1+1-1-1-1-1-1-1-1-2-1-1-1-1-4+4-1+30-15-1-1-7-4-1-1+10-1</f>
        <v>13</v>
      </c>
      <c r="T63" s="108">
        <f>SUM(B63:S63)</f>
        <v>421</v>
      </c>
    </row>
    <row r="64" spans="1:21" s="98" customFormat="1" ht="40.5" customHeight="1">
      <c r="A64" s="164" t="s">
        <v>78</v>
      </c>
      <c r="B64" s="107">
        <f>46+20+1+12-1-6+1-1-1-1-1-3-1-2-1-1-2+1-1+1+4-4-1-6-1-2-2-1-1-2-1-2-1-1-3-4-1-1-2-1-6-1-1-1-1-1-2-7-1-2-1-1-2+20-6-4-2-6-1-1+1-1+19-2-1-1</f>
        <v>15</v>
      </c>
      <c r="C64" s="107">
        <f>40+48+25+7+6-12+1-14-1-2+1+1+5+6-1-3-19-3-1-4-2-1-1-1+1-1+3-1-1+62-3-2-61-4-1-5-3-19-1-1-1-2-10-3-3-1-2-10-5+45-7-38-1+80-7-7-2-1-2-1-1-1-2-26-1-5-1+1-1-6-7-7-1-1-1+18-2-1-10-1-2-1-1+2-1-1+1-1+52-4-1-4-1-10-1-2-1</f>
        <v>28</v>
      </c>
      <c r="D64" s="107">
        <f>30+50+45+50+46+6+20-1-2-3-2-1-40-3+3-5-3-22+3+2-1+6+1-2-3-1-1-14-15-6-14-1-10-1-1-1-1+1-3+14-1-3+15-3-93-5-7-23+129-10-10-47-1-2-1+1-2-2-2-1-1-4-1-1-1-1-2-1-14-1-1-1-17-4+4-1-1-4+1-1+90-6-18-6+30-1-2-4-1-1-1-4-4-25-1-7-1-1+1-1-1-1-1-1-4-8-1-1-14-1-1-1+20-1-1-1-1-1-13-1-1-2+110-1-27-4-10-5-8-1-16-1-1-3</f>
        <v>33</v>
      </c>
      <c r="E64" s="107">
        <f>38+47+38+50+45+45+50+12+72+4-1-1-2-2-1-34+1+2-2-13+2+2-1-2-1-11-6-6-11-1-12-5-8-1-3-1-5-4-4-7-2-1-3-2-5-1-1+1+11+1-1+108-3-59-7+3-1-1-2-1-73-1-1-1-1-1-1-3-34-5-3-5-1-2-2-10-1-1-1-1-4-6-6-1-3-1-1+1-1-1-1-1-1-2-1-1-1-11-1-1-1-4-1+1-3-1-1-1-7-1-1-1+1-9-2-74+28-1+1-2-1-1-1-1+45-4-26-1-1+65-1-1+9-2-1+1-1-2-2-28-5-4-1+1-1-1-1-10-4-14-1-8-1-1-1-1-1-3-1-1-1-1-1-2-1+1-1-1-1-2-3+108-15-7-4-8-1-11-2-2-4-1</f>
        <v>53</v>
      </c>
      <c r="F64" s="107">
        <f>248-1-5-7-1-1-3-2-8-7-9-1-2-1-2-1+5-2-1-129-2-19-7-1-41+70-23-2-15-1-10+1-3-17+15-4-2-1-1-4-1-2+1-1+50-12-1-1-1-3-1-16-5-1+1-1-6-3+1-1+48-12-6-1-6-1-1-1-1</f>
        <v>19</v>
      </c>
      <c r="G64" s="107">
        <f>35+4-1-1-34+1-3+2-2+1-1-1+1+1+1+6-1-1-7+40-5-2-2-1-1-2-1-2-24+50-1-1-1-1-5-1-4-2-3-1-1-1-4+2-1-1-1-1</f>
        <v>22</v>
      </c>
      <c r="H64" s="107">
        <f>40+1-1-22-1-1-2-1-1-3-2+29-5-2-4-2-2-1-2-1-1-1-1-1-1-1-1-1-3-5-1+19-1-2</f>
        <v>16</v>
      </c>
      <c r="I64" s="107">
        <f>28+15-4-5-2-1-2-3-4-1+18-1-1-1-2</f>
        <v>34</v>
      </c>
      <c r="J64" s="165">
        <f>20+27-4-1-1-1-1-2-1-1-2-3-2-1-1+17-1-1</f>
        <v>41</v>
      </c>
      <c r="K64" s="163">
        <f>10+18+30-2-1+2-3+1-4-10-13-3-1-2+1+51-1-1-2-7-1-3-1-5-27-1+1-1-1-8-1-1-10-1-3+30-5+8-1+1+8-1-1-1+1+6-1</f>
        <v>44</v>
      </c>
      <c r="L64" s="163">
        <f>9+14+29+5-1-1-1-1-1-2-1-1-1-1-16-1+1-1+1-3-2-9-1-1-1-2-10-1+1+1+1+1+1+181-2-90-11-14+50-3-25-1-2-1-1-1-3-1-1+1+200-6-3-10-3-5-1-1-10+2-1-3-1-8-1-4-4-40-1-1-1+1-1-2-1-3-1-1-2-1-2-1-11-1-1-6-2-2-4-1-1-5-6-1-1-1-1-1-26-2-1-1-1-1-1-2-1-1-1-1-1-4-13-3-1-1-1-1-1-55+1-1+10-1-1+96-16-1-1-2-5+44-1-1-3+1+14-1-1-1-1-1-2-2-1-1-2-3-1-10-1-2-1-2-1-1-1-1-16-5-1-1-1-1</f>
        <v>71</v>
      </c>
      <c r="M64" s="163">
        <f>53+24+1-1-2-2-4-3-2-30-3-2+9+7-1+1-8-6-5-8-5-1-5-4-3+80-4-46-1-2+4+1-3-1+5-3-7-1-3-5-10-4-1+120-117-1-1+50-1-1-7-35-1+1-1-5+227-15-10-10-1-1-2-2+7-1-2-1+3+182-71-2-5-1-15-1+68-33-4-1+1-1-1-2-5+2-4-1-1-4-2-1-4-2-1-1-1-4-1-4-3-1-1-3-5-5-15-4-1-1-1-14-1-6-1-1-1-1-5-2-2-1-5-1-1-27-1-1-9-2-1-2-2-1-1-4-1-3-1-1+1-2-12-1-5-15-14-25-1-3-1-1-2+21-1-2-1-3-1-1-5-1-1-1+3-8-1-1-1-2-1-1-1-1-1-7-9-4-1+1-1-2-1-1-2-11-1-1-1+10-10+82-4-5-1-3-1-16-2-1-1-7-5-2-4+113-1-1-4-1-1-3-4-1-5-3-9-1-3-1-9-1+44-10+10-36-1+6-14-1-8-1-4-1-10-1-11-2-1-10-1</f>
        <v>43</v>
      </c>
      <c r="N64" s="163">
        <f>59+52+1-1-2-2-4-1-8-3+8-1-1-16+6+4-1+1-2-8-4-23-1-6-3-41-2-1+67-3-1-1-2-4+1-6-1+6+1-1-6+12-1-3-9-12-29+135-100-2-3-6-17-1-1-2+200-1-2-22-1+1-1-2-47-8-2-4-5-4-1-1-1-10-3-1-1-2-2-1-1-1+236-29-2-1-2-1-10-10-7-1-22-1-1-13-2-1+1-1-1-2-1-6-2-1-1-2-6-2-2-1-6-1-4-1-1-1-1-6+4-2-5-8-2-11-1-4-1-2-1-1+1-1-1-22-18-3-1-1-2-2-1-22-6-1-1-11-1-7-1-2-2+1-5-8-1-1+89-3+15-35-1-2+27-1-1-5+2-6-1-1-3-1-1-2-1-2-1-1-3-35-1-8-4-12-1+1-17-1-4+10-5-2+130-3-1-11-1-3-1-1-15-1-3-1-12-4+55-1-1-1-1+1-1-3-2-1-1-3-1-4-13-3-3-5-3-1-1-10+50-2-1-1+2-46-1-3-12-6-1-7-1-5-16-1-1-1-1-1-3-1-1-1-2-8-1</f>
        <v>1</v>
      </c>
      <c r="O64" s="163">
        <f>23+51+1-2-2-4-1-18+5-7-11-1-4+6+5-1+1-1-1-1-9-1-5-1-3-15-1-2-1+5-2-2+1+5+1-1-5-1-1+36-36+47-3-32-1-1+99-16-4-1-3-1-1-10-5-1-1-2+117-1+5-1-6-5-14-1-7-1+1-1-2-1-1-2-1-2-3-1-1-2-5+3-4-1-1-1-4-1-3-1-1-2-10-2-6-2-1-1-1-4-5-1-1-1-1-1-3-1-1-5-4-2+23-1-19-1-1-1-3-1-1-1-1-6-3-1+1-7-1-1-1-2-5-10-1-2-1-1-2-1-5-1-2-1+38-4-1-1-1-1-1-8-2-1-3-1-1+1-1-1-1-1-5-5+47-2-5-1-9-2-5-3-2-11-1</f>
        <v>6</v>
      </c>
      <c r="P64" s="163">
        <f>0+1+1-1-1+5-1-3+1+1-1-2+10-10+49+29-20-2-5-1-5-5-3-1-1-1-1-1-1-1+60-1-1-1-50-1+4-5-1-2-2-3-1-2-2-1-3-1-1-1-1-1-2-7-1-1-1-1+11-1-3-2+26+14-7-2-1+3-1-1+1-1-1-3-1+21-1-2-1-1-2-1-1-1-2-1+38-1-1-1+1-1-1-3-2-2-1-5-3-1-6-2-2-7-1</f>
        <v>38</v>
      </c>
      <c r="Q64" s="163">
        <f>36+12+1-2-10-8+1-4+1+1-1-1-1-1-5-7-2-4-6+3-1-1+30-1-1-1-3-1-2-1-2-2-1-1-1-1-1-1-1-3-1-4-1+26-1-1-1+3-1-1-2-1-1-1+10-1-3-1+1-1-1-1-1-1-1-1-1-1</f>
        <v>17</v>
      </c>
      <c r="R64" s="163">
        <f>5+2+2+1-2-2-1+13-8-1-1-5-3+10-1-1-1-1-1-1-1</f>
        <v>3</v>
      </c>
      <c r="S64" s="163">
        <f>18+10-2+2-5-2-1-1+16-5-5-1-1-1-1-2-2-1</f>
        <v>16</v>
      </c>
      <c r="T64" s="108">
        <f>SUM(B64:S64)</f>
        <v>500</v>
      </c>
      <c r="U64" s="166"/>
    </row>
    <row r="65" spans="1:21" s="98" customFormat="1" ht="40.5" hidden="1" customHeight="1">
      <c r="A65" s="161" t="s">
        <v>79</v>
      </c>
      <c r="B65" s="107">
        <f>6-1</f>
        <v>5</v>
      </c>
      <c r="C65" s="107">
        <f>60-1</f>
        <v>59</v>
      </c>
      <c r="D65" s="107">
        <f>47</f>
        <v>47</v>
      </c>
      <c r="E65" s="107">
        <f>111-1</f>
        <v>110</v>
      </c>
      <c r="F65" s="107">
        <f>35</f>
        <v>35</v>
      </c>
      <c r="G65" s="107">
        <f>8</f>
        <v>8</v>
      </c>
      <c r="H65" s="107">
        <f>28-1</f>
        <v>27</v>
      </c>
      <c r="I65" s="107">
        <f>51</f>
        <v>51</v>
      </c>
      <c r="J65" s="165">
        <f>27</f>
        <v>27</v>
      </c>
      <c r="K65" s="163">
        <f>52</f>
        <v>52</v>
      </c>
      <c r="L65" s="163">
        <f>186-1-2-1-1</f>
        <v>181</v>
      </c>
      <c r="M65" s="163">
        <f ca="1">-M65</f>
        <v>0</v>
      </c>
      <c r="N65" s="163">
        <v>0</v>
      </c>
      <c r="O65" s="163"/>
      <c r="P65" s="163">
        <f>1+2+1</f>
        <v>4</v>
      </c>
      <c r="Q65" s="163">
        <v>0</v>
      </c>
      <c r="R65" s="163">
        <f>5</f>
        <v>5</v>
      </c>
      <c r="S65" s="163">
        <f>10</f>
        <v>10</v>
      </c>
      <c r="T65" s="108">
        <f ca="1">SUM(B65:S65)</f>
        <v>615</v>
      </c>
      <c r="U65" s="166"/>
    </row>
    <row r="66" spans="1:21" s="98" customFormat="1" ht="43.5" customHeight="1">
      <c r="A66" s="161" t="s">
        <v>80</v>
      </c>
      <c r="B66" s="107">
        <v>0</v>
      </c>
      <c r="C66" s="107">
        <f>50+20+68+60+45+1+19-1-1-1-4-4-2-1+1-2-6-6-4-4-1-1-1-1-6-1-7-1-1-2-1-24-1-1-3-1-1-1-3-2-1-5-1-1-1+1-1-1-1-5-1-1-1-3-3-1-1-6-4-1-2-2-8-2-1-7-7</f>
        <v>101</v>
      </c>
      <c r="D66" s="107">
        <f>32+50+30+10+49+5-1-1-4-18-4-1-4-3-1-5-3-3-1-1-3+1-2-3-4-1-1-9+4-1-21-1-1-3-3-1-15-1-3-2-2-5-7-6-1-4-1-1-1+7-1-1-2-1-5-1-1-3-3-1-1-6-3-1-1-1-2-1</f>
        <v>0</v>
      </c>
      <c r="E66" s="107">
        <f>74-14-1-1-1-1-1-6-2-1-2-2-1-2-1-3-28-1-2-3-1</f>
        <v>0</v>
      </c>
      <c r="F66" s="107">
        <f>14+13+50-1-1-1-4-3-6-2-1-8+17-2-1-1-1-1-2-2-1-1-4-1-1+1-1-1-1-2-1-1-1-1-2-4-2-1-1-1-5-10-1-1-1-1-1-1-1-1-1</f>
        <v>6</v>
      </c>
      <c r="G66" s="107">
        <f>20-1-1-1-17</f>
        <v>0</v>
      </c>
      <c r="H66" s="107">
        <f>10-10</f>
        <v>0</v>
      </c>
      <c r="I66" s="107">
        <f>10-1</f>
        <v>9</v>
      </c>
      <c r="J66" s="165">
        <f>10</f>
        <v>10</v>
      </c>
      <c r="K66" s="163">
        <f>40+34+1+2-1-1-1-1+44-1-13-1-1-1-2</f>
        <v>98</v>
      </c>
      <c r="L66" s="163">
        <f>1-1+55-1-8-1-20-1-1-1-3-1-1-1-7</f>
        <v>9</v>
      </c>
      <c r="M66" s="163">
        <f>1-1</f>
        <v>0</v>
      </c>
      <c r="N66" s="107">
        <f>4+16-1-1-1-1-2-1-2-6-1-1-2+1-2</f>
        <v>0</v>
      </c>
      <c r="O66" s="107">
        <v>0</v>
      </c>
      <c r="P66" s="163">
        <f>32+1-2-6-10+3-2+2-4-10+5-3-1-1-4</f>
        <v>0</v>
      </c>
      <c r="Q66" s="107">
        <f>0</f>
        <v>0</v>
      </c>
      <c r="R66" s="163">
        <f>8</f>
        <v>8</v>
      </c>
      <c r="S66" s="163">
        <f>7</f>
        <v>7</v>
      </c>
      <c r="T66" s="108">
        <f>SUM(B66:S66)</f>
        <v>248</v>
      </c>
      <c r="U66" s="166"/>
    </row>
    <row r="67" spans="1:21" s="98" customFormat="1" ht="35.25" customHeight="1">
      <c r="A67" s="167" t="s">
        <v>23</v>
      </c>
      <c r="B67" s="168">
        <f>0+1-1-1+1+14-1-1-1-3-2+10</f>
        <v>16</v>
      </c>
      <c r="C67" s="168">
        <f>10-5-5+1-1+15-1-12-2+25-1</f>
        <v>24</v>
      </c>
      <c r="D67" s="168">
        <f>10-10+1-1+28-1-1-21-2-3+45-7-1-1</f>
        <v>36</v>
      </c>
      <c r="E67" s="168">
        <f>10-9+4-1-1-3+1-1+28-2-15-2-9+45-1-2-6-1</f>
        <v>35</v>
      </c>
      <c r="F67" s="168">
        <f>10-12+3+4-1-3-1+14-1-3-8-2+25-3</f>
        <v>22</v>
      </c>
      <c r="G67" s="168">
        <f>10-1-1-1-1-2-9+5+2-1-1+10-1-3-3-1+10-1</f>
        <v>11</v>
      </c>
      <c r="H67" s="168">
        <f>12-2-1-1-1-1-1-1+4-1-1-1-1</f>
        <v>4</v>
      </c>
      <c r="I67" s="168">
        <f>10-2-1+4</f>
        <v>11</v>
      </c>
      <c r="J67" s="169">
        <f>13-1+4</f>
        <v>16</v>
      </c>
      <c r="K67" s="170">
        <f>19-1+3+5-5-1+1-1-1-1-1+10-8+5-1-1-2-3</f>
        <v>17</v>
      </c>
      <c r="L67" s="170">
        <f>4-1+5-3-1-1+1-2-1-1+23-2-2-18-1+45-4</f>
        <v>41</v>
      </c>
      <c r="M67" s="170">
        <f>12-1+12-3-5-4-1-2-1-1-2-1-1-2+47-2-1-1-16-4-1-13-1+1-4-4-1+44-8-1</f>
        <v>35</v>
      </c>
      <c r="N67" s="170">
        <f>1-1+47-2-2-15-2-1-13+1-1-1-1-1+45-4-2-1</f>
        <v>47</v>
      </c>
      <c r="O67" s="170">
        <f>23-2-11-5-1-2-1-1+25-1-1</f>
        <v>23</v>
      </c>
      <c r="P67" s="170">
        <f>3-1+12-9+6-1-8-2+11-7-4+4-1-1-1-1+15</f>
        <v>15</v>
      </c>
      <c r="Q67" s="170">
        <f>3-3+11-3-1+4-1-1+15</f>
        <v>24</v>
      </c>
      <c r="R67" s="170">
        <f>8-2+2+4-1+1</f>
        <v>12</v>
      </c>
      <c r="S67" s="170">
        <f>3+1-2+4-1+1</f>
        <v>6</v>
      </c>
      <c r="T67" s="108">
        <f>SUM(B67:S67)</f>
        <v>395</v>
      </c>
      <c r="U67" s="166"/>
    </row>
    <row r="68" spans="1:21" s="98" customFormat="1" ht="19.5" customHeight="1">
      <c r="A68" s="114"/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71"/>
    </row>
    <row r="69" spans="1:21" s="98" customFormat="1" ht="36.75" customHeight="1">
      <c r="A69" s="172" t="s">
        <v>81</v>
      </c>
      <c r="B69" s="17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</row>
    <row r="70" spans="1:21" s="98" customFormat="1" ht="20" customHeight="1">
      <c r="A70" s="173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</row>
    <row r="71" spans="1:21" s="98" customFormat="1" ht="20" customHeight="1">
      <c r="A71" s="173"/>
      <c r="B71" s="101" t="s">
        <v>3</v>
      </c>
      <c r="C71" s="101"/>
      <c r="D71" s="101"/>
      <c r="E71" s="101"/>
      <c r="F71" s="101"/>
      <c r="G71" s="101"/>
      <c r="H71" s="101"/>
      <c r="I71" s="101"/>
      <c r="J71" s="101"/>
      <c r="K71" s="104"/>
      <c r="L71" s="104"/>
      <c r="M71" s="101" t="s">
        <v>4</v>
      </c>
      <c r="N71" s="101"/>
      <c r="O71" s="101"/>
      <c r="P71" s="101"/>
      <c r="Q71" s="101"/>
      <c r="R71" s="101"/>
      <c r="S71" s="101"/>
      <c r="T71" s="101"/>
    </row>
    <row r="72" spans="1:21" s="98" customFormat="1" ht="20" customHeight="1">
      <c r="A72" s="100" t="s">
        <v>77</v>
      </c>
      <c r="B72" s="102">
        <v>28</v>
      </c>
      <c r="C72" s="102">
        <v>30</v>
      </c>
      <c r="D72" s="102">
        <v>32</v>
      </c>
      <c r="E72" s="102">
        <v>34</v>
      </c>
      <c r="F72" s="102">
        <v>36</v>
      </c>
      <c r="G72" s="102">
        <v>38</v>
      </c>
      <c r="H72" s="102">
        <v>40</v>
      </c>
      <c r="I72" s="102"/>
      <c r="J72" s="102"/>
      <c r="K72" s="102">
        <v>28</v>
      </c>
      <c r="L72" s="102">
        <v>30</v>
      </c>
      <c r="M72" s="102">
        <v>32</v>
      </c>
      <c r="N72" s="102">
        <v>34</v>
      </c>
      <c r="O72" s="102">
        <v>36</v>
      </c>
      <c r="P72" s="102">
        <v>38</v>
      </c>
      <c r="Q72" s="102">
        <v>40</v>
      </c>
      <c r="R72" s="102"/>
      <c r="S72" s="102"/>
      <c r="T72" s="174" t="s">
        <v>57</v>
      </c>
    </row>
    <row r="73" spans="1:21" s="98" customFormat="1" ht="20" customHeight="1">
      <c r="A73" s="100"/>
      <c r="B73" s="104" t="s">
        <v>10</v>
      </c>
      <c r="C73" s="104" t="s">
        <v>53</v>
      </c>
      <c r="D73" s="104" t="s">
        <v>54</v>
      </c>
      <c r="E73" s="104" t="s">
        <v>55</v>
      </c>
      <c r="F73" s="104" t="s">
        <v>56</v>
      </c>
      <c r="G73" s="104" t="s">
        <v>15</v>
      </c>
      <c r="H73" s="104" t="s">
        <v>16</v>
      </c>
      <c r="I73" s="104" t="s">
        <v>17</v>
      </c>
      <c r="J73" s="104" t="s">
        <v>18</v>
      </c>
      <c r="K73" s="104" t="s">
        <v>10</v>
      </c>
      <c r="L73" s="104" t="s">
        <v>11</v>
      </c>
      <c r="M73" s="104" t="s">
        <v>54</v>
      </c>
      <c r="N73" s="104" t="s">
        <v>55</v>
      </c>
      <c r="O73" s="104" t="s">
        <v>56</v>
      </c>
      <c r="P73" s="104" t="s">
        <v>15</v>
      </c>
      <c r="Q73" s="104" t="s">
        <v>16</v>
      </c>
      <c r="R73" s="104" t="s">
        <v>17</v>
      </c>
      <c r="S73" s="104" t="s">
        <v>18</v>
      </c>
      <c r="T73" s="174"/>
    </row>
    <row r="74" spans="1:21" s="98" customFormat="1" ht="19.5" customHeight="1">
      <c r="A74" s="117" t="s">
        <v>19</v>
      </c>
      <c r="B74" s="163">
        <f>22+15-1-1-2-1-1</f>
        <v>31</v>
      </c>
      <c r="C74" s="107">
        <f>5+45-1-1-1-1-1-1-1-1-1-1-1-1-5-4</f>
        <v>29</v>
      </c>
      <c r="D74" s="107">
        <f>3-3+2-1-1+25-3-1-4+1-3</f>
        <v>15</v>
      </c>
      <c r="E74" s="107">
        <f>18-2+1-7-1-1+1-1-1-1-1+25-2-1-1-2-1</f>
        <v>23</v>
      </c>
      <c r="F74" s="107">
        <f>14+2-1-1-1-2</f>
        <v>11</v>
      </c>
      <c r="G74" s="107">
        <f>12+2-1-1-1-1</f>
        <v>10</v>
      </c>
      <c r="H74" s="107">
        <f>11-1-1</f>
        <v>9</v>
      </c>
      <c r="I74" s="107">
        <f>7</f>
        <v>7</v>
      </c>
      <c r="J74" s="107">
        <f>6</f>
        <v>6</v>
      </c>
      <c r="K74" s="107">
        <f>11-2+15-1-1-1</f>
        <v>21</v>
      </c>
      <c r="L74" s="107">
        <f>40+5-6-4+16-1-1-3-1-1-3</f>
        <v>41</v>
      </c>
      <c r="M74" s="107">
        <f>27-22+2-2-1-2-2+73-6-1-6-1-1-5-8</f>
        <v>45</v>
      </c>
      <c r="N74" s="107">
        <f>1+7-7-1+29-2-22-2-1-2+78-5-6-1-1-1-2-2-1-1-1-1-2-1-2</f>
        <v>51</v>
      </c>
      <c r="O74" s="107">
        <f>1+4-2-3+9-1-2-5+40-1-1-6-1-1-1-4</f>
        <v>26</v>
      </c>
      <c r="P74" s="107">
        <f>1+4-1-1-1-1-1+15-3-1-2</f>
        <v>9</v>
      </c>
      <c r="Q74" s="107">
        <f>0+4-1-1-1-1+5</f>
        <v>5</v>
      </c>
      <c r="R74" s="107">
        <f>0+15</f>
        <v>15</v>
      </c>
      <c r="S74" s="107">
        <f>16-3</f>
        <v>13</v>
      </c>
      <c r="T74" s="108">
        <f>SUM(B74:S74)</f>
        <v>367</v>
      </c>
    </row>
    <row r="75" spans="1:21" s="98" customFormat="1" ht="20" customHeight="1">
      <c r="A75" s="117" t="s">
        <v>20</v>
      </c>
      <c r="B75" s="107">
        <f>9-1-1-6-1</f>
        <v>0</v>
      </c>
      <c r="C75" s="107">
        <f>41+30+2-3-2-1-1-12-1-1-1-1-5-1-1-1-1-2</f>
        <v>39</v>
      </c>
      <c r="D75" s="107">
        <f>0+11-9-1-1+1-1+4-1-1-1-1</f>
        <v>0</v>
      </c>
      <c r="E75" s="107">
        <f>27+26+3-4-1+5-1-1-14-16-1-1-1-3-11-1-1</f>
        <v>5</v>
      </c>
      <c r="F75" s="107">
        <f>4+33-1-8-1-2-1-1-5</f>
        <v>18</v>
      </c>
      <c r="G75" s="107">
        <f>0+27-1-1-1-1-2</f>
        <v>21</v>
      </c>
      <c r="H75" s="107">
        <f>10+14-1-1</f>
        <v>22</v>
      </c>
      <c r="I75" s="107">
        <f>0+3-1</f>
        <v>2</v>
      </c>
      <c r="J75" s="107">
        <f>0+4-1</f>
        <v>3</v>
      </c>
      <c r="K75" s="107">
        <f>19+21-1-1-1-1</f>
        <v>36</v>
      </c>
      <c r="L75" s="107">
        <f>1+3+31+45+27-6-1-1-1-1-1-1-6-1-1-1-1-1-3-1-1-1-2</f>
        <v>76</v>
      </c>
      <c r="M75" s="107">
        <f>20+45+45+45+45+15-47-1-1-1-1-1+2+3+2-1-11-1-1-1-1-1-4-16-1-6-2-1</f>
        <v>123</v>
      </c>
      <c r="N75" s="107">
        <f>13+11+45+31+45+45+1-46-1+1+7+5-1-10-1-1-15-1-7-1-12-1-1-3-1-1</f>
        <v>101</v>
      </c>
      <c r="O75" s="107">
        <f>32+10+30+18+30+30-14-2-2-3-1-1-4-1-4-7-2</f>
        <v>109</v>
      </c>
      <c r="P75" s="107">
        <f>45+17-3-1-1-1-1-1-2-1</f>
        <v>51</v>
      </c>
      <c r="Q75" s="107">
        <f>35+4-1-1-2</f>
        <v>35</v>
      </c>
      <c r="R75" s="107">
        <f>0+3+1</f>
        <v>4</v>
      </c>
      <c r="S75" s="107">
        <f>8+5</f>
        <v>13</v>
      </c>
      <c r="T75" s="108">
        <f>SUM(B75:S75)</f>
        <v>658</v>
      </c>
      <c r="U75" s="166"/>
    </row>
    <row r="76" spans="1:21" s="98" customFormat="1" ht="20" customHeight="1">
      <c r="A76" s="175"/>
      <c r="B76" s="125"/>
      <c r="C76" s="176"/>
      <c r="D76" s="176"/>
      <c r="E76" s="176"/>
      <c r="F76" s="176"/>
      <c r="G76" s="177"/>
      <c r="H76" s="176"/>
      <c r="I76" s="176"/>
      <c r="J76" s="176"/>
      <c r="K76" s="176"/>
      <c r="L76" s="176"/>
      <c r="M76" s="176"/>
      <c r="N76" s="176"/>
      <c r="O76" s="177"/>
      <c r="P76" s="176"/>
      <c r="Q76" s="176"/>
      <c r="R76" s="176"/>
      <c r="S76" s="176"/>
      <c r="T76" s="178">
        <f>SUM(T74:T75)</f>
        <v>1025</v>
      </c>
    </row>
    <row r="77" spans="1:21" s="98" customFormat="1" ht="20" customHeight="1">
      <c r="A77" s="175"/>
      <c r="B77" s="125"/>
      <c r="C77" s="176"/>
      <c r="D77" s="176"/>
      <c r="E77" s="176"/>
      <c r="F77" s="176"/>
      <c r="G77" s="177"/>
      <c r="H77" s="176"/>
      <c r="I77" s="176"/>
      <c r="J77" s="176"/>
      <c r="K77" s="176"/>
      <c r="L77" s="176"/>
      <c r="M77" s="176"/>
      <c r="N77" s="176"/>
      <c r="O77" s="177"/>
      <c r="P77" s="176"/>
      <c r="Q77" s="176"/>
      <c r="R77" s="176"/>
      <c r="S77" s="176"/>
      <c r="T77" s="179"/>
    </row>
    <row r="80" spans="1:21" s="98" customFormat="1" ht="34.5" customHeight="1">
      <c r="A80" s="155" t="s">
        <v>82</v>
      </c>
      <c r="B80" s="180"/>
      <c r="C80" s="180"/>
      <c r="D80" s="180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1"/>
      <c r="T80" s="182"/>
    </row>
    <row r="81" spans="1:21" s="98" customFormat="1" ht="20" customHeight="1">
      <c r="A81" s="100" t="s">
        <v>83</v>
      </c>
      <c r="B81" s="101" t="s">
        <v>3</v>
      </c>
      <c r="C81" s="183"/>
      <c r="D81" s="183"/>
      <c r="E81" s="183"/>
      <c r="F81" s="183"/>
      <c r="G81" s="183"/>
      <c r="H81" s="183"/>
      <c r="I81" s="183"/>
      <c r="J81" s="184"/>
      <c r="K81" s="104"/>
      <c r="L81" s="101" t="s">
        <v>4</v>
      </c>
      <c r="M81" s="183"/>
      <c r="N81" s="183"/>
      <c r="O81" s="183"/>
      <c r="P81" s="183"/>
      <c r="Q81" s="183"/>
      <c r="R81" s="183"/>
      <c r="S81" s="184"/>
      <c r="T81" s="185"/>
    </row>
    <row r="82" spans="1:21" s="98" customFormat="1" ht="20" customHeight="1">
      <c r="A82" s="100" t="s">
        <v>52</v>
      </c>
      <c r="B82" s="104" t="s">
        <v>10</v>
      </c>
      <c r="C82" s="104" t="s">
        <v>53</v>
      </c>
      <c r="D82" s="104" t="s">
        <v>54</v>
      </c>
      <c r="E82" s="104" t="s">
        <v>55</v>
      </c>
      <c r="F82" s="104" t="s">
        <v>56</v>
      </c>
      <c r="G82" s="104" t="s">
        <v>15</v>
      </c>
      <c r="H82" s="104" t="s">
        <v>16</v>
      </c>
      <c r="I82" s="104" t="s">
        <v>17</v>
      </c>
      <c r="J82" s="104" t="s">
        <v>18</v>
      </c>
      <c r="K82" s="104" t="s">
        <v>10</v>
      </c>
      <c r="L82" s="104" t="s">
        <v>53</v>
      </c>
      <c r="M82" s="104" t="s">
        <v>54</v>
      </c>
      <c r="N82" s="104" t="s">
        <v>55</v>
      </c>
      <c r="O82" s="186" t="s">
        <v>56</v>
      </c>
      <c r="P82" s="104" t="s">
        <v>15</v>
      </c>
      <c r="Q82" s="104" t="s">
        <v>16</v>
      </c>
      <c r="R82" s="104" t="s">
        <v>17</v>
      </c>
      <c r="S82" s="104" t="s">
        <v>18</v>
      </c>
      <c r="T82" s="129" t="s">
        <v>84</v>
      </c>
    </row>
    <row r="83" spans="1:21" s="98" customFormat="1" ht="19.5" customHeight="1">
      <c r="A83" s="117" t="s">
        <v>19</v>
      </c>
      <c r="B83" s="107">
        <f>32+25-1-1-5-1-1-1-1-1-1-1</f>
        <v>43</v>
      </c>
      <c r="C83" s="107">
        <f>30+45+27+32+38+2+3+3-1-5+1-1-1-10-1-1-1-1-1-1-1-1-1-3-1-1-2+1-1-1-2-2-1-1-1</f>
        <v>139</v>
      </c>
      <c r="D83" s="107">
        <f>66+45+45+32+53+29+45+50+45-1+4-1-4+16+1-1-2-15-1-2-2-1-1-2-1-1-1-2-1-1-1-1-6-2-4+2-1-1-1-2-1-3-1-2-1-2-1-1-1-1-1</f>
        <v>359</v>
      </c>
      <c r="E83" s="107">
        <f>35+38+34+45+18+45+45+45+45+45+45-1+3-3+16-1-5-3-1-1-1-1-1-1-1+1-1-4-3-13-2-1+1-3-2-1-4-1-1-1-1-1-1-4</f>
        <v>397</v>
      </c>
      <c r="F83" s="107">
        <f>26+45+45+13+50+2+45-1-3-1-1-1-1-1-3-1-1-6+3-1-8-1-1-3</f>
        <v>195</v>
      </c>
      <c r="G83" s="107">
        <f>10+30+50+35+20+30+20-1-2-1-1-1-2-1-1-1-4+2-1-1</f>
        <v>180</v>
      </c>
      <c r="H83" s="107">
        <f>15+1+20+13+10-1-1-1-3-1-2+1-1-1</f>
        <v>49</v>
      </c>
      <c r="I83" s="107">
        <f>3</f>
        <v>3</v>
      </c>
      <c r="J83" s="107">
        <f>19+10</f>
        <v>29</v>
      </c>
      <c r="K83" s="163">
        <f>12+33-1-1-1-1-1+1-1</f>
        <v>40</v>
      </c>
      <c r="L83" s="163">
        <f>27+21+36+45+21-1-1-6+2-1-2-2-10-3-3-1-2-1-1-1-1-1-4-1-1-3-2-1+1-3-1-1-4-1-2-1-1-3-1-1-1-1-1-1-1</f>
        <v>80</v>
      </c>
      <c r="M83" s="107">
        <f>18+50+50+50+30+45-1-1-11-4-1-11+4-1-1-3-3-10-15-1-6-1-1-1-1-1-2-4-2-1-1-1-1-2-3-1-7-1-1-2-3-1-5-17+1-2-1-1-1-1-2-1-1-1-1-2-1-3-1-1-1-3-4-1-1+50-1-5-1-1-1-1-1-5-1</f>
        <v>122</v>
      </c>
      <c r="N83" s="107">
        <f>44+45+45+1+2+1-25-1-1-1-1-4+4-1-2-3-4-30-8-1-1-1-1-1-1-3-2-1-1-1-1-5-1-2-1-3-1-6-5-17-5+1-1+150-1-2-1-1-2-1-1-1-1-1-2-1+1+1-1-1-1-3</f>
        <v>131</v>
      </c>
      <c r="O83" s="107">
        <f>5+35+35+6-7-5+2-1-1-2-15-11-1-1-1-1-1-1-1-1-2-4-1-2-10-5-6-3+1-1+79-1-1-1-5-1-2-1-1-1-1-1-1</f>
        <v>62</v>
      </c>
      <c r="P83" s="107">
        <f>33-2-2+2-1-1-4-6-1-1-1-3-1-1-1-2-2-4-1+1-1-1+40-2-1-1-1</f>
        <v>35</v>
      </c>
      <c r="Q83" s="107">
        <f>17-1-1-2-1-4-1-1-1-1-1-2-1+1-1+20-1-1-1</f>
        <v>17</v>
      </c>
      <c r="R83" s="163">
        <f>0</f>
        <v>0</v>
      </c>
      <c r="S83" s="163">
        <f>15-1-2-1-1-1-1-1</f>
        <v>7</v>
      </c>
      <c r="T83" s="108">
        <f>SUM(B83:S83)</f>
        <v>1888</v>
      </c>
      <c r="U83" s="141"/>
    </row>
    <row r="84" spans="1:21" s="98" customFormat="1" ht="19.5" customHeight="1">
      <c r="A84" s="117" t="s">
        <v>58</v>
      </c>
      <c r="B84" s="107">
        <f>40-1</f>
        <v>39</v>
      </c>
      <c r="C84" s="107">
        <f>25+2-6-1-1+1-2-1-2-1-1-1-1-1</f>
        <v>10</v>
      </c>
      <c r="D84" s="107">
        <f>17+1+34-1-3-7-1-1-2-1-1-1-7-1-1-1-1-1-1-1-1-1-1-1+1-2</f>
        <v>15</v>
      </c>
      <c r="E84" s="107">
        <f>9+37+2+26-2-1-11-1-1-1-7-1-1-1-1</f>
        <v>46</v>
      </c>
      <c r="F84" s="107">
        <f>13+25+7-1-5-2-6-1-1-1-3</f>
        <v>25</v>
      </c>
      <c r="G84" s="107">
        <f>0+29+11+5-1-1-1-1-1-1</f>
        <v>39</v>
      </c>
      <c r="H84" s="107">
        <f>29+35-1-5</f>
        <v>58</v>
      </c>
      <c r="I84" s="107">
        <f>7+15+1</f>
        <v>23</v>
      </c>
      <c r="J84" s="107">
        <f>18</f>
        <v>18</v>
      </c>
      <c r="K84" s="163">
        <f>14+27+20+6-1-1</f>
        <v>65</v>
      </c>
      <c r="L84" s="163">
        <f>24+22+26-3-1-1-1-1+20-1-1-4-1-1-1-1-1-1-4-1-1-1-1-2</f>
        <v>63</v>
      </c>
      <c r="M84" s="163">
        <f>18+37+44+45+8+45+16+19+1-4-2-1-6-1-11+20-1-1-1-1-22-3-1-7-1-1-1-2-1-3-1+1-1-3-1-1-1-1</f>
        <v>174</v>
      </c>
      <c r="N84" s="163">
        <f>10+26+50+21+49+45+6+16-1-3+1-25+1+20-3+1-1-1-1-20-1-6-1-7-2-2-2-2-3-1-1-1-1-1-1+35-3-1-1-1-2</f>
        <v>186</v>
      </c>
      <c r="O84" s="163">
        <f>4+39-1-1-5-7+20-1-1-32-3-1-1-1-1-1-1-1-2-1-1</f>
        <v>1</v>
      </c>
      <c r="P84" s="107">
        <f>27+45+45+45+39+5-2-2-2-1-1-22-1-1+1-2-1</f>
        <v>172</v>
      </c>
      <c r="Q84" s="163">
        <f>14+15-1-1-2-8-1</f>
        <v>16</v>
      </c>
      <c r="R84" s="163">
        <f>1-2+1</f>
        <v>0</v>
      </c>
      <c r="S84" s="163">
        <f>6+3-1-1</f>
        <v>7</v>
      </c>
      <c r="T84" s="108">
        <f>SUM(B84:S84)</f>
        <v>957</v>
      </c>
      <c r="U84" s="141"/>
    </row>
    <row r="85" spans="1:21" s="98" customFormat="1" ht="18.75" customHeight="1">
      <c r="A85" s="175"/>
      <c r="B85" s="125"/>
      <c r="C85" s="176"/>
      <c r="D85" s="176"/>
      <c r="E85" s="176"/>
      <c r="F85" s="176"/>
      <c r="G85" s="177"/>
      <c r="H85" s="176"/>
      <c r="I85" s="176"/>
      <c r="J85" s="176"/>
      <c r="K85" s="176"/>
      <c r="L85" s="176"/>
      <c r="M85" s="176"/>
      <c r="N85" s="176"/>
      <c r="O85" s="177"/>
      <c r="P85" s="176"/>
      <c r="Q85" s="176"/>
      <c r="R85" s="176"/>
      <c r="S85" s="176"/>
      <c r="T85" s="187">
        <f>SUM(T83:T84)</f>
        <v>2845</v>
      </c>
    </row>
    <row r="86" spans="1:21" s="98" customFormat="1" ht="18.75" customHeight="1">
      <c r="A86" s="175"/>
      <c r="B86" s="125"/>
      <c r="C86" s="176"/>
      <c r="D86" s="176"/>
      <c r="E86" s="176"/>
      <c r="F86" s="176"/>
      <c r="G86" s="177"/>
      <c r="H86" s="176"/>
      <c r="I86" s="176"/>
      <c r="J86" s="176"/>
      <c r="K86" s="176"/>
      <c r="L86" s="176"/>
      <c r="M86" s="176"/>
      <c r="N86" s="176"/>
      <c r="O86" s="177"/>
      <c r="P86" s="176"/>
      <c r="Q86" s="176"/>
      <c r="R86" s="176"/>
      <c r="S86" s="176"/>
      <c r="T86" s="179"/>
    </row>
    <row r="87" spans="1:21" s="98" customFormat="1" ht="18.75" customHeight="1">
      <c r="A87" s="175"/>
      <c r="B87" s="125"/>
      <c r="C87" s="176"/>
      <c r="D87" s="176"/>
      <c r="E87" s="176"/>
      <c r="F87" s="176"/>
      <c r="G87" s="177"/>
      <c r="H87" s="176"/>
      <c r="I87" s="176"/>
      <c r="J87" s="176"/>
      <c r="K87" s="176"/>
      <c r="L87" s="176"/>
      <c r="M87" s="176"/>
      <c r="N87" s="176"/>
      <c r="O87" s="177"/>
      <c r="P87" s="176"/>
      <c r="Q87" s="176"/>
      <c r="R87" s="176"/>
      <c r="S87" s="176"/>
      <c r="T87" s="179"/>
    </row>
    <row r="88" spans="1:21" s="98" customFormat="1" ht="34" customHeight="1">
      <c r="A88" s="188" t="s">
        <v>85</v>
      </c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90"/>
    </row>
    <row r="89" spans="1:21" s="98" customFormat="1" ht="18.75" customHeight="1">
      <c r="A89" s="100" t="s">
        <v>83</v>
      </c>
      <c r="B89" s="101" t="s">
        <v>3</v>
      </c>
      <c r="C89" s="183"/>
      <c r="D89" s="183"/>
      <c r="E89" s="183"/>
      <c r="F89" s="183"/>
      <c r="G89" s="183"/>
      <c r="H89" s="183"/>
      <c r="I89" s="183"/>
      <c r="J89" s="183"/>
      <c r="K89" s="184"/>
      <c r="L89" s="101" t="s">
        <v>4</v>
      </c>
      <c r="M89" s="183"/>
      <c r="N89" s="183"/>
      <c r="O89" s="183"/>
      <c r="P89" s="183"/>
      <c r="Q89" s="183"/>
      <c r="R89" s="183"/>
      <c r="S89" s="183"/>
      <c r="T89" s="184"/>
      <c r="U89" s="191"/>
    </row>
    <row r="90" spans="1:21" s="98" customFormat="1" ht="18.75" customHeight="1">
      <c r="A90" s="100" t="s">
        <v>52</v>
      </c>
      <c r="B90" s="104" t="s">
        <v>10</v>
      </c>
      <c r="C90" s="104" t="s">
        <v>53</v>
      </c>
      <c r="D90" s="104" t="s">
        <v>54</v>
      </c>
      <c r="E90" s="104" t="s">
        <v>55</v>
      </c>
      <c r="F90" s="104" t="s">
        <v>56</v>
      </c>
      <c r="G90" s="104" t="s">
        <v>15</v>
      </c>
      <c r="H90" s="104" t="s">
        <v>16</v>
      </c>
      <c r="I90" s="104" t="s">
        <v>17</v>
      </c>
      <c r="J90" s="104" t="s">
        <v>18</v>
      </c>
      <c r="K90" s="104" t="s">
        <v>86</v>
      </c>
      <c r="L90" s="104" t="s">
        <v>10</v>
      </c>
      <c r="M90" s="104" t="s">
        <v>53</v>
      </c>
      <c r="N90" s="104" t="s">
        <v>54</v>
      </c>
      <c r="O90" s="104" t="s">
        <v>55</v>
      </c>
      <c r="P90" s="104" t="s">
        <v>56</v>
      </c>
      <c r="Q90" s="104" t="s">
        <v>15</v>
      </c>
      <c r="R90" s="104" t="s">
        <v>16</v>
      </c>
      <c r="S90" s="104" t="s">
        <v>17</v>
      </c>
      <c r="T90" s="129" t="s">
        <v>18</v>
      </c>
      <c r="U90" s="102" t="s">
        <v>57</v>
      </c>
    </row>
    <row r="91" spans="1:21" s="98" customFormat="1" ht="18.75" customHeight="1">
      <c r="A91" s="117" t="s">
        <v>61</v>
      </c>
      <c r="B91" s="107">
        <f>28-1+49-1-1-1-2-1-1-1-1-2-3</f>
        <v>62</v>
      </c>
      <c r="C91" s="107">
        <f>10+1+4+2-1-2-1-1-1-1-1-1-4-2-1-1+29-1-1-1-3</f>
        <v>23</v>
      </c>
      <c r="D91" s="107">
        <f>0+2+21+1-1-3-1-5-1-7-5-1+25-4-1-1-4-1-2-12+87-1-1-1-1-2-1-1-3</f>
        <v>76</v>
      </c>
      <c r="E91" s="107">
        <f>40+36-1-1-1-3-1-2-2-1-1-1+1-25-1-25-4-1-1-2-1-2-1+90-1-1-1-3</f>
        <v>84</v>
      </c>
      <c r="F91" s="107">
        <f>0+26+1-1-2-1-1-10-7-1-4+30-3</f>
        <v>27</v>
      </c>
      <c r="G91" s="107">
        <f>20+1+9-1-1-1-1-1-1-2-1-16-5+1+8-1-3</f>
        <v>5</v>
      </c>
      <c r="H91" s="107">
        <f>30+6-1-1-13-1-1-3+1-3</f>
        <v>14</v>
      </c>
      <c r="I91" s="107">
        <f>4+6-1-5-1</f>
        <v>3</v>
      </c>
      <c r="J91" s="107">
        <f>4+11</f>
        <v>15</v>
      </c>
      <c r="K91" s="130">
        <f>0</f>
        <v>0</v>
      </c>
      <c r="L91" s="107">
        <f>35+30+3+1-1+42-1-1-1-1-1-3</f>
        <v>102</v>
      </c>
      <c r="M91" s="107">
        <f>45-1-2+22+4-1-2-1-1-1-1-1+1-1-3-10-5-2-1-2-1-1-1-2-3</f>
        <v>29</v>
      </c>
      <c r="N91" s="107">
        <f>10+27+50+50+45+39+50+40+45+2-1+11-4+14-1-3-1-1-2-1-1-1-1+1-1-1-4-20-1-2-1-1-1-3-1-1-1-2-1-2-2-1-1-1-1-1-1-3-1-3-1</f>
        <v>308</v>
      </c>
      <c r="O91" s="107">
        <f>43+45-1-1+2+6-6-1-1-3-1-1-2-1-1+1-1-1+1-7-2-1-1-1-1-2-3-4-1-3-20-2-1-9-1-1-2-4-1-1-1-1-1+67+23-1-1-1-3-1-3</f>
        <v>86</v>
      </c>
      <c r="P91" s="107">
        <f>16+1-1-1+21-2+4-1-2-1-1-1-1-4-1-5-10-3-1-7+52+38-2-3</f>
        <v>85</v>
      </c>
      <c r="Q91" s="107">
        <f>0+1-1-1+46-1-1-1-1-1+1-1-1-1-3-9-1-4-2-1-1-2-1-1+2-1-3</f>
        <v>11</v>
      </c>
      <c r="R91" s="107">
        <f>8+19+11-1-1-3-1-4-1-1-1-3</f>
        <v>22</v>
      </c>
      <c r="S91" s="107">
        <f>6+26-1-1</f>
        <v>30</v>
      </c>
      <c r="T91" s="108">
        <f>7+2-2-2</f>
        <v>5</v>
      </c>
      <c r="U91" s="107">
        <f>SUM(B91:T91)</f>
        <v>987</v>
      </c>
    </row>
    <row r="92" spans="1:21" s="98" customFormat="1" ht="18.75" customHeight="1">
      <c r="A92" s="117" t="s">
        <v>20</v>
      </c>
      <c r="B92" s="107">
        <f>50+45+15-1</f>
        <v>109</v>
      </c>
      <c r="C92" s="107">
        <f>25+40+50+50+50+26-2+1+1-2-1-2-1-2-1</f>
        <v>232</v>
      </c>
      <c r="D92" s="107">
        <f>22-1-1-1-1-4-1-1-11-1</f>
        <v>0</v>
      </c>
      <c r="E92" s="107">
        <f>40+40+45+45+50+1-2-1-2-1-1-8-1-1</f>
        <v>204</v>
      </c>
      <c r="F92" s="107">
        <f>18+30+45+30+11+1-1-7-1-1-1-1-1</f>
        <v>122</v>
      </c>
      <c r="G92" s="107">
        <f>40+14+8-1-1-1-1-1</f>
        <v>57</v>
      </c>
      <c r="H92" s="107">
        <f>20+4</f>
        <v>24</v>
      </c>
      <c r="I92" s="107">
        <f>0+12</f>
        <v>12</v>
      </c>
      <c r="J92" s="107">
        <f>0+12</f>
        <v>12</v>
      </c>
      <c r="K92" s="130">
        <f>45+28</f>
        <v>73</v>
      </c>
      <c r="L92" s="163">
        <f>13+30+31+28+32</f>
        <v>134</v>
      </c>
      <c r="M92" s="107">
        <f>50+50+50+20+50+27+18+40+40+34-1-1-2-1-2-5-2-4-1-2-1</f>
        <v>357</v>
      </c>
      <c r="N92" s="107">
        <f>45+15+45+45+48+50+48+50+48+45+45+45+19+16-4-3-4-2-1+1-1-3-1-1-1-12-1+1-1-1-5-1-4-1-2-1</f>
        <v>516</v>
      </c>
      <c r="O92" s="107">
        <f>30+45+11+49+23+23+45+45+45+35+45+45+45+27+48+42-4-6-1-1-3-1-1-1-2-9-1-1-1-5-1-2-1-1-2</f>
        <v>559</v>
      </c>
      <c r="P92" s="107">
        <f>16+45+26+19+31+45+50+32-1-1-1-2-1-1-1-3-2+1-1-1-5-1-1</f>
        <v>243</v>
      </c>
      <c r="Q92" s="107">
        <f>20+14+1+30+29-1-1-2-1</f>
        <v>89</v>
      </c>
      <c r="R92" s="107">
        <f>28+18-1-1-1</f>
        <v>43</v>
      </c>
      <c r="S92" s="107">
        <f>0</f>
        <v>0</v>
      </c>
      <c r="T92" s="108"/>
      <c r="U92" s="107">
        <f>SUM(B92:T92)</f>
        <v>2786</v>
      </c>
    </row>
    <row r="93" spans="1:21" s="98" customFormat="1" ht="18.75" customHeight="1">
      <c r="A93" s="192"/>
      <c r="B93"/>
      <c r="C93"/>
      <c r="D93"/>
      <c r="E93"/>
      <c r="F93"/>
      <c r="G93"/>
      <c r="H93"/>
      <c r="I93"/>
      <c r="L93"/>
      <c r="M93"/>
      <c r="N93"/>
      <c r="O93"/>
      <c r="P93"/>
      <c r="Q93"/>
      <c r="R93"/>
      <c r="S93"/>
      <c r="T93" s="193"/>
      <c r="U93" s="194">
        <f>SUM(U90:U92)</f>
        <v>3773</v>
      </c>
    </row>
    <row r="94" spans="1:21" s="98" customFormat="1" ht="29.25" customHeight="1">
      <c r="A94" s="175"/>
      <c r="B94" s="125"/>
      <c r="C94" s="176"/>
      <c r="D94" s="176"/>
      <c r="E94" s="176"/>
      <c r="F94" s="176"/>
      <c r="G94" s="177"/>
      <c r="H94" s="176"/>
      <c r="I94" s="176"/>
      <c r="J94" s="176"/>
      <c r="K94" s="176"/>
      <c r="L94" s="176"/>
      <c r="M94" s="176"/>
      <c r="N94" s="176"/>
      <c r="O94" s="177"/>
      <c r="P94" s="176"/>
      <c r="Q94" s="176"/>
      <c r="R94" s="176"/>
      <c r="S94" s="176"/>
      <c r="T94" s="179"/>
    </row>
    <row r="95" spans="1:21" s="98" customFormat="1" ht="40" customHeight="1">
      <c r="A95" s="188" t="s">
        <v>87</v>
      </c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</row>
    <row r="96" spans="1:21" s="98" customFormat="1" ht="20" customHeight="1">
      <c r="A96" s="173"/>
      <c r="B96" s="101"/>
      <c r="C96" s="183"/>
      <c r="D96" s="183"/>
      <c r="E96" s="183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</row>
    <row r="97" spans="1:21" s="98" customFormat="1" ht="20" customHeight="1">
      <c r="A97" s="195"/>
      <c r="B97" s="101" t="s">
        <v>3</v>
      </c>
      <c r="C97" s="183"/>
      <c r="D97" s="183"/>
      <c r="E97" s="183"/>
      <c r="F97" s="183"/>
      <c r="G97" s="183"/>
      <c r="H97" s="183"/>
      <c r="I97" s="183"/>
      <c r="J97" s="184"/>
      <c r="K97" s="104"/>
      <c r="L97" s="104"/>
      <c r="M97" s="101" t="s">
        <v>4</v>
      </c>
      <c r="N97" s="183"/>
      <c r="O97" s="183"/>
      <c r="P97" s="183"/>
      <c r="Q97" s="183"/>
      <c r="R97" s="183"/>
      <c r="S97" s="183"/>
      <c r="T97" s="183"/>
    </row>
    <row r="98" spans="1:21" s="98" customFormat="1" ht="20" customHeight="1">
      <c r="A98" s="100" t="s">
        <v>52</v>
      </c>
      <c r="B98" s="104" t="s">
        <v>10</v>
      </c>
      <c r="C98" s="104" t="s">
        <v>53</v>
      </c>
      <c r="D98" s="104" t="s">
        <v>54</v>
      </c>
      <c r="E98" s="104" t="s">
        <v>55</v>
      </c>
      <c r="F98" s="104" t="s">
        <v>56</v>
      </c>
      <c r="G98" s="104" t="s">
        <v>15</v>
      </c>
      <c r="H98" s="104" t="s">
        <v>16</v>
      </c>
      <c r="I98" s="104" t="s">
        <v>17</v>
      </c>
      <c r="J98" s="104" t="s">
        <v>18</v>
      </c>
      <c r="K98" s="104" t="s">
        <v>10</v>
      </c>
      <c r="L98" s="104" t="s">
        <v>53</v>
      </c>
      <c r="M98" s="104" t="s">
        <v>54</v>
      </c>
      <c r="N98" s="104" t="s">
        <v>55</v>
      </c>
      <c r="O98" s="104" t="s">
        <v>56</v>
      </c>
      <c r="P98" s="104" t="s">
        <v>15</v>
      </c>
      <c r="Q98" s="104" t="s">
        <v>16</v>
      </c>
      <c r="R98" s="104" t="s">
        <v>17</v>
      </c>
      <c r="S98" s="104" t="s">
        <v>18</v>
      </c>
      <c r="T98" s="105"/>
    </row>
    <row r="99" spans="1:21" s="98" customFormat="1" ht="20" customHeight="1">
      <c r="A99" s="117" t="s">
        <v>61</v>
      </c>
      <c r="B99" s="107">
        <f>16+23-14+5+1-1-1-1-1+1+3-1+1-1-1-1+60-1-1</f>
        <v>86</v>
      </c>
      <c r="C99" s="107">
        <f>46+45+45+30+30+45+45+45+45+45+25+30+30+45-3-10-4-1-1+1-17-1-2-4-66-1-4-1+2-2-1+1-1-6+4-1-1-1-1+1-4+6-1-1-1+1-4-1-1-1-1-3+1-1-3-1-1-3-1-1-1-2-5-1-5-3-4-1-4-1</f>
        <v>383</v>
      </c>
      <c r="D99" s="107">
        <f>21+45+45+45+30+30+25-5-9-1-8-4-1-1-2+1+45-20-1-2-90-2-1-4+1-2+1-4-1-1-1+1-1-3+3-1-2-1-4-1+1-1-2-6+3-1-1-1-1-1-1+1-53-2-1+2-2-1-2-1-9-1-1-1-1-3+45+45+45+45-2-3-5-1-3-1-26-1-2-1-1-6-1-1</f>
        <v>160</v>
      </c>
      <c r="E99" s="107">
        <f>11+45+45+45+40+45+45+27+30+35+30+9+20-2-11-5-10-13-1-7+1+1-17-3-102-1-5+20+1+1+1+1-4-2-1+1-1-3-1-1-1-4-1-1+0-3-1-1-3+2-1-2-1-1+1-41-1-1+1-1-5+1-1-1-2-9-1-1-1+45+45+45+45-1-4-2-1-1-1-1-14-1-1-1-1-1-1-3-3-1-3-5</f>
        <v>318</v>
      </c>
      <c r="F99" s="119">
        <f>19+45+45+41+30+8-5-7-17-1+1-20-1-1-5-121-11+45+45+45+25+21-104+1+20+30-1-1+1+1-4+2-1-2-1+1-1-1-1-1-3+3-1-1+1-6-1-1-2-2-3-1-1-3-13-1-2-1</f>
        <v>81</v>
      </c>
      <c r="G99" s="107">
        <f>13+45+30+8+7-2-4-1-1-9-1-80-30+25+1+1-1-1+6-3+40-3+1-1+1-1-2-1-1-1-1-1-1</f>
        <v>32</v>
      </c>
      <c r="H99" s="107">
        <f>11-1-5-1+35-12-4-17-1-5+1+1+36+2-1-1-1-1</f>
        <v>36</v>
      </c>
      <c r="I99" s="107">
        <f>7+7-14+14+5-1</f>
        <v>18</v>
      </c>
      <c r="J99" s="107">
        <f>12+1-11+5-1-1</f>
        <v>5</v>
      </c>
      <c r="K99" s="107">
        <f>50-10-2-1-2-7-1+1-1-10-2-1+10+10+6-1-2-1-1-1-1-1</f>
        <v>32</v>
      </c>
      <c r="L99" s="107">
        <f>56+45-3-2-2-30-2-5-8+45-24+1+10-23-5-1-2-1-45-4+1-1-1+1+1-1+1-1+45-1-1+1+2-1+109+2+1-2-4+8-2-1-1-4+1-1-2-2-5+4-1+1-2+1-3-1-1-4-1-1-1-3-1-2-1-1-10-4-3-1-1-5-1-1-4-1</f>
        <v>94</v>
      </c>
      <c r="M99" s="107">
        <f>17+14-3-14-1-35-1-5-3-21-15-6+45+45-45-35+1-19-10+32+45+45-179+45+45+58+15+1-1-1-14-2+2+1+1-2-1+1+1-1+2+86-1-3-1-1-1-1+300+6-2+1-1-6+21-11-1-3-1-4-1-8+1-2-1-1-2-8-7+6-1-1-1-1-1-3-1-1-1-3-1-5+1-1-33-2-2-1-3-9-1-5-3-1-6-2-1-3-2-1-14-2-1-1-1-3-6-1-3-2-1-1-1-3-1-10-10-7-3-4-8-1-1-1-4-1-2</f>
        <v>168</v>
      </c>
      <c r="N99" s="107">
        <f>21+11-8-14-1-40-1-1-22-10-5+45+45-1-84+1+1-11+41+45-85+76-1+10-1-3-1-2+3-4-1-3+1+1-1+1-2+49-1-27-5+270+4-1+2-1-2-3+16-1-12-1-5-1-3-1-8+1-7-1-4-10+3-1-3-1-4-3-1-10-2-1-1-1-3-1-1-35-2-1-1+4-1-1-7-11-1-4-4-8-1-5-1-5-1-6-2-2-4-1-9-4-1-1-1-4-1-1-2-1-1-10-2-1-1-13-6-1-1-1-1-18-1-1-1-1-5-4-1-1</f>
        <v>22</v>
      </c>
      <c r="O99" s="107">
        <f>54+13+45-9-3-14-5-25-11-5-2-31+1-8+1+20-5-1-1-14+150+1-1-1-4+5-2-1-2-1-1+1-1-3-1-3-8-1+4-1-1-1-5-1-1-4-1-13-2-2-8-1-7-1-1-29-2-2-1-1-2-3-4-2-1-2-3-1-1-3-1-1-2-1-6-1-10-2</f>
        <v>0</v>
      </c>
      <c r="P99" s="107">
        <f>12+45-3-3-4-4-1-1-2-3-7+1-1-1-2-3-18-5+1-1+10-10+75-1+10-2-1-1+1-1+1-1-1-1-1-1-2-7-1-1-1-1-1-4-1-1-3-2-1-1-1-2-1-1-1-1-4-2+1-2-1</f>
        <v>34</v>
      </c>
      <c r="Q99" s="107">
        <f>8-1-6-1+1-1+14+13-2-1-6+36+3-1-1-1-2-1-1-1-2-2-1-1-1-1-3-1-1</f>
        <v>36</v>
      </c>
      <c r="R99" s="107">
        <f>4-1-1+1-1-2+11-1+10-1+3-1-4-1-1</f>
        <v>15</v>
      </c>
      <c r="S99" s="118">
        <f>9+1-1-9+9+4-1-1-1</f>
        <v>10</v>
      </c>
      <c r="T99" s="108">
        <f t="shared" ref="T99:T102" si="1">SUM(B99:S99)</f>
        <v>1530</v>
      </c>
    </row>
    <row r="100" spans="1:21" s="98" customFormat="1" ht="20" customHeight="1">
      <c r="A100" s="117" t="s">
        <v>20</v>
      </c>
      <c r="B100" s="107">
        <f>132-10-5-4-2-1-15-2-1-1-1+1-1-1-1-1</f>
        <v>87</v>
      </c>
      <c r="C100" s="107">
        <f>130-1+44-3-1-2-1-1-2-9-2+1-1-2-1-1-1-1-1</f>
        <v>145</v>
      </c>
      <c r="D100" s="118">
        <f>16-1-15+96-1-12-3+1-1-7-6-1-1-8-4-1-1</f>
        <v>51</v>
      </c>
      <c r="E100" s="107">
        <f>115-7-1+135-4-5-2-3-2-3-1-10-1-2-2+1-1-4-5-1-4-1-1-20-1-1</f>
        <v>169</v>
      </c>
      <c r="F100" s="118">
        <f>6+80-79-2-1+4+80-1-3+1-1-1-1-1-1-1-8-1-1</f>
        <v>69</v>
      </c>
      <c r="G100" s="107">
        <f>9-5+1+3-1+80-80+1-1-4+35-1-1-1+1-2-1-1</f>
        <v>32</v>
      </c>
      <c r="H100" s="107">
        <f>35-1+4-4-1-1-1</f>
        <v>31</v>
      </c>
      <c r="I100" s="107">
        <f>14+1-1-1</f>
        <v>13</v>
      </c>
      <c r="J100" s="107">
        <f>10-1</f>
        <v>9</v>
      </c>
      <c r="K100" s="163">
        <f>36+1+5-1+1-1-1-1-1-1</f>
        <v>37</v>
      </c>
      <c r="L100" s="107">
        <f>0+5-1+62-60-1-1-2-1-1+130-1-1-1-1-1-6-1-1+1-18-1-8-2-1-1-3-1-1-1-1-1+1-1-1</f>
        <v>78</v>
      </c>
      <c r="M100" s="118">
        <f>0+150+10-160+40-19-4-4-4-5+40+218-1-5-1-3-1-1-1-21-6-1-1-1+1-3+1+1-31-1-44-4-1-1-1-3-1-1-2-1-4-1-2-1-5-3-1</f>
        <v>111</v>
      </c>
      <c r="N100" s="107">
        <f>84-84+348-348+130-6-20-2-1-4-10-1-1+131-1-1-2-1-1-3-1-26-3-1-2-1+1+1-3-19-5-52-1-2-3-1-1-1-1-1-1-3-26-1-2-3-12-1-1-1-1</f>
        <v>33</v>
      </c>
      <c r="O100" s="107">
        <f>0+1+336-334-1-2+130-6-14-2-1-6-1-2-1-1-2-3-1-1-9-3-2-1-1+1-1-5-1-15-3-1-4-2-1-1-1-1-3-1-1-7-1</f>
        <v>25</v>
      </c>
      <c r="P100" s="118">
        <f>0+158-158+15-8-2+15+45-2-1-5-1+2-5+1-2-12-1-1-1-1-1-1</f>
        <v>34</v>
      </c>
      <c r="Q100" s="107">
        <f>1+2-1+20+3-2+128-128-1-1-1-3+30-3-2-1-1-1-2-1-1-1</f>
        <v>34</v>
      </c>
      <c r="R100" s="118">
        <f>0+4+3-2-1</f>
        <v>4</v>
      </c>
      <c r="S100" s="118">
        <f>0+1+7-1-1-1</f>
        <v>5</v>
      </c>
      <c r="T100" s="108">
        <f t="shared" si="1"/>
        <v>967</v>
      </c>
    </row>
    <row r="101" spans="1:21" s="98" customFormat="1" ht="19.5" customHeight="1">
      <c r="A101" s="117" t="s">
        <v>62</v>
      </c>
      <c r="B101" s="107">
        <f>7</f>
        <v>7</v>
      </c>
      <c r="C101" s="107">
        <f>6</f>
        <v>6</v>
      </c>
      <c r="D101" s="118">
        <f>1-1</f>
        <v>0</v>
      </c>
      <c r="E101" s="107">
        <f>13-1</f>
        <v>12</v>
      </c>
      <c r="F101" s="107">
        <f>1</f>
        <v>1</v>
      </c>
      <c r="G101" s="107">
        <f>9-1</f>
        <v>8</v>
      </c>
      <c r="H101" s="107">
        <f>4</f>
        <v>4</v>
      </c>
      <c r="I101" s="118">
        <v>0</v>
      </c>
      <c r="J101" s="118">
        <v>0</v>
      </c>
      <c r="K101" s="107">
        <f>10</f>
        <v>10</v>
      </c>
      <c r="L101" s="107">
        <f>19-1</f>
        <v>18</v>
      </c>
      <c r="M101" s="118">
        <f>1-1</f>
        <v>0</v>
      </c>
      <c r="N101" s="118">
        <f>0</f>
        <v>0</v>
      </c>
      <c r="O101" s="118">
        <v>0</v>
      </c>
      <c r="P101" s="118">
        <v>0</v>
      </c>
      <c r="Q101" s="118">
        <v>0</v>
      </c>
      <c r="R101" s="118">
        <v>0</v>
      </c>
      <c r="S101" s="107">
        <f>1</f>
        <v>1</v>
      </c>
      <c r="T101" s="108">
        <f t="shared" si="1"/>
        <v>67</v>
      </c>
    </row>
    <row r="102" spans="1:21" s="98" customFormat="1" ht="20" customHeight="1">
      <c r="A102" s="196" t="s">
        <v>88</v>
      </c>
      <c r="B102" s="107">
        <f>19-1</f>
        <v>18</v>
      </c>
      <c r="C102" s="107">
        <f>3-1-1-1</f>
        <v>0</v>
      </c>
      <c r="D102" s="118">
        <f>0</f>
        <v>0</v>
      </c>
      <c r="E102" s="118">
        <f>0</f>
        <v>0</v>
      </c>
      <c r="F102" s="107">
        <f>7-2-1-2-2</f>
        <v>0</v>
      </c>
      <c r="G102" s="107">
        <f>24-2-5-1-3</f>
        <v>13</v>
      </c>
      <c r="H102" s="107">
        <f>14-5-1</f>
        <v>8</v>
      </c>
      <c r="I102" s="118">
        <f>4-4</f>
        <v>0</v>
      </c>
      <c r="J102" s="107">
        <f>9</f>
        <v>9</v>
      </c>
      <c r="K102" s="107">
        <f>6-1-1</f>
        <v>4</v>
      </c>
      <c r="L102" s="107">
        <f>3-1-1</f>
        <v>1</v>
      </c>
      <c r="M102" s="118">
        <f>1-1</f>
        <v>0</v>
      </c>
      <c r="N102" s="118">
        <f>6-4-1-1</f>
        <v>0</v>
      </c>
      <c r="O102" s="118">
        <f>0</f>
        <v>0</v>
      </c>
      <c r="P102" s="118">
        <f>3-1-1-1</f>
        <v>0</v>
      </c>
      <c r="Q102" s="107">
        <f>1-1</f>
        <v>0</v>
      </c>
      <c r="R102" s="107">
        <f>7</f>
        <v>7</v>
      </c>
      <c r="S102" s="107">
        <f>9</f>
        <v>9</v>
      </c>
      <c r="T102" s="108">
        <f t="shared" si="1"/>
        <v>69</v>
      </c>
    </row>
    <row r="103" spans="1:21" s="98" customFormat="1" ht="31.5" customHeight="1">
      <c r="A103" s="192"/>
      <c r="B103"/>
      <c r="C103" s="136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 s="193"/>
    </row>
    <row r="104" spans="1:21" s="98" customFormat="1" ht="36.5" customHeight="1">
      <c r="A104" s="188" t="s">
        <v>89</v>
      </c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90"/>
      <c r="T104" s="145"/>
    </row>
    <row r="105" spans="1:21" s="98" customFormat="1" ht="20" customHeight="1">
      <c r="A105" s="101" t="s">
        <v>68</v>
      </c>
      <c r="B105" s="183"/>
      <c r="C105" s="183"/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4"/>
      <c r="T105" s="145"/>
    </row>
    <row r="106" spans="1:21" s="98" customFormat="1" ht="20" customHeight="1">
      <c r="A106" s="101" t="s">
        <v>48</v>
      </c>
      <c r="B106" s="183"/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4"/>
      <c r="T106" s="145"/>
      <c r="U106" s="141"/>
    </row>
    <row r="107" spans="1:21" s="98" customFormat="1" ht="20" customHeight="1">
      <c r="A107" s="197" t="s">
        <v>90</v>
      </c>
      <c r="B107" s="198"/>
      <c r="C107" s="198"/>
      <c r="D107" s="198"/>
      <c r="E107" s="198"/>
      <c r="F107" s="198"/>
      <c r="G107" s="198"/>
      <c r="H107" s="199"/>
      <c r="I107" s="102">
        <v>28</v>
      </c>
      <c r="J107" s="102">
        <v>30</v>
      </c>
      <c r="K107" s="102">
        <v>32</v>
      </c>
      <c r="L107" s="102">
        <v>34</v>
      </c>
      <c r="M107" s="102">
        <v>36</v>
      </c>
      <c r="N107" s="102">
        <v>38</v>
      </c>
      <c r="O107" s="102">
        <v>40</v>
      </c>
      <c r="P107" s="102">
        <v>42</v>
      </c>
      <c r="Q107" s="102">
        <v>44</v>
      </c>
      <c r="R107" s="200" t="s">
        <v>84</v>
      </c>
      <c r="S107" s="201"/>
      <c r="T107" s="145"/>
    </row>
    <row r="108" spans="1:21" s="98" customFormat="1" ht="21" customHeight="1">
      <c r="A108" s="202"/>
      <c r="B108" s="203"/>
      <c r="C108" s="203"/>
      <c r="D108" s="203"/>
      <c r="E108" s="203"/>
      <c r="F108" s="203"/>
      <c r="G108" s="203"/>
      <c r="H108" s="204"/>
      <c r="I108" s="104" t="s">
        <v>10</v>
      </c>
      <c r="J108" s="104" t="s">
        <v>53</v>
      </c>
      <c r="K108" s="104" t="s">
        <v>54</v>
      </c>
      <c r="L108" s="104" t="s">
        <v>55</v>
      </c>
      <c r="M108" s="104" t="s">
        <v>56</v>
      </c>
      <c r="N108" s="104" t="s">
        <v>15</v>
      </c>
      <c r="O108" s="104" t="s">
        <v>16</v>
      </c>
      <c r="P108" s="104" t="s">
        <v>17</v>
      </c>
      <c r="Q108" s="104" t="s">
        <v>18</v>
      </c>
      <c r="R108" s="205"/>
      <c r="S108" s="206"/>
      <c r="T108" s="104" t="s">
        <v>91</v>
      </c>
    </row>
    <row r="109" spans="1:21" s="98" customFormat="1" ht="20" customHeight="1">
      <c r="A109" s="207" t="s">
        <v>61</v>
      </c>
      <c r="B109" s="208"/>
      <c r="C109" s="208"/>
      <c r="D109" s="208"/>
      <c r="E109" s="208"/>
      <c r="F109" s="208"/>
      <c r="G109" s="208"/>
      <c r="H109" s="209"/>
      <c r="I109" s="107">
        <f>43+31+71+49+60+45+25+68+55+40+18+30+60+20+1+2-5+1+48+1-663+569+49-15-3-3-3-5-5-2-7-30-3-4+1-11-2-3-2</f>
        <v>521</v>
      </c>
      <c r="J109" s="107">
        <f>52+8+7+25+30+79+37+60+13+50+23-64-91-10+15+6+1-29+1-213+197+20-2-2-1-6-35-2-4-4-1-2-1-16-9-3-1-2-1-12-2-50-1-11-1-8-1-3-31+200-1-1-6-1-1-1-1-2-1-3-1-1-9-1-3-1-32-14-6-32-1-2-1+1-1</f>
        <v>83</v>
      </c>
      <c r="K109" s="107">
        <f>1-13-8+98-52-22-1-1-1+202-3-8-1-1-1-9-2-3-1-4-30-15-1-3-5-1-10-31-1-20-1-28-1-1-1-7-1-1-4-1-1-3+7-10+23-1-1-8-1+200-12-50-1-2-1+6-3-1-1-2-1-1-3-1-1-16-3-5-19-34-1-4-2-19-1-2-1-6-1-1-1-3-2-12-1-4+1</f>
        <v>1</v>
      </c>
      <c r="L109" s="107">
        <f>32-1-11-1-1-1-1-1-2-1-1-11+50-2-2-8-1-1-4-1-1-4+9-1-1-1-1-3+200-50-1-1-1-2-4-31-1-1-5-1-13-4-3-18-1-1-1-8-21-1-1-1-1-1-6+1-1-1-1-1-1-1-1-1-9-1-1-31+1-1</f>
        <v>0</v>
      </c>
      <c r="M109" s="107">
        <f>26-5-20+1-3+1+3-1+97-9-6+3-1-2-1-4-3-5-4-13-3-1-1-21-1-1-1-1-8-2-1-3+1-1-1-1+48-1-21-1-2-1-1-2-1-11-1-4-10+1-1</f>
        <v>0</v>
      </c>
      <c r="N109" s="107">
        <f>38+4+60+48+19-1-25-48-1-1+2+1+1-1-1-95+81+41-6-1-1-8-3-1-6-17-2-11-4-40-2-1-1+80-3-1-2-2-1-1-11-3-11-6-4+1-1</f>
        <v>53</v>
      </c>
      <c r="O109" s="107">
        <f>13+19+20+26+47+40+17-3-1+1-1-178+166+15-1-9-8-1-3-6-2-1-15-1-1-4+1-1</f>
        <v>129</v>
      </c>
      <c r="P109" s="107">
        <f>24+1-25+25-1-1-2-1</f>
        <v>20</v>
      </c>
      <c r="Q109" s="107">
        <f>1-1</f>
        <v>0</v>
      </c>
      <c r="R109" s="210">
        <f>I109+J109+K109+L109+M109+N109+O109+P109+Q109</f>
        <v>807</v>
      </c>
      <c r="S109" s="211"/>
      <c r="T109" s="107">
        <f>1</f>
        <v>1</v>
      </c>
    </row>
    <row r="110" spans="1:21" s="98" customFormat="1" ht="20" customHeight="1">
      <c r="A110" s="207" t="s">
        <v>20</v>
      </c>
      <c r="B110" s="208"/>
      <c r="C110" s="208"/>
      <c r="D110" s="208"/>
      <c r="E110" s="208"/>
      <c r="F110" s="208"/>
      <c r="G110" s="208"/>
      <c r="H110" s="209"/>
      <c r="I110" s="107">
        <f>42+90+1+3-136+91+40-1-2-1-2-3-5-13-1-1-1+1-1-6</f>
        <v>95</v>
      </c>
      <c r="J110" s="107">
        <f>17+50+50+60+60+6-243+220+20-1-8-3-2-2+2+1-5-2-3-3-1-3-13-1-24-1-2-5+1-3-2-1-2-1-1-1-10+1-1-21</f>
        <v>123</v>
      </c>
      <c r="K110" s="107">
        <f>27+75+3-1-104+75+34-3-22-15-14+5-7-7+160+5-1+1-10-3-8-1-1-1-5-3-7-3-37-1-4-4-1-1-1+89+89-1-2-18-1+5-1-1-2-1-1-8-9-1-1-1-2-22-2+1+1-1-7-1-3-25</f>
        <v>194</v>
      </c>
      <c r="L110" s="107">
        <f>19+50+23+38+20+7-1-156+131+27-2-25-11-2-7+160+5-1-1-22-4-11-5-5-2-7-3-41-1-2-24-1-1-1-1-1+157-1-2-1-11-1-1-1+1-1-1-1-1-1-1-1+1-4-1-12-12-22-2+1-1-1-2-1-1-2-22</f>
        <v>194</v>
      </c>
      <c r="M110" s="107">
        <f>0+2+3-1-4+2+1-2+80-14-4-6-3-6-3-2-4-3-1-1-3-1-30+27-2-1+99-1+1-1-1-3-1-1-2-1-1-7-15-10-1-1+1-1-1-10</f>
        <v>67</v>
      </c>
      <c r="N110" s="107">
        <f>3-3-2+2+1+40-7-6-3-2-1-1-2-3-3-13+17-1-1-1-8-6</f>
        <v>0</v>
      </c>
      <c r="O110" s="107">
        <f>3+4+3+40-3-6-3-10-1-2-1-4-20+30-1-4-5-3</f>
        <v>17</v>
      </c>
      <c r="P110" s="107">
        <f>3+2-5+15</f>
        <v>15</v>
      </c>
      <c r="Q110" s="107">
        <f>29-29+33-1-1-1-1-1-1-1</f>
        <v>26</v>
      </c>
      <c r="R110" s="210">
        <f>I110+J110+K110+L110+M110+N110+O110+P110+Q110</f>
        <v>731</v>
      </c>
      <c r="S110" s="211"/>
      <c r="T110" s="145"/>
    </row>
    <row r="111" spans="1:21" s="98" customFormat="1" ht="20.25" customHeight="1">
      <c r="A111" s="207" t="s">
        <v>92</v>
      </c>
      <c r="B111" s="208"/>
      <c r="C111" s="208"/>
      <c r="D111" s="208"/>
      <c r="E111" s="208"/>
      <c r="F111" s="208"/>
      <c r="G111" s="208"/>
      <c r="H111" s="209"/>
      <c r="I111" s="107">
        <f>5+7</f>
        <v>12</v>
      </c>
      <c r="J111" s="107">
        <v>2</v>
      </c>
      <c r="K111" s="107">
        <v>7</v>
      </c>
      <c r="L111" s="107">
        <v>15</v>
      </c>
      <c r="M111" s="107">
        <f>9+4</f>
        <v>13</v>
      </c>
      <c r="N111" s="107">
        <f>3+22</f>
        <v>25</v>
      </c>
      <c r="O111" s="107">
        <v>39</v>
      </c>
      <c r="P111" s="107">
        <v>20</v>
      </c>
      <c r="Q111" s="107">
        <v>23</v>
      </c>
      <c r="R111" s="210">
        <f>SUM(I111:Q111)</f>
        <v>156</v>
      </c>
      <c r="S111" s="211"/>
      <c r="T111" s="212"/>
    </row>
    <row r="112" spans="1:21" s="98" customFormat="1" ht="31.5" customHeight="1">
      <c r="A112" s="192"/>
      <c r="B112"/>
      <c r="C112" s="136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 s="213">
        <f>+R109+R110+R111</f>
        <v>1694</v>
      </c>
      <c r="S112" s="214"/>
      <c r="T112" s="193"/>
    </row>
    <row r="113" spans="1:21" s="98" customFormat="1" ht="24" customHeight="1">
      <c r="A113" s="215" t="s">
        <v>93</v>
      </c>
      <c r="B113" s="216"/>
      <c r="C113" s="216"/>
      <c r="D113" s="216"/>
      <c r="E113" s="216"/>
      <c r="F113" s="216"/>
      <c r="G113" s="216"/>
      <c r="H113" s="216"/>
      <c r="I113" s="216"/>
      <c r="J113" s="216"/>
      <c r="K113" s="217"/>
      <c r="L113" s="191"/>
      <c r="M113" s="191"/>
      <c r="N113" s="191"/>
      <c r="O113" s="191"/>
      <c r="P113" s="191"/>
      <c r="Q113" s="142"/>
      <c r="R113" s="142"/>
      <c r="S113" s="191"/>
    </row>
    <row r="114" spans="1:21" s="98" customFormat="1" ht="34" customHeight="1">
      <c r="A114" s="218" t="s">
        <v>52</v>
      </c>
      <c r="B114" s="219" t="s">
        <v>10</v>
      </c>
      <c r="C114" s="104" t="s">
        <v>53</v>
      </c>
      <c r="D114" s="104" t="s">
        <v>54</v>
      </c>
      <c r="E114" s="104" t="s">
        <v>55</v>
      </c>
      <c r="F114" s="104" t="s">
        <v>56</v>
      </c>
      <c r="G114" s="104" t="s">
        <v>15</v>
      </c>
      <c r="H114" s="104" t="s">
        <v>16</v>
      </c>
      <c r="I114" s="104" t="s">
        <v>17</v>
      </c>
      <c r="J114" s="104" t="s">
        <v>73</v>
      </c>
      <c r="K114" s="104" t="s">
        <v>57</v>
      </c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</row>
    <row r="115" spans="1:21" s="221" customFormat="1" ht="23.25" customHeight="1">
      <c r="A115" s="117" t="s">
        <v>20</v>
      </c>
      <c r="B115" s="107">
        <f>24-2</f>
        <v>22</v>
      </c>
      <c r="C115" s="107">
        <f>35-1-3</f>
        <v>31</v>
      </c>
      <c r="D115" s="107">
        <f>3</f>
        <v>3</v>
      </c>
      <c r="E115" s="107">
        <f>1-1</f>
        <v>0</v>
      </c>
      <c r="F115" s="107">
        <f>1</f>
        <v>1</v>
      </c>
      <c r="G115" s="107">
        <f>44+65+1-6</f>
        <v>104</v>
      </c>
      <c r="H115" s="107">
        <f>27+57+24-1-1-4</f>
        <v>102</v>
      </c>
      <c r="I115" s="107">
        <f>52</f>
        <v>52</v>
      </c>
      <c r="J115" s="107">
        <f>45</f>
        <v>45</v>
      </c>
      <c r="K115" s="107">
        <f>SUM(B115:J115)</f>
        <v>360</v>
      </c>
      <c r="L115" s="220"/>
      <c r="M115" s="220"/>
      <c r="N115" s="220"/>
      <c r="O115" s="220"/>
      <c r="P115" s="220"/>
      <c r="Q115" s="220"/>
      <c r="R115" s="220"/>
      <c r="S115" s="220"/>
      <c r="T115" s="220"/>
    </row>
    <row r="116" spans="1:21" s="98" customFormat="1" ht="20" customHeight="1">
      <c r="A116" s="117" t="s">
        <v>94</v>
      </c>
      <c r="B116" s="107">
        <f>12</f>
        <v>12</v>
      </c>
      <c r="C116" s="107">
        <v>0</v>
      </c>
      <c r="D116" s="107">
        <v>0</v>
      </c>
      <c r="E116" s="107">
        <f>1-1</f>
        <v>0</v>
      </c>
      <c r="F116" s="107">
        <f>1-1</f>
        <v>0</v>
      </c>
      <c r="G116" s="107">
        <f>1</f>
        <v>1</v>
      </c>
      <c r="H116" s="107">
        <f>5+1</f>
        <v>6</v>
      </c>
      <c r="I116" s="107">
        <f>2</f>
        <v>2</v>
      </c>
      <c r="J116" s="107">
        <f>1</f>
        <v>1</v>
      </c>
      <c r="K116" s="107">
        <f>SUM(B116:J116)</f>
        <v>22</v>
      </c>
      <c r="L116" s="222"/>
      <c r="M116" s="141"/>
      <c r="N116" s="141"/>
      <c r="O116" s="141"/>
      <c r="P116" s="141"/>
      <c r="Q116" s="141"/>
      <c r="R116" s="141"/>
      <c r="S116" s="141"/>
      <c r="T116" s="141"/>
    </row>
    <row r="117" spans="1:21" s="98" customFormat="1" ht="22.5" customHeight="1">
      <c r="A117" s="117" t="s">
        <v>46</v>
      </c>
      <c r="B117" s="107">
        <f>29</f>
        <v>29</v>
      </c>
      <c r="C117" s="107">
        <f>1-1</f>
        <v>0</v>
      </c>
      <c r="D117" s="107">
        <f>1-1</f>
        <v>0</v>
      </c>
      <c r="E117" s="107">
        <f>0+2-2</f>
        <v>0</v>
      </c>
      <c r="F117" s="107">
        <f>3-1-2</f>
        <v>0</v>
      </c>
      <c r="G117" s="107">
        <f>0</f>
        <v>0</v>
      </c>
      <c r="H117" s="107">
        <f>0</f>
        <v>0</v>
      </c>
      <c r="I117" s="107">
        <f>16-1</f>
        <v>15</v>
      </c>
      <c r="J117" s="107">
        <f>23</f>
        <v>23</v>
      </c>
      <c r="K117" s="107">
        <f>+B117+C117+D117+E117+F117+G117+H117+I117+J117</f>
        <v>67</v>
      </c>
      <c r="L117" s="141"/>
      <c r="M117" s="141"/>
      <c r="N117" s="141"/>
      <c r="O117" s="141"/>
      <c r="P117" s="141"/>
      <c r="Q117" s="141"/>
      <c r="R117" s="141"/>
      <c r="S117" s="141"/>
      <c r="T117" s="141"/>
    </row>
    <row r="118" spans="1:21" s="98" customFormat="1" ht="25.5" customHeight="1">
      <c r="A118" s="117" t="s">
        <v>95</v>
      </c>
      <c r="B118" s="107">
        <f>78-1</f>
        <v>77</v>
      </c>
      <c r="C118" s="107">
        <f>64-2-2-1-1-6</f>
        <v>52</v>
      </c>
      <c r="D118" s="107">
        <f>40-15-15-1</f>
        <v>9</v>
      </c>
      <c r="E118" s="107">
        <f>7-2-3-1</f>
        <v>1</v>
      </c>
      <c r="F118" s="107">
        <f>0</f>
        <v>0</v>
      </c>
      <c r="G118" s="107">
        <f>80-1</f>
        <v>79</v>
      </c>
      <c r="H118" s="107">
        <f>45-1</f>
        <v>44</v>
      </c>
      <c r="I118" s="107">
        <f>41</f>
        <v>41</v>
      </c>
      <c r="J118" s="107">
        <f>29</f>
        <v>29</v>
      </c>
      <c r="K118" s="107">
        <f>SUM(B118:J118)</f>
        <v>332</v>
      </c>
      <c r="L118" s="141"/>
      <c r="M118" s="141"/>
      <c r="N118" s="141"/>
      <c r="O118" s="141"/>
      <c r="P118" s="141"/>
      <c r="Q118" s="141"/>
      <c r="R118" s="141"/>
      <c r="S118" s="141"/>
      <c r="T118" s="141"/>
    </row>
    <row r="119" spans="1:21" s="98" customFormat="1" ht="20" customHeight="1">
      <c r="A119" s="140"/>
      <c r="B119" s="141"/>
      <c r="C119" s="141"/>
      <c r="D119" s="141"/>
      <c r="E119" s="141"/>
      <c r="F119" s="141"/>
      <c r="G119" s="141"/>
      <c r="H119" s="141"/>
      <c r="I119" s="141"/>
      <c r="J119" s="142"/>
      <c r="K119" s="223">
        <f>SUM(K115:K118)</f>
        <v>781</v>
      </c>
      <c r="L119" s="141"/>
      <c r="M119" s="141"/>
      <c r="N119" s="141"/>
      <c r="O119" s="141"/>
      <c r="P119" s="141"/>
      <c r="Q119" s="141"/>
      <c r="R119" s="141"/>
      <c r="S119" s="141"/>
    </row>
    <row r="120" spans="1:21" s="141" customFormat="1" ht="20" customHeight="1">
      <c r="A120" s="140"/>
      <c r="J120" s="142"/>
      <c r="K120" s="125"/>
    </row>
    <row r="121" spans="1:21" s="98" customFormat="1" ht="24" customHeight="1">
      <c r="A121" s="224" t="s">
        <v>96</v>
      </c>
      <c r="B121" s="225"/>
      <c r="C121" s="225"/>
      <c r="D121" s="225"/>
      <c r="E121" s="225"/>
      <c r="F121" s="225"/>
      <c r="G121" s="225"/>
      <c r="H121" s="225"/>
      <c r="I121" s="225"/>
      <c r="J121" s="225"/>
      <c r="K121" s="225"/>
      <c r="L121" s="191"/>
      <c r="M121" s="191"/>
      <c r="N121" s="191"/>
      <c r="O121" s="191"/>
      <c r="P121" s="191"/>
      <c r="Q121" s="142"/>
      <c r="R121" s="142"/>
      <c r="S121" s="191"/>
    </row>
    <row r="122" spans="1:21" s="98" customFormat="1" ht="30.5" customHeight="1">
      <c r="A122" s="218" t="s">
        <v>52</v>
      </c>
      <c r="B122" s="219" t="s">
        <v>10</v>
      </c>
      <c r="C122" s="104" t="s">
        <v>53</v>
      </c>
      <c r="D122" s="104" t="s">
        <v>54</v>
      </c>
      <c r="E122" s="104" t="s">
        <v>55</v>
      </c>
      <c r="F122" s="104" t="s">
        <v>56</v>
      </c>
      <c r="G122" s="104" t="s">
        <v>15</v>
      </c>
      <c r="H122" s="104" t="s">
        <v>16</v>
      </c>
      <c r="I122" s="104" t="s">
        <v>17</v>
      </c>
      <c r="J122" s="104" t="s">
        <v>73</v>
      </c>
      <c r="K122" s="104" t="s">
        <v>57</v>
      </c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</row>
    <row r="123" spans="1:21" s="98" customFormat="1" ht="20" customHeight="1">
      <c r="A123" s="226" t="s">
        <v>19</v>
      </c>
      <c r="B123" s="227">
        <f>42+173-2-9-5-5-10-1-2-1+1+80-7-2-1-1-1-1-1-10-1+1-1-1-1-3-11-10-1-97-2-100-10</f>
        <v>0</v>
      </c>
      <c r="C123" s="102">
        <f>9+386-2-6-14-4+4-2-3-3-1-5-5-5-5-1-2-2-7-1-1-1-80+1-1+110-2-6-5+40-1-30-2-1-3-27-1-15-1-1-2+1-1-1-1-1-1-1-25-1-35-5-19-1-3-1-100-1-19-1-6-61-19+4-1-3</f>
        <v>0</v>
      </c>
      <c r="D123" s="102">
        <f>63+269-1-7-1-26-17+5-8-1-1+1+8-1-5-17-6-12-5-5-5-1-1+1-1-8-14-1-3-7-2-1+1-1-1-1-2-1-1-2+62-105-2+1-4+318-1-7-3-1-2-4-5-30-13-1-1-1+1-1-2-1-1-4-1-1-20-1-15-2-1-5-1-1-2-1+5-1-2-1-1-1-1-1+1-1-1-1-3-30-44-1-1-25-4-1-11-1-1-100-28-13-4-52+1+1-1-1+14-1-1-10-1-1</f>
        <v>0</v>
      </c>
      <c r="E123" s="102">
        <f>20+211-1-5-30-6+12-1-28-2+1+28-3-1-16-9-2-1-1-12-5-5-1-5+1+1-2-21-3-3-1-2-1-1-1-1+1-1-1-1-3-20-1-1-1+400-65+1+1+44-2-1-2-3-1-2-1-6-21+2-50-2-1-1-1-1-5-11-20-2-1-6-1-10+6-1-2-1-1-1-1-1-1-1-1-1-10-26-1-1-14-5-3-14-8-100-22-8-90+5-1-4</f>
        <v>0</v>
      </c>
      <c r="F123" s="102">
        <f>53+132-3-6-2+37-1-1+1+1-1-3-4-1-3-5-5-1-3+1-1-1-3-5-1-3-1-1-1-3-2-1-1+72-1-1+38-25+1-2-1-1-4-10-1-1-50-2-1-2-1-5-1-1-4-1-12-1-1-1-1-1-5-19-6-5-1-7-3-30-10-10-15-30</f>
        <v>0</v>
      </c>
      <c r="G123" s="102">
        <f>21-2-2+2-1-1+1-1-5-12+1-1+22+128-2-2-8+1-2-2-1+1-1-2-1-1-1-2-5-1-6-2-1-2-42-5-1-21-1-2-1-1-1-6-2-1-1-1</f>
        <v>24</v>
      </c>
      <c r="H123" s="102">
        <f>24-3-1-1-1-1-17+1-1+2-1+10+65-3+1-1+2-1-1-1-1-1-3-2-2-1-1</f>
        <v>61</v>
      </c>
      <c r="I123" s="102">
        <f>3+1-4+40-1-1-1</f>
        <v>37</v>
      </c>
      <c r="J123" s="102">
        <f>10+1-2-5-1</f>
        <v>3</v>
      </c>
      <c r="K123" s="102">
        <f>SUM(B123:J123)</f>
        <v>125</v>
      </c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</row>
    <row r="124" spans="1:21" s="98" customFormat="1" ht="29.25" customHeight="1">
      <c r="A124" s="226" t="s">
        <v>20</v>
      </c>
      <c r="B124" s="227">
        <f>30+173-2+2-32-1-1-1+30+1-7-34-1-1-1-1-2-14</f>
        <v>138</v>
      </c>
      <c r="C124" s="102">
        <f>98+225-6-1-1+6+1-4-21-4-2-1-14-2-10+28+52+1-15-7-1-2-3-206-1-1-1-1-1-28-1-5-2-3-1</f>
        <v>66</v>
      </c>
      <c r="D124" s="102">
        <f>37+200-2-1-6-1-1-1+1-7-13-27+1-11+1-1-2-1-1-1-1-1-17-3-1-1+1+30-1-1-21+1-1-1+160+110-1-2-1-1-52-10-1-1-93-2-1-2-1-1-1-1-168-9-1-4-1-1-1-1-5-1-1-1-19-1-1-1-1-3-1-10-1-2-1</f>
        <v>11</v>
      </c>
      <c r="E124" s="102">
        <f>32+376-1-5-1-9-1-6-1-1+61-5-7-4-9-1-1-1-1-1-9+3-3+1-1-1-1-1-18-2-23-1-1+55+5-1+1+5-79-6-166-1-1-1-1-100-5-5-1-2-1-1-1-11-2-6-1-2-6-7-1</f>
        <v>15</v>
      </c>
      <c r="F124" s="102">
        <f>56+193-2-1-1-1+12+3-4-1-6-2-1-2-1-5-1-1-10-1-38-6-1-74-1-3+1-1-1-1-50-2-5-1-1-8-2-1-4-2-1</f>
        <v>22</v>
      </c>
      <c r="G124" s="102">
        <f>9+64-2-1-3+1-3-3-2-1-4-6+36+24-7-1-2-1-71-1-2-1-14-1-1</f>
        <v>7</v>
      </c>
      <c r="H124" s="102">
        <f>8+50-2+1-1+1-20-2-1-1-1</f>
        <v>32</v>
      </c>
      <c r="I124" s="102">
        <f>31+10-1-1+1-1-3-1</f>
        <v>35</v>
      </c>
      <c r="J124" s="102">
        <f>21+10-1+1-1</f>
        <v>30</v>
      </c>
      <c r="K124" s="102">
        <f>SUM(B124:J124)</f>
        <v>356</v>
      </c>
      <c r="L124" s="141"/>
      <c r="M124" s="141"/>
      <c r="N124" s="141"/>
      <c r="O124" s="141"/>
      <c r="P124" s="141"/>
      <c r="Q124" s="141"/>
      <c r="R124" s="141"/>
      <c r="S124" s="141"/>
      <c r="T124" s="141"/>
      <c r="U124" s="141"/>
    </row>
    <row r="125" spans="1:21" s="98" customFormat="1" ht="20" customHeight="1">
      <c r="A125" s="228" t="s">
        <v>94</v>
      </c>
      <c r="B125" s="107">
        <f>1+1-1-1+50-2-8-23-1-2</f>
        <v>14</v>
      </c>
      <c r="C125" s="107">
        <f>2-2+68-3-1-1-4-1-1-39-18</f>
        <v>0</v>
      </c>
      <c r="D125" s="107">
        <f>1-1+127-6-1-1-8-1-1-1-1-54-53</f>
        <v>0</v>
      </c>
      <c r="E125" s="107">
        <f>17-6-1-1-1-1-1-1-5+126-6-1-2-1-1-1-39-75</f>
        <v>0</v>
      </c>
      <c r="F125" s="107">
        <f>3-1-1-1+68-2-1-20-45</f>
        <v>0</v>
      </c>
      <c r="G125" s="107">
        <f>0+25-2-23</f>
        <v>0</v>
      </c>
      <c r="H125" s="107">
        <f>1+15-4</f>
        <v>12</v>
      </c>
      <c r="I125" s="107">
        <f>1+10-1-1</f>
        <v>9</v>
      </c>
      <c r="J125" s="107">
        <f>3+1-1+10-1</f>
        <v>12</v>
      </c>
      <c r="K125" s="107">
        <f>SUM(B125:J125)</f>
        <v>47</v>
      </c>
      <c r="L125" s="141"/>
      <c r="M125" s="141"/>
      <c r="N125" s="141"/>
      <c r="O125" s="141"/>
      <c r="P125" s="141"/>
      <c r="Q125" s="141"/>
      <c r="R125" s="141"/>
      <c r="S125" s="141"/>
      <c r="T125" s="141"/>
    </row>
    <row r="126" spans="1:21" s="98" customFormat="1" ht="20" customHeight="1">
      <c r="A126" s="228" t="s">
        <v>97</v>
      </c>
      <c r="B126" s="107">
        <f>10</f>
        <v>10</v>
      </c>
      <c r="C126" s="107">
        <v>0</v>
      </c>
      <c r="D126" s="107">
        <f>2-1</f>
        <v>1</v>
      </c>
      <c r="E126" s="107">
        <f>0</f>
        <v>0</v>
      </c>
      <c r="F126" s="107">
        <f>9-1</f>
        <v>8</v>
      </c>
      <c r="G126" s="107">
        <f>10</f>
        <v>10</v>
      </c>
      <c r="H126" s="107">
        <f>10</f>
        <v>10</v>
      </c>
      <c r="I126" s="107">
        <f>10</f>
        <v>10</v>
      </c>
      <c r="J126" s="107">
        <v>0</v>
      </c>
      <c r="K126" s="107">
        <f>SUM(B126:J126)</f>
        <v>49</v>
      </c>
      <c r="L126" s="141"/>
      <c r="M126" s="141"/>
      <c r="N126" s="141"/>
      <c r="O126" s="141"/>
      <c r="P126" s="141"/>
      <c r="Q126" s="141"/>
      <c r="R126" s="141"/>
      <c r="S126" s="141"/>
      <c r="T126" s="141"/>
    </row>
    <row r="127" spans="1:21" s="98" customFormat="1" ht="22.5" customHeight="1">
      <c r="A127" s="117" t="s">
        <v>23</v>
      </c>
      <c r="B127" s="107">
        <f>34-1-1-1+1-2-1-1-1-1-1</f>
        <v>25</v>
      </c>
      <c r="C127" s="107">
        <f>14-12-2+2-1-1+3-1-1</f>
        <v>1</v>
      </c>
      <c r="D127" s="107">
        <f>47-18-15-2-2+15-1-1-1-6-5-1+1-6-1-1-1-1-1</f>
        <v>0</v>
      </c>
      <c r="E127" s="107">
        <f>57-14-3-5-1-2+3-1-2-7-1-1-1-7-1-1-1-1-1-1</f>
        <v>9</v>
      </c>
      <c r="F127" s="107">
        <f>25-1-4-4-1-3-3-1-1-7</f>
        <v>0</v>
      </c>
      <c r="G127" s="107">
        <f>19-3-1+1</f>
        <v>16</v>
      </c>
      <c r="H127" s="107">
        <f>4+1-1</f>
        <v>4</v>
      </c>
      <c r="I127" s="107">
        <f>9+1+1</f>
        <v>11</v>
      </c>
      <c r="J127" s="107">
        <f>6+1</f>
        <v>7</v>
      </c>
      <c r="K127" s="107">
        <f>SUM(B127:J127)</f>
        <v>73</v>
      </c>
      <c r="L127" s="222"/>
      <c r="M127" s="141"/>
      <c r="N127" s="141"/>
      <c r="O127" s="141"/>
      <c r="P127" s="141"/>
      <c r="Q127" s="141"/>
      <c r="R127" s="141"/>
      <c r="S127" s="141"/>
      <c r="T127" s="141"/>
    </row>
    <row r="128" spans="1:21" s="98" customFormat="1" ht="20" customHeight="1">
      <c r="A128" s="140"/>
      <c r="B128" s="141"/>
      <c r="C128" s="141"/>
      <c r="D128" s="141"/>
      <c r="E128" s="141"/>
      <c r="F128" s="141"/>
      <c r="G128" s="141"/>
      <c r="H128" s="141"/>
      <c r="I128" s="141"/>
      <c r="J128" s="142"/>
      <c r="K128" s="223">
        <f>SUM(K123:K127)</f>
        <v>650</v>
      </c>
      <c r="L128" s="141"/>
      <c r="M128" s="141"/>
      <c r="N128" s="141"/>
      <c r="O128" s="141"/>
      <c r="P128" s="141"/>
      <c r="Q128" s="141"/>
      <c r="R128" s="141"/>
      <c r="S128" s="141"/>
    </row>
    <row r="129" spans="1:26" s="98" customFormat="1" ht="20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</row>
    <row r="130" spans="1:26" s="98" customFormat="1" ht="20" customHeight="1">
      <c r="A130" s="188" t="s">
        <v>98</v>
      </c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</row>
    <row r="131" spans="1:26" s="98" customFormat="1" ht="20" customHeight="1">
      <c r="A131" s="173"/>
      <c r="B131" s="101"/>
      <c r="C131" s="183"/>
      <c r="D131" s="183"/>
      <c r="E131" s="183"/>
      <c r="F131" s="183"/>
      <c r="G131" s="183"/>
      <c r="H131" s="183"/>
      <c r="I131" s="183"/>
      <c r="J131" s="183"/>
      <c r="K131" s="183"/>
    </row>
    <row r="132" spans="1:26" s="98" customFormat="1" ht="20" customHeight="1">
      <c r="A132" s="195"/>
      <c r="B132" s="104"/>
      <c r="C132" s="104"/>
      <c r="D132" s="101" t="s">
        <v>48</v>
      </c>
      <c r="E132" s="183"/>
      <c r="F132" s="183"/>
      <c r="G132" s="183"/>
      <c r="H132" s="183"/>
      <c r="I132" s="183"/>
      <c r="J132" s="183"/>
      <c r="K132" s="184"/>
    </row>
    <row r="133" spans="1:26" s="98" customFormat="1" ht="20" customHeight="1">
      <c r="A133" s="100" t="s">
        <v>52</v>
      </c>
      <c r="B133" s="104" t="s">
        <v>10</v>
      </c>
      <c r="C133" s="104" t="s">
        <v>53</v>
      </c>
      <c r="D133" s="104" t="s">
        <v>54</v>
      </c>
      <c r="E133" s="104" t="s">
        <v>55</v>
      </c>
      <c r="F133" s="104" t="s">
        <v>56</v>
      </c>
      <c r="G133" s="104" t="s">
        <v>15</v>
      </c>
      <c r="H133" s="104" t="s">
        <v>16</v>
      </c>
      <c r="I133" s="104" t="s">
        <v>17</v>
      </c>
      <c r="J133" s="104" t="s">
        <v>18</v>
      </c>
      <c r="K133" s="105"/>
    </row>
    <row r="134" spans="1:26" s="98" customFormat="1" ht="20" customHeight="1">
      <c r="A134" s="117" t="s">
        <v>61</v>
      </c>
      <c r="B134" s="107"/>
      <c r="C134" s="107">
        <f>28-20-2-1+6+32-7-3-5-7-2-1-1-3+7+1</f>
        <v>22</v>
      </c>
      <c r="D134" s="107">
        <f>60-9-20-4-8-1-12-6+64-10-3-7-5-12-1-1-2-4+10-7</f>
        <v>22</v>
      </c>
      <c r="E134" s="107">
        <f>60-10-20-7-9-14+2+62-16-2-5-2-1-16-1-2-2+16+25</f>
        <v>58</v>
      </c>
      <c r="F134" s="107">
        <f>28-3-1-1-15-8+33-7-3-3-1-1-13-2-3+7</f>
        <v>7</v>
      </c>
      <c r="G134" s="107">
        <f>28-3-2-3-3-9-2+32-2-3-2-1-1-2-5</f>
        <v>22</v>
      </c>
      <c r="H134" s="107">
        <f>0</f>
        <v>0</v>
      </c>
      <c r="I134" s="107">
        <f>0</f>
        <v>0</v>
      </c>
      <c r="J134" s="107">
        <f>0</f>
        <v>0</v>
      </c>
      <c r="K134" s="108">
        <f>SUM(B134:J134)</f>
        <v>131</v>
      </c>
    </row>
    <row r="135" spans="1:26" s="98" customFormat="1" ht="20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</row>
    <row r="136" spans="1:26" s="230" customFormat="1" ht="101.5" customHeight="1">
      <c r="A136" s="229" t="s">
        <v>99</v>
      </c>
      <c r="B136" s="229"/>
      <c r="C136" s="229"/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</row>
    <row r="137" spans="1:26" ht="31" thickBot="1">
      <c r="A137" s="231" t="s">
        <v>100</v>
      </c>
      <c r="B137" s="231"/>
      <c r="C137" s="231"/>
      <c r="D137" s="231"/>
      <c r="E137" s="231"/>
      <c r="F137" s="231"/>
      <c r="G137" s="231"/>
      <c r="H137" s="231"/>
      <c r="I137" s="231"/>
      <c r="J137" s="231"/>
      <c r="K137" s="231"/>
      <c r="L137" s="231"/>
      <c r="M137" s="231"/>
      <c r="N137" s="231"/>
      <c r="O137" s="231"/>
      <c r="P137" s="231"/>
      <c r="Q137" s="231"/>
      <c r="R137" s="231"/>
      <c r="S137" s="231"/>
      <c r="T137" s="232"/>
    </row>
    <row r="138" spans="1:26" ht="21">
      <c r="A138" s="233" t="s">
        <v>83</v>
      </c>
      <c r="B138" s="158" t="s">
        <v>3</v>
      </c>
      <c r="C138" s="234"/>
      <c r="D138" s="234"/>
      <c r="E138" s="234"/>
      <c r="F138" s="234"/>
      <c r="G138" s="234"/>
      <c r="H138" s="234"/>
      <c r="I138" s="234"/>
      <c r="J138" s="235"/>
      <c r="K138" s="236" t="s">
        <v>4</v>
      </c>
      <c r="L138" s="234"/>
      <c r="M138" s="234"/>
      <c r="N138" s="234"/>
      <c r="O138" s="234"/>
      <c r="P138" s="234"/>
      <c r="Q138" s="234"/>
      <c r="R138" s="234"/>
      <c r="S138" s="235"/>
      <c r="T138" s="237"/>
    </row>
    <row r="139" spans="1:26" ht="21">
      <c r="A139" s="159" t="s">
        <v>1</v>
      </c>
      <c r="B139" s="104" t="s">
        <v>10</v>
      </c>
      <c r="C139" s="104" t="s">
        <v>53</v>
      </c>
      <c r="D139" s="104" t="s">
        <v>54</v>
      </c>
      <c r="E139" s="104" t="s">
        <v>55</v>
      </c>
      <c r="F139" s="104" t="s">
        <v>56</v>
      </c>
      <c r="G139" s="104" t="s">
        <v>70</v>
      </c>
      <c r="H139" s="104" t="s">
        <v>16</v>
      </c>
      <c r="I139" s="104" t="s">
        <v>17</v>
      </c>
      <c r="J139" s="238" t="s">
        <v>18</v>
      </c>
      <c r="K139" s="239" t="s">
        <v>10</v>
      </c>
      <c r="L139" s="104" t="s">
        <v>53</v>
      </c>
      <c r="M139" s="104" t="s">
        <v>54</v>
      </c>
      <c r="N139" s="104" t="s">
        <v>55</v>
      </c>
      <c r="O139" s="104" t="s">
        <v>56</v>
      </c>
      <c r="P139" s="104" t="s">
        <v>15</v>
      </c>
      <c r="Q139" s="104" t="s">
        <v>16</v>
      </c>
      <c r="R139" s="104" t="s">
        <v>17</v>
      </c>
      <c r="S139" s="240" t="s">
        <v>18</v>
      </c>
      <c r="T139" s="241" t="s">
        <v>57</v>
      </c>
    </row>
    <row r="140" spans="1:26" s="98" customFormat="1" ht="39.5" customHeight="1">
      <c r="A140" s="159" t="s">
        <v>94</v>
      </c>
      <c r="B140" s="107">
        <f>28+28+68-1-2-2-1-4+1-2-3-1+2+1-2-3-1-1-1-2+4-2-1-1-1-3-2-27-2-1-1-3-1-4-1+27-4+3-15-1-3-1-1-1+1-1-2-1-1-1-1-1-1-1-13-2-1-12-1-1-15-3-1-1-1+40-1+58-1-5-2-1-1-1+1-1-2-1-2-1-3-1-1-1-1-4+50-2-1</f>
        <v>116</v>
      </c>
      <c r="C140" s="107">
        <f>13+80+78+26+19+85+90+50-1-1-4-1-4-2-1-1-1-1-1-3+1-1-1-1-1-1-1-9+5+1-7-8-2-1-8-8-1-1-1-1+1+1-1-1-3-1-1-1-1-2-3-1-4-1-1-1-13-2-2-2-2-1-3-5-1-3-1-1-1-1-1-2-1-1-1-3-1-5-3-7-1-1-2+2-7-1+8-3-1-1-2-25-1-2-1-1-1-5-2-1-2-2-1-1-1-1-8-1-1-15-1-1-1-1-1-1-10-1-2-1-2-1-19-10-2-1-1-1-3-4-1-1-1-1-1-3-3-1-1-2-3-1-1-1-5-1-1-1-1-1-1-1-1-1-1-1-1-3-1-2-2-2+80-1-1-15-1-6-2-4-2-3-1-1-1+1-2-2-4-3-2-2-1-4-1-2-1-1-1-1-8-1+2-2-1-2+49-2-1-1-1-1-2-6+100-1-1+1-1-1-1-5-1-1-1-1-1</f>
        <v>223</v>
      </c>
      <c r="D140" s="107">
        <f>93+85+25+100+67+115-3-10-4-1-1-3+2-1-1-1-1-12+2+3-2-1+2-9-11-1-13-13-1-1-1-1-1-1-18-3+1-1-2-1-2-6-1+1-2-5-1-1-5-1-1-1-10-2-2-2-1-1-3-25-1-1-1-4-3-1-1+1-4-1-1-3-8-1-1-10-5-1-1-3-8-3-2-1-1-8-2+8-3-3-1-1-1+2-1-1-1-2-2-1-40-2-14-4-10-3-3-3-1-4-2-1-3-1+3-2-5-1-15-1-1+120-1-1-1-3-1-1-15-2-1-1-1-3-1-1-39-5-1-4-5-1-1-1-1-1-1-3-1-1-2-1-1-1-1-1-4-1-1-2-10-2-1-2-1-2-1-1-1-1-5+100-1-1-2+101-1-20-1-2-1-1-1-1-1-10-2-8-1-2-1-1-4-4-3-5-1-1-1-1-1-1-1-1+2-1-2-1-2-1-1-8+46-3-1-1-1-1-1-1-1-1-1-1-5+100-1-1-2-1+2-1-3-1-1-1-1</f>
        <v>312</v>
      </c>
      <c r="E140" s="107">
        <f>100+15+80+29+83+74+199-2-1-10-1-3-1-2-1-1-16-1-8-8-2-22-22-1-1-1-10-3-12-1-1-1-1-4-10-1-1-1-7-1-1-2-11-1-1-2-1-1-1-1-3-3-1-1-5-1-1-3-1-2-1-3-1-10-5-1-2-1-2-1-3-10-9-2-1-3-2+2-3-2+2-3-2-2-40-1-3-1-1-1-2-10-3-2-2-1-1-5-1-1-13-1-2-2-1-1-1+30-1-1-1-1-15-1-1-1-1-1-1-31-1-2-1-1-1-5-8-1-1-2-1-1-1-2-2-1-1-1-1-1-1-1-2-10-3-1-1-3-1-3-1-2-1-1-1-5+80-2-1-1+79-1-1-25-4-1-2-1-1-8-2-1-1-1-1-1-4-1-4-6-1-1-1-1-1+2-2-1-1+48-1-1-1-1-1-2-6-1+120-1+1-2-1-1-1-2-1-1-1</f>
        <v>346</v>
      </c>
      <c r="F140" s="107">
        <f>12+27+9+35+38+20+40-1-8-1-1-2-1-1-10-10-11-1-12-12-5-1-1-10-1-15-1-1-1-1-2-10-1-4-1-4-4-2-2-1-3-3-1-2-1-1-1-6-1-1-1-5-1-4-3-3-2-1-2+3-1-1-1+46-2-2-1-3-15-1-3-1-2-2-5-1-1-2-1-1-1+180-1-10-1-1-5-10-1-1-1-2-3-1-1-1-1-2-1-1-1-5-1-5-10-1-1-1-2-1-1-10-1-1-1-1-1-1-15-1-1-5-2-1-6-1-2-1-4-1-1-1-2-1-1-1-1-1-1-1+2-2-2-1-1-1+50-1-1-1-1-6+50-1-2-1-5-1-1-1</f>
        <v>115</v>
      </c>
      <c r="G140" s="107">
        <f>20+10+33+21+31-1-5-2-1-7-7-3-3-1-1-4-1-1-4-10-1-1-3-1-1-4-4-2-1-1-1-2-1-1-1-1-1-1-5-1-1-1+1-3-1-3-1-1-2-3-1-2-1-2-1+60-1-2-6-1-1-1-3-1-2-1-1-1-1-1-4-1+15-2-1+20-1-1-10-1-2-2-1-1-3-1-1-2-1+1-2-1-1-1+10-1+30-1-1+1-2-1-1-5</f>
        <v>70</v>
      </c>
      <c r="H140" s="107">
        <f>25+11+2-1-2+1-3-4-4-4-3-1-3-5-1-5-2-1+50-20-3-1-1-1-1-1-2-1-1-8-2-2-1-1-1+40-1+20-1-5-1-4-1-1-1-1-1+15-1-1-2-1</f>
        <v>56</v>
      </c>
      <c r="I140" s="107">
        <f>0+35-1-1-3-3-3-1-1-3-1-1-5-5-2-3-1-1+15+30-1-2-1-3</f>
        <v>38</v>
      </c>
      <c r="J140" s="242">
        <f>0+24-1-1-1-1-1-2-5-2-2-1-1-1-1-1+15+20-1-2-1</f>
        <v>34</v>
      </c>
      <c r="K140" s="243">
        <f>10+50-3-2-1-2-1-1-2-4-1-1-1-1-1+1+1-3-3-1-1-1-1-1+1-1-1-29+11-2-1-1-1-1-2-1-1+1-1+2-1-1-1+70-3-1-1+29-1-1+1-1-1-1-1-1-8-1-2-1-1-4-2-2-1+22-1-11-1-2-1-1-1+8-1-1-1+35-5-1-1-1-1-1-1-1-1+40-1-2-1-3-2-3-5-1-1-9-1-1-5-1</f>
        <v>101</v>
      </c>
      <c r="L140" s="107">
        <f>3-3+3-3+3-2-1+120-1-40-2-1-4-2-7-5-19-1-1-1-5+80-1-2-3-2-1-1-2-1-2-8-6-2+217-1-5-1-4-10-1+3-1-1-1-1-7-1-1-1-20-5-3-1-2-2-2-1-1-1-14-2-2-1-2-1-1-4-4-2-10-14-3-1+31-1-15-1-1-1-1-1-1-1-3+15-1-5-1-1-1-1-1-2+3+66-15-1-2-1-1-1-3-3-1+5+51-1-1-10-1-1-1-1-1-5+3-1-1-1-1-2-2-1-1-1-1-8-1+80-1-1-1-8-1-1-16-1-3-1-1-6-3-2-5-1-1-2-1-1-1-1-2-3-1-3-1-3-1-1-1-2-2</f>
        <v>230</v>
      </c>
      <c r="M140" s="107">
        <f>70+80+70+20+86+20+11+25-2-9-3-2-2+280-3-2-1-5-2-5-1-4-1+1+60-1-56-1-2-1-3-1-4-1-16-4-1-2-1-8-13-2+1+1-2+2-2-3-7-3-1-2-2-3-3-2-15-1-1-2-1-1-25-3-12-1-2-3-1-5-10-5-1-1-1-1-30+1-1-1-1-3--13-1-1-6-1-1-2-1-1-28-1-2-24-5-1-1-3-2-1-7-1-1-3-6-15-1-1-1-10-1-1-1-9-6-1+1-13-1-1-1-17-3-1-4-3-1-1-2-11-1-5-2-10-1-1-1-7-2-1-1-1-6-3-2-4-2-5-2-9-2-1+13-6-1-1+6-3-3-1-1-2-3-1+1-3-1-1-1-1-1-10+250-3-60-1-8-10-2-2-15-4-2-2+52-4-2-1-1-4-1-1-1-2-3-1-7-1-4+237-1-2-1-2-1-1-10-3-2-4+35-3-1-15-1-1-1-1-1-4-10-2+1-1-3-1-1-1-3-3-2-1-1-1-2-1-2-1-1-1-1-1-1-1-1-1-1-3-1-47-2-1-1-1-4-1-1-2-1-2-2-1-15-1-1-2-1-1-10-2-1-2-20-1-35-1+63-1-1-20-1-7-2-4-1-10-6-1-1-4-4-3-1-1-1-1-1-1+85-2-1-1-1-1-1-1-2-2+1-1-1-1-1-2+35+68-20-4-1-3-1-7-1-1-1-2-1-14+166-1-1-1-10-1-2-1-1-3-1-4-1-5-3-7-1-2-8-5-2+5-4-1-1-5+1-1-3-1-6-1-5-2-2+149+1-3-1-1-2-1-1-1-2-15-2-1-30-1-1-2-3-8-10-1-15-2-1-4-15-1-1-1-1-1-2-1-1-3-2-2-2-2-1-2-1-1-1-7-1-8-16-10</f>
        <v>445</v>
      </c>
      <c r="N140" s="107">
        <f>74+70+80+70+30+72+20+70-2+2-18+100-1-1-1-3-2-1-5-6-3-1-1+1+100+100-1-60-2-2-10-1-40-1-8-3-1-1-1-2-18+1+4-1-1-2-6-3-3-11-11-20-1-1-15-1-7-12-1-2-3-2-1-2-8-1-1-4-30-3-1-2-4-1-1-1-2-1-1-10-22-1-16-1-5-15-3-1-2-6-20-1-4-1-1-12-5-9-1-1-12-2-1-1-1-13-1-1-2-1-2-4-1-1-1-23-1-7-1-1-10-1+3-8-7-1-2-1-3-6-2-6-3-1-1-1-1-10-1-5-1-6-2-3+6-3-1-2-3-2+3-1-1-1-1-4-10-2+190-60-1-5-10-1-1-15-6-5-1+68-4-1-3-1-4-1-6-1-6-3-1+5+218-1-1-1-7-1-1-3-1+75-2-20-1-1-2-1-4-1-2-1-4-2-1+4-3-1+1-3-2-1-2-1-1-1-1-5-1-2-1-1-3-4-1-1-57-2-1-1-3-1-4-1-2-2-2-2-2-5-2-1-10-1-3-1-1-1-10-10-1-1-7-2-20-38-1-1-1-1+27-1-1-15-1-1-2-1-1-1-9-10-3-1-1-2-1-1-1-1-1-1-1-1-1-1-5-1-1+123-2-1-2-1-1-8-1-1-3-2-1-3+50+51-4-25-3-1-2-1-2-1-12-2-2-3-2-4-6+141-9-1-5-2-1-2-1-1-1-10-5-7-8-12-1+5-3-8-7-1-4+4-5-7-5-2-1-1-2-1-2-1-1-2+250+9-1-2-3-4-6-3-1-12-1-1-1-2-1-1-1-1-19-1-2-10-1-12-1-1-5-1-5-1-1-3-1-5-1-1-6-5-1-4-2-2-2-3-1-1-3-5-1-1-1-8-5-6-10</f>
        <v>449</v>
      </c>
      <c r="O140" s="107">
        <f>80+10+80-1-1-1+1-7-4+20-1-1-4-5-2-1-1+100+100-26-2-1-1-1-6-6-16-1-2-1-1-1-10+2-1+15-3-4-4-3-6-6-2-10-1-13-6-12-1-4-2-1-30-1-1-2-1-1-1-1-1+1-3+1-4-6-9-7-1-1-2-1-9-1-1-8-20-1-1-4-4-1-1-1-2-1-1-4-3-1-5-5-1-1-12-1-1-2-2-2-1-5-1-3-1-3-1-3-1-1-3-1-2-1-10-1-1+89-1-45-1-2-1-7-2-4+67-5-1-3-1-5+60-1-1-1-1-1-8-5-1+91-2-5-1-1-1-6-2-1-20+2-2-1-1-2-2-1-2-1-2-18-1-1-1-1-2-1-1-1-1-1-3-1-2-2-1-1-10-10-3-1-2-15-1-13-1-1-1-5-1-1-1-1-3-3-10-1-1-2-1-2-3+145-3-1-1-2-2-1-1-1-1-2-1+4+69-1-15-1-1-2-1-1-1-2-2-3+45-1-1-1-1-1-1-1-2-1-5-3-1-8-1+2-7-2-2+3-1-1-1-1-3-1-1-8-1-1+1-1+80-1-4-1-1-1-1-4-1-1-8-8-2-1-1-1-1-18-1-1-6-6-4-2-1-5-4-1-2-8-1-1</f>
        <v>192</v>
      </c>
      <c r="P140" s="107">
        <f>13+51-1-5-3-1-1+1+99-12-1-1-3-1-2-1-2-3-2+1-1-1-2-1-5-1-1-1-1-2-1-1-1-5-1-5-1-30-1-5-4-1-1-2-1-6-10-1-1-1-1-1-3-3-1-1-2-1-5-2-1-1-1+1-4-3-1-1+50-1-2-14+71-30-3-2-5-1+20-5-2-2+42-7-1-1-4-10-1-1-2-1-1-2-9-1-1-1-1-1-1-1-5-2-12-1-1-9-1-5-1-2-1+98-1-4-1-1+2-1+34-10-1-1-1-1-1-1-3+145-1-1-5-1-1-8+5-1-1-3-1-8-1+1-1-4-2-6-2-2-2-1-2-1-1-1-1-1-1-2-5-3-2-1-1-3-1</f>
        <v>209</v>
      </c>
      <c r="Q140" s="107">
        <f>1+68-4+20+30-1-1-2-1+2+2-1-2-1-1-1-4-5-2-17-1-6-2-1-1-1-3-2+1-1-1-3-1-1-5-20-2-2-4+9-1-1-3-1+30-7-1-1-2-3-1-1-1-2-6-1-1-2-1-1-3-2-4-1-1-1-1-1-1-1+20-5-1-1-1+136-1-1-3-2-1-1+14-2+1-1-1-1+1-4-2-1-1-1-1-3</f>
        <v>147</v>
      </c>
      <c r="R140" s="107">
        <f>0+25-3-2-1-1-1-1-2-1-1-1-3-2-1-1-2-1-1+29-1+1+20-3-1-1-1+3-1-1-2-3-1-3</f>
        <v>35</v>
      </c>
      <c r="S140" s="165">
        <f>0+44-1-1-1-1-1+1-2-1-1-1-1-3-10-1-3-1-1-1-1-1-1-1-1+28-1+1-1-1-1</f>
        <v>34</v>
      </c>
      <c r="T140" s="244">
        <f t="shared" ref="T140:T148" si="2">SUM(B140:S140)</f>
        <v>3152</v>
      </c>
    </row>
    <row r="141" spans="1:26" s="98" customFormat="1" ht="36" customHeight="1">
      <c r="A141" s="159" t="s">
        <v>20</v>
      </c>
      <c r="B141" s="107">
        <f>50+59-1-1-1-3-1-1-1+1-1+31-1-1-1-2-2-5-1-1-1-1-1-1-1-1-1-1-15-1-1-15-2-1-1-1-1-6-2-2-1-2-2-1-2-1-1-1-1-1+50-2-1-5-1+1-3-3-2-1-1-3-1-2-2</f>
        <v>72</v>
      </c>
      <c r="C141" s="107">
        <f>54+90+70+80+60-1-2-3-6-2-2-3-4-1-1+1-1-1-1-1-1-1-7-1-1-1-1-1-1-1+14-1-1+35+1-1-8-5-1-1-2-2+1-1-2-30-2-3-1-3-1-1-1-3-3-5-4-2-1-1-1-2-1-1-1-1-1-3-1-1-6-1-1-1-1-1-1-1-1-1-1-1-1-3-2-1-25-3-5-6-2-2-1-7-1-1-1-1-6-2-3-1-3-5-1-13-2-1-2-2-5-2-1-3-1-3-5-1-1-1-2-1-1-1-1-3-1-1-2-1-1-1-1-2-3-1-8-1-1-13-9-2-1-1+100-2-7-2-15-1-2-6-7-1-3-2-1-2-1+1-1-2-1-1-1+72-1-1+27-1-1-2-2-1-8-1-1-2-6+29-2-1-1-1-1-1-1-2-2-2</f>
        <v>190</v>
      </c>
      <c r="D141" s="107">
        <f>50+52+10+7+156-2-2-10-7-2-2-4-1-2-1-1-1-1-19-2-3-1-1-2+66+3+3-2+32-2-13-1-10-2-1+80-2-1-2+1-2-30-1-4-1-1-3-1-2-1-1-5-2-3-5-2-1-4-2-1-2-3-1-1-1-1-1-1-3-1-15-1-1-10-10-1-2-1-2-2-1-2-2-1-2+1-1-1-2-2-1-2-40-1-5-1-2-2-3-1-6-1-4-1-3-2-1-1-2-5-6-1-17-1-1-1-1-5-1-1-3-1-6-5-2-6-1-1-2-1-5-3-1-1-2-2-1-1-1-1-1-2-5-2-2-2-2-1-1-13-1-1-1-1+150-4-13-1-2-1-1-20-1-7-2-6-1-3-3-1-2-5+41-1+8-1-1-1-5-5-2-1-1-1-2-1-5-1-1-1-2-1-3-1-3-2-3-1+75-3-1-1-1-1-1-3-1-1-5-2</f>
        <v>150</v>
      </c>
      <c r="E141" s="107">
        <f>75+60+75+271-10-5-1-2-1+1+1-2-1-2-10-2-1-1-1-2+77+1+23-1-1-1-22-1-10+1+1+60-3+1-30-5-1-2-5-2-1-1-2-1-3-1-6-1-1-5-2-1-1-3-1-1-1-1-1-3-1-3-2-8-1-2-10-1-10-1-1-2-2-2-1+3-1-1-1-1-2-40-1-5-1-3-2-2-1-2-1-1-1-1-1-10-6-1-17-1-1-1-1-5-1-1-1-7-4-1-1-3-1-1-1-2-1-1-2-2-1-3-1-1-1-4-1-1-12-1-1-12-1-2-1-1-1-2-1-1-1-25-1-7-6-1-1-1-3-1-1-1-1-1-5+101-3-1+19-6-11+1-1-1-1-1-2-1-1-1-1-1-1-2-3+64-1-1-1-1-1-4-1-2-2</f>
        <v>328</v>
      </c>
      <c r="F141" s="107">
        <f>90+10+30+47-1-10-2-1-1-2-1-1-3-1-1-2+40+11-12-5+1+59-1-30-1-2-2-1-1-5-1-1-2-1-1-1-1-1-1-1-1-2-1-5-5-4-1-1-1-8-1-1-1-1-1-2-2-1-30-1-5-2-1-5-1-1-5-8-2-15-1-2-4-1-1-1-3-2-5-3-1-2-1-1-1-1-1-3-1-3-1-1-1-7-1-4-1+50-1-1-2-15-1-4-3-5-1-1+24-1-2-1-1+7-2-1-5-2-1-2-1-1-1-1-3-4-3+27-1-1-1-1-1-2</f>
        <v>57</v>
      </c>
      <c r="G141" s="107">
        <f>49+36+77-1-3-2-1-1-1-1+19+1+1-3-1+2+1+61-2-30-1-1-1-1-1-1-1-1-1-1-1-2-1-1-1-1-3-25-2-1-1-5-8-2-7-1-1-1-1-2-3-3-1-1-1-2-1-1-1-1-1-1-3-1-1-1-2-1-1-10-1-1-1-1-5-3+1-2-1-1-1-2-1+19-1-1-1-2</f>
        <v>82</v>
      </c>
      <c r="H141" s="107">
        <f>50-3-1-4-1-1+20+1-4-3+60-30-1-1-1-3-1-1-1-1-1-1-1-2-20-1-1-6-1-3-2-3-2-1-1-1-2-1-1-1-3-1-1-1-5-1-1-1+30+10-3-1+1-1-1+19-1-2</f>
        <v>59</v>
      </c>
      <c r="I141" s="107">
        <f>10+15-1+12+8-3-1-1-1-1-1-1-20-5-2-2-1-2-1-2+20+16-2</f>
        <v>34</v>
      </c>
      <c r="J141" s="242">
        <f>0+45-1-1-5-2-1-2-1-1-1-2-1-2</f>
        <v>25</v>
      </c>
      <c r="K141" s="243">
        <f>46+57-1-1-1-1-1-1-1-2-1-1-1-3+4-2-1+2-1-1+1-1-2-3-1-1-2-1-2-1-1-3-1-1-1-1-1-20-3-1-1-1-1-1-5-12-1-2-17-1+18-2-1-1-5-1-2-4-3+45-1+15+45+45-5-1-5+1-1-1-1-2-3-2-1-5-1-1-2-5</f>
        <v>114</v>
      </c>
      <c r="L141" s="107">
        <f>80+70+84+68-2-3-2-12-2-2-1-1-5-2-1+1-1-1-1-3-2-1-1-2-1-4+93-1+3+1-1-5+5-2-1-1-15-1-2-3-1+1-1-1-2-5-12-1+30-1-1-2-1-1-8-1-1-1-1-1-1-1-1-1-1-10-1-1-1-1-1-6-2-5-1-10-40-1-1-10-5-4-1-1-1-1-1-1-1-2-2-7-1-1-6-1-1-2-1-3-10-10-2-4-7-2+148-3-1-1-1-7-6-6-5-1-3-1-2-1-6-2-1-1-3-1-1-1-2-14-3-1-1-1-1-1-2-7-1-1-1-1-1-1-1-1-2-5-1+24-4-1-5+1-1-1-15-2-6-1-1-9-3-1+86-10-1-1-1-6-1-1-1+19-1-1+15-7-6-1-1-1-2-1+132-1-1-1-1-1-1-5+6+2-3-1-3-1-1-1-1-1-2-1-4-1</f>
        <v>344</v>
      </c>
      <c r="M141" s="107">
        <f>84+70+20+70+70+221-2-1-16-1-1-1-18-16-5-3-3-4-1-3-5-1-2-1+1+1-1-1-3-1-3-1-1-1-2-1-4-1-15-1-1-3-2-1-1-1-7-6+1+201+2+1-2-1-1-8+22-1-1-1-2-3-35-2-2-5-2-1-1-3-5+1-1-1-2-1-1-1-5-3-2-4-2-11-1+30-1-1-1-11-2-1-1-1-1-3-4-1-2-1-4-8-1-1-1-2-1-6-2-4-9-1-1-1-2-5-1-3-1-1-1-31-1-1-6-1-1-1-2-1-4-1-7-1-8-2-1-1-1-1-7-2+2-1-1-3-1-2-4-10-1-1-60-5-1-1-2-3-1-2-13-1-2-1-1-4-6-1-1-1-2-1-1-3-4-1-1-8-3-13-1-5-1-1-1-9-1-1-1-1-20-1-1-7-12-1-2-3-2-1-2-1-1+223-3-2-2-5-1-7-1-1-1-1-2-1-1-1-3+192-2-1-1-1-3-12-1-1-1-1-1-1-1-1-1-3-5-3-2-2-3-1-6-1-2-10-1-3-10-1-10-1-1-15-3-1-2-15-1-35-1-2-1-1-1-1-11-3-1-5-1-1-1-1-1-2-25-2-10-1-1-2-1-1-10-2-36-1+39-1-7-1-15-1-1-10-17-1+30-1-1-1-1-3-1+1-20-2-2-20-1-1-3-9-2-10-1-3-3-1-1-1+114-10-1-1-10-2-16-4-1-1-1-4-1-10-1-2+78-1-1+49-1-1-1-6-2-1-2-10-1-1-1-16-4-12-2+10-3-1-1-1-2-1+165-25-2-3-1-1-5-1-2-1-1-10-6-1-2-5+166-2-1-1-1-2-2-1-1-2-3-1-3-7-2-7-15-1-4</f>
        <v>475</v>
      </c>
      <c r="N141" s="107">
        <f>99+100+100+104+6+147-1-31-1-1-18-4-4-7-1-1-5-1-1-1-1+1-1-1-3-2-3-8-7-30-1-1-1-1-2-1-1-12-8-1+210+1+4-2-1-1-10+45-1-1-5-1-11-30-1-1-2-10-1-4-1-5-1-10+1-1-1-1-2-10-8-2-1-1-7-1-10-1-2-1-3-1-2-4-3-2-8-1-1-1-1-2-1-1-1-8-1-1-3-1-4-2-1-18-1-1-5-1-1-1-10-1+1-5-10-1-1-1-4-1-6-7-1-1-2-1-4+1-1-4-3-1-5-1-10-1-1-60-1-10-1-1-2-3-1-2-1-20-1-1-1-1-1-8-1-1-3-1-1-1-1-1-3-3-2-1-10-1-2-5-1-1-10-1-1-1+418-20-3-3-3-1-24-1-1-1-2+9-2-2-4-6-1-1-3-1-1-1-2-3-3-1-1-1-8-2-2-1-14-6-3-1-1-1-1-1-4-15-8-2-15-6-2-1-3-1-10-1-3-2-10-10-1-3-3-2-20-38-1-1-2-1-1-1-2-1-1-1-6-1-1-2-1-1-1-1-2-10-1-1-2-2-1-1-20-1-29+40-1-1-2-1-1-1-6-29-1+29-2-1-7+1-1-4-25-2-2-1-1-10-3-12-10-30-2-6-1-10-8-1-1-1-3-10+300-1-2-3-1-9-1-23-1-1-1-1-16-15-1-1-1-13-1+6-2-3-29-4-1-2-1-10-1-1-2-1-12-2-1-5-10-1+90-2-3-2+147-2-1-1-3-1-2-1-1-3-2-1-8-2-2-14-1-15-4-8-1</f>
        <v>373</v>
      </c>
      <c r="O141" s="107">
        <f>100+100-4-18-14-1-1-2-2-5-1+1-1-1-1-1-2-2-2-2-1-1-2-11-1-1-2-1-9-8-11+2-1-1-6+27-1-6-30-1-4-10-4-1-10-2-2-3-10-4-5-3-1-1-1-1-2-4-1-1-1-5+26-1-1-7+35-3-2-1-1-6-1-1-37+2-2+10-2-1-3-1-1-1-1+48-45-2-1+351-1-5-1-3-1-1-1-8-1-5-4-1-1-10-5-1-2-1-2-1-1-1-1-1+3-3-2-5-2-2-2-1-2-1-1-7-3-2-1-1-1-1-1-1-1-3-3-5-10-1-10-1-2-7-2-1-3-10-5-2-13-1-2-1-2-2-1-4-1-1-1-3-1-2-1-1-25-1+2-1-1-1-1+66-2-13-1-1-1+2-2-1+1-1-15-2-11-1-1-4-9-2-10-1-1-1-1-1-10-5-1-3-1-1-1-1-5+100-2-2-5-1-12-1-2-12+15-12-1+1-1-6-2-1-1-1-10-1-10-4-5-1+16-1+50-2-1-2-1-2-1-3-9-1-2-1-10-1-4</f>
        <v>132</v>
      </c>
      <c r="P141" s="107">
        <f>0+130-1-4-5-1-1-2-2-1-1-1-1-4+30-2-4-1-6+1+83+1-6-1-5-1-2-5-1-2-5-1-4-1-10-1-4-2-1-1-6-1-2-1-1-1-1-1-1-1-5-1-1-22-1-1-5-10-1-1-3-1-1-1-1+2-2-1-8-2-1-1-1-1-1-3-1-1-5-1-30-10-4-5-1-1-3-3+41-1-2-1-3-5-1-1-1-1-1-2-1-4-1-1-6-2-2-3-1-1+64-1-4-6-1-1-1+100+79-1-1-4+1-10-1-2-1-2-1-2-5-2-1-9-1-1-2-3-1-3-1-10+2-1-1-1-1-10-3-5-2-2-1-9-2-7-3</f>
        <v>120</v>
      </c>
      <c r="Q141" s="107">
        <f>0+102-1-1-2-1-1-2-1-1+89-1+1-2-2+16+4-5-2-1-5-1-1-2-2-1-1-2-1-2-1-4-4-3-1-1-3-2-1-2-1-5-20-1-3-10-1-3-1-2-1-4-1-2-2-1-1-1-2-1-2-1-1-4-2-3-1-1-1-1-1-1-2-1-4-1-2-1-1-5-1-1-3-2-1-2-1+1-2-1-1-2-1-2-3-1-2</f>
        <v>25</v>
      </c>
      <c r="R141" s="107">
        <f>0+16-1+15+3+2-2-1-1-1-1-1-1-2-3-1-2-1-3-2-2-1-1-1-2-1-1-1-3+30+24-1-1-1-1-1+1-1-2-3</f>
        <v>44</v>
      </c>
      <c r="S141" s="165">
        <f>0+44-1+17+1+3-1-1-1-1-1-3-10-1-3-2-2-1-1-1-1-1-1+11-2+4-1-1-1-1-1-2-2</f>
        <v>36</v>
      </c>
      <c r="T141" s="244">
        <f t="shared" si="2"/>
        <v>2660</v>
      </c>
    </row>
    <row r="142" spans="1:26" s="98" customFormat="1" ht="36" customHeight="1">
      <c r="A142" s="159" t="s">
        <v>88</v>
      </c>
      <c r="B142" s="107">
        <f>7-1-2-1-1-2+23-1-1-1-1-1-1-1+59-1-3-1-1+1-4-4-5</f>
        <v>57</v>
      </c>
      <c r="C142" s="107">
        <f>5+15+33+35+46+30+24-3-4-1+80-1-1-1-1-3-1-13-1-1-1-1-3-1-5-1-3-2-1-2-1-1-4-3-2-3-5-1+59-1-1-5-2-1-1-1-2-10-1+1-1-1-1-2-1-1-1-2-1-1-3-1-1-1</f>
        <v>214</v>
      </c>
      <c r="D142" s="107">
        <f>15+13+40+58+61+59+71-2-4-1-1-1-2-1-1-1-1-1-1-1-2-1-1-15-3-1-1-2-5-1-1-1-1-3-2-3-3-1-1-3-1-1-1-5-1-1+98-1-1-1-1-1-2+1-7-1-2-2-3-1-2-2-1-1-1-1-2-4-1-1-3-1-1-1-1-1-1-1-1-1</f>
        <v>286</v>
      </c>
      <c r="E142" s="107">
        <f>12+35+78+80+109-3-4-1-1-1-1-5-1-1-1-2-1-1-13-5-1-1-3-3-1-5-1-3-2-1-3-1-1-1-1-1-1-1+99-2-3-2-1-1-2-1+1-7-6-1-1-1-1-1-1-1-1-1-1-5-1</f>
        <v>301</v>
      </c>
      <c r="F142" s="107">
        <f>20+26+24+50-3-3-1-1-1-1-1-1-4-2-3-1-1+1-1-1-2-1-5-1-2-1-3-1-2-1-1-1-1+99-1-1-1-1-1-1-1-2-1-1-1-1+1-7-2-7-2-1-1-1-1-3-1-1-1</f>
        <v>133</v>
      </c>
      <c r="G142" s="107">
        <f>7+17+11+19+18-3-1+20-1-1-1-3-1-1-1-1-1-2-1-2-1-3-3-1-1-1-1-1-1+29-1-1-1+1-1-4-1-1-1-1-1-1-3-1-1-3</f>
        <v>67</v>
      </c>
      <c r="H142" s="107">
        <f>1+15+9+10-1-3-1-1-1-3-3-2-1-1-3-1+29-1-1+1-2-1-1+1-1-1-1-1-3</f>
        <v>32</v>
      </c>
      <c r="I142" s="107">
        <f>0+10-1-1-1-2-2</f>
        <v>3</v>
      </c>
      <c r="J142" s="242">
        <f>2+43-1-1-1-1-1-1</f>
        <v>39</v>
      </c>
      <c r="K142" s="243">
        <f>1+15+27+31-1-1-3-2-1-1-1-3-1-1-1-2-1-2-10-1-5-1-1-1-3-1-1-1</f>
        <v>28</v>
      </c>
      <c r="L142" s="107">
        <f>12+35+50+11+50+66+16-1-2-3-1-2-1+58-2-2-1-1-1-3-1-4-3-5-5-1-1-1-1-1-7-1-1-2-1-3-3-1-1-1-1-2-8-3-1-1-5-1-1-1-2-2-4-2-1-1-2-5-1-1-5-1-1-1-1-1-1-1-1-1-3-2-1-1-1-1</f>
        <v>166</v>
      </c>
      <c r="M142" s="245">
        <f>65+38+18+86+28+46+17+23+70+79-2-3-3+428+7-4-1-2-1-1-1-1-3-3-2-1-1-3-31-7-1-1-1-1-2-1-5-1-14-1-1-4-1-1-7-1-2-6-2-3-1-8-10-4-1-4-2-4-2-12-3-2-1-5-1-1-2-1-2-1-6-1-1-1-1-1-1-1-1-1-1-7-1-1-2-15-2-2-4-3-1-5-2-3-3-1-1-1</f>
        <v>642</v>
      </c>
      <c r="N142" s="107">
        <f>70+25+60+60+10+17+5+66+70+30+38-6-1+97-1+2-15-1-1+3-4-1-1-1-5-5-1-4-3-1-1-1-1-31-1-1-5-1-2-2-1-3-1-5+2-4-21-1-3-3-7-1-4-1-4-2-3-1-1-1-5-1-5-1-1-10-2-1-1-2-1-1-1-4-1-1-1-2-1-1-1-4-1-2-1-2-3-1-1-1-2-1-1-3-1-9-1-2-1-7-2-1-2-6-1-1-1-1-1-3-1-5-1-2-1</f>
        <v>274</v>
      </c>
      <c r="O142" s="107">
        <f>65+50+87+50+40+60+17-6-3+57-2+1-1-4-1-1-1-5-1-1-5-1-1-3-18-7-1-6-2-1-5-8-1-3-8-2-1-4-1-1-1-8-3-2-1-2-1-1-1-1-2-1-5-1-3-7-1-5-2-2-6-1-1-1-1-1-1-1-1-5-1-1-1-5-4-1-3-1-3-1-1</f>
        <v>231</v>
      </c>
      <c r="P142" s="107">
        <f>28+30+12+2+44-2+22+1-1-1-1-6-1-2-1-1-1-3-2-2-2-1-5-3-1-5-1-5-4-1-2-1-1-2-2-3-2-1-2-3-1-3-1-1-3-1</f>
        <v>58</v>
      </c>
      <c r="Q142" s="107">
        <f>14+18+17-2-1+23-1-3-1-2-1-1-2-3-1-3-3-3-1-2-2-3-1-1-1-1-1-1-1</f>
        <v>30</v>
      </c>
      <c r="R142" s="107">
        <f>16+13+11-1-3-2-1-1-1-1-1+1-1</f>
        <v>29</v>
      </c>
      <c r="S142" s="165">
        <f>18+8+12-2-1-1-1-3</f>
        <v>30</v>
      </c>
      <c r="T142" s="244">
        <f t="shared" si="2"/>
        <v>2620</v>
      </c>
      <c r="W142" s="246"/>
      <c r="X142" s="246"/>
    </row>
    <row r="143" spans="1:26" s="98" customFormat="1" ht="32.25" customHeight="1">
      <c r="A143" s="159" t="s">
        <v>101</v>
      </c>
      <c r="B143" s="107">
        <f>32+20-1-1-3-2+2-2+40-1+2-2-3-1-1-2-2-1-1-1-1-1-2-1-1-1-15-1-11-1-1-2-1-1-3-2-1-15-1-2-1-7+60-1-1-10-1-3+9-1-1-1-1-2-3-1-1-3-2+3+21-2-1-1-1</f>
        <v>56</v>
      </c>
      <c r="C143" s="107">
        <f>65+64+5+23+23-1-1-2-1-1-8-1-1-1+3+80-3+2+99-1-1-1+1-3-1-2-3+1-3-5-6-2-1-1-1-1-3-1-1-5-1-1-2-8-1-5-3-1-1-3-1-2-2-25-5-1-4-3-1-1-28-1-2-1-2-3-1-3-1-5-1-1-1-1-5-7-1-2-1-2-2-2-1-1-1-5-2-1-4-1-1-2-2+5-1-1-1-1-2-2+2+24-5-2-1-1-6-1-3-2-1-1-1+28</f>
        <v>166</v>
      </c>
      <c r="D143" s="107">
        <f>67+1+18+1+5+23+65+59-6-2-1-1-2-6-1+3-1+100-1-2-1+140-1-1-1-2-1+1-1-1-2-1-1-3-1-8-3-5-2-1-4-1-1-3-6-3-3-2-1-1-1-1-1-2-10-1-1-4-1-1-1+1-1-1-2-3-40-2-1-5-8-1-42-3-1-4-1-5-2-20-1+1-2-5-1-1-2-19-1-1-1-3-1-1-2-2-5-1-1-1-1-1-1-1-2-1-1-1-3-4-1-1-1-3-5-3-1-10-1-2-1-1+45-1-2-1-1-3-6-1-1-7-1+6+53-1-1-1-6-2-4-2-1-12</f>
        <v>188</v>
      </c>
      <c r="E143" s="107">
        <f>46+5+80+80+65+52-2-2-1-1-8+4-1+100-2-1-1-1-1+140-1-1-1-3-1-5-2-2-5-1-1-10-2-5-2-1-1-1-1-4-2-1-1-2-1-1+3-2-40-1-5-4-1-2-15-2-1-1-1-1-5-5-2-1-23-1-1-1-3-2-1-2-10-1-1-1-1-2-1-1-1-1-2-1-5-1-1-1-5-1-5-1-1-1-1-1-6-3+1-1-2-3-5-2-1-1-2+6</f>
        <v>307</v>
      </c>
      <c r="F143" s="107">
        <f>46+65+22-1-2-2+2-1+80-9-3+2+50-3-1-2-1-6-1-5-1-1-1-1-1-1-4-1-2-1-1-2-1-1-30-1-1-1-1-11-1-1-1-1-5-1-1-2-2-1-11-4-2-1-1-10-1-2-3-1-1-1-1-1-5-1-5-1-4-1-2-1-1+28-3-1-3+3+24-2-5-1-1-1-1</f>
        <v>126</v>
      </c>
      <c r="G143" s="107">
        <f>25+24+5-4-2-1+40-2-2+1+26-1-1-1-3-1-2-1-1+1-1-25-1-1-1-2-1-3-5-1-2-2-2-1-1-2-1-1-2-1-1-2-1-1-1-1-1-3-2-1-1-1+20+1-1-2+32-1-1-1-8</f>
        <v>67</v>
      </c>
      <c r="H143" s="107">
        <f>24+12-10+10-15-1-1-1+2+10-1-1-1-1-1-20-5+60-1-1-2-1-1-2+1-1-1-2-2-1</f>
        <v>46</v>
      </c>
      <c r="I143" s="107">
        <f>13+3-6+10-1+10-1-1-2-2-5-9-1-1-1-1-1+30-1</f>
        <v>33</v>
      </c>
      <c r="J143" s="242">
        <f>12+21-8+10-1+10-5-1-1-1-1-2-1</f>
        <v>32</v>
      </c>
      <c r="K143" s="243">
        <f>24+21+25-1-1-1+1-6+40-2-1-1-1-2-1-4-2-1-2+1-1-2-20-3-2-2-1-1-1-2-1-2-3-1-5-1-1-2-1-22-1-2-2-1-1+50+50-1+50-1-2-3-1-3-3-3-1+3+20-1-1-1-2-2</f>
        <v>153</v>
      </c>
      <c r="L143" s="107">
        <f>23+70+25+3+25-5-1-6-2+1+80-2-1-1-4-1+2+110-1-10-1+4+1-1-1-1-12-1-4-3-1-1-2-1-1-1-7-1-2-1-1-5-1-1-5-1-2-2-2-2-1-40-1-6-5-9-1-27-1-1-8-1-7-15-1-3+30-1-2-4-1-2-1-1-1-2-1-22-1-2-2-2-6-1-1-1-1-1-1-1-2-1-2-1-1-1-1-1+30-1-1-1-1-1-1+50-1-40-2-6-2+100-2-3-1-1-4-2+6-7-1+6+80-1-3-1-1-3-1-1-1-1-3+30</f>
        <v>289</v>
      </c>
      <c r="M143" s="107">
        <f>16+70+47+70+35+80+28-4-3-1-8-1-2-3-1-8-1-1+4-1-1-5-1-3+180-1-2-20-6-1-2+1-2+117-1-1-1-5-1-2-15+2-2-8-1-4-11-1-1-2-2-2-1-1-4-2-2-2-10-1-1-10-3-1-1-5-13-1-7-6-2-1-6-1-2-1-10-1+1-3-12-1-1-1-15-1-5-1-1+7-2-1+2-1-5-1-2-1-13-60-8-8-3-1-1-10-12-2-1-1-65-1-1-8-4-2-2-10-1-1-5-20-1-1-2-1-1+181-2-2-1-1-1-1-1-4-1-1-4-1-8-1-1-1-1-2-1-1-1-35-2-2-1-18-1-1-4-1-4-2-2-1-1-3-2-1-1-2-1-1-1-10-1-1-1-3-1-4-1-1-1-1-10-1-1-1-1-1+70-1-1-20-1-1-4-4-2-2-1-1+79-1-91-6-9-1-1-2-2-28-1-6+149-6-3-11-1-1+1-1-3-1-5-3-3-2-7-3-8-1-1-7-10-7+10-1+197-4-4-1-1-9-2-1-4-5-2-2-2-1-1-4-2-2+157</f>
        <v>489</v>
      </c>
      <c r="N143" s="107">
        <f>25+18+80+14+70+24+70-1+26-6-10-1-1-1-12-1-4+1-1-1-4-1-8+180-3-3-2-6-3-6-2-1+167-1-1-10-1-10-1-6-1+11-2-1-4-1-4-10-3-1-2+1-5-1-4-1-10-1-1-6-1-10-1-13-1-1-6-2-12-2-1-1-10-1-3-11-3-1-3-5-8-3-10-3-1-2-1-1-5-1-3+3-2-1+2-1-3-2-1-1-2-1-4-1-60-2-5-1-4-3-5-10-1-1-1-67-1-2-1-6-1-1-2-2-2-10-1-2-1-10-1-1-20-1-2-1-1-1-1-1-2+179-1-2-1-2-2-1-2-5-2-4-1-1-2-2-10-1-14-1-1-1-1-2-23-1-1-2-2-1-2-2-1-3-1-2-1-5-1-6-1-3-1-1-1-30-1-1-3-1+30-2-1-25-1-1-1-12-1-5-2-74-2-3-1-1-1-5-14-1-1-6+149-1-5-12-5+2-1-1-1-2-2-1-1-2-1-3-10-1-2-10-6-8-1-1-10+6+201-1-3-3-10-1-4-1-2-2-1-1-1-4-2-1+254</f>
        <v>528</v>
      </c>
      <c r="O143" s="107">
        <f>11+1+25+71-1+35-2-5-8-2-4-1-1+3-1+80-2-2-12-3-6-1+1-2+86-1-1-10-1-9-1+3-1-4-8-5-1-1-1-1-2-1-12-3-10-1-1-4-2-1-2-1-1-1-3-2-3-6-4-1-5-1+2-4-2-1-5-4-1-1-1-5-4+4-2-1-1-1-1-3-2-8-45-2-1-8-5-4-1-1-20-1-2-3-2-8-1-1-5+5-5+120-2-1-3-1-10-3-3-2-2-8-2-2-3-1-3-1-1-2-1-2-2-1-2-1-1-1-1-1-1-1-1-10-1-2-1+70-1-20-1-2-6-6-1-1-1-1-30-6-3-10-1+100-3-9-2-2-2-2-6-10-1-1-1-3-4-1-6-3-6-1-1-1-5-10+6+80-4-3-4-2-2-1-5-6+92</f>
        <v>191</v>
      </c>
      <c r="P143" s="107">
        <f>0+66-1-1-2-2+1+19-3+30-2-2-3-1+51-2-4-7+5-1-3-1-1-10-1-1-1-1-3-1-1-1-2-5-2-2-1-1-5-1-1-2-2-2-30-4-4-1-10-1-2-1-5-1-5-1-1-1-1-1-2-2+28-1-1-1-4-2-1-1-2-1-1-1-2-2-6-1-2-3-2-1-1-1-1-1-1-1-1+50-1-1-1-2-8-2-1-1-5-1-1+50-5+1-2-2-1-10-1-1-2-1-4-2-2+2+80-1-2-2-1-1-1+35</f>
        <v>156</v>
      </c>
      <c r="Q143" s="118">
        <f>0+19-1+40-1-2+1+26-1-1-3+4-2-2-2-3-1-1-1-1-1-1-2-1-20-2-1-1-2-3-3-1-1-1-2-1-2-5-6-1-2-1-1-1-1-5+20-1-1-1-1-1-1-3+25-1-4-1+40-1-3+14</f>
        <v>80</v>
      </c>
      <c r="R143" s="107">
        <f>0+12-1-1+20-1-1-1-1-1-1-2-10-2-1-1-6-1-1+20-1-1+21-1</f>
        <v>38</v>
      </c>
      <c r="S143" s="165">
        <f>0+33-1-2-1-1-10-2-1-1-1-1+20+20-1</f>
        <v>51</v>
      </c>
      <c r="T143" s="244">
        <f t="shared" si="2"/>
        <v>2996</v>
      </c>
      <c r="V143" s="247"/>
      <c r="X143" s="247"/>
      <c r="Z143" s="247"/>
    </row>
    <row r="144" spans="1:26" s="98" customFormat="1" ht="36" customHeight="1">
      <c r="A144" s="159" t="s">
        <v>22</v>
      </c>
      <c r="B144" s="118">
        <f>0+2-1-1+11-1-2+50-1-15-1-6-1-1-1-2-2-1-5-1-2-1-1-4-13</f>
        <v>0</v>
      </c>
      <c r="C144" s="107">
        <f>14+17+59+73-1-2-3-2-1-1-2-1-1-9-1-1-2-1-4-1-6-2-2-2-1-2-1-1-1-5-1-1-2-25-2-3-1-9-2-1-4-1+21-5-1-1-1+4-1-1-7-1-2-1+71-1-1-1-1-1-1-1-1-4-1-1-4-1-1-1-2-1-3-2-1-1</f>
        <v>99</v>
      </c>
      <c r="D144" s="107">
        <f>50+10+132-7-3-2-1-1-1-1-3-1-1-1-1-1-3-1-1-21-2-1-1-1-1-2-1-1-1-2+1-1-1-1-2-11-1-3-2-1-1-5-1-1-4-1-1-1-1-1-2-40-4-3-8-1-3-7-1+108+1-5-2-1+31-1-19-1+1-1-2-1-1-2-1-1-1-1-1+19-1-8-2-1-1-2-1-4-2-1-1-1-1-1-1-1-1-3-1-3-1-3</f>
        <v>99</v>
      </c>
      <c r="E144" s="107">
        <f>25+20+153-2-5-3-4-1-1-1-2-1-1-5-2-2-1-1-24-1-1-1-1-1-1-1-2+1-1-4-13-2-8-1-1-2-1-1-2-2-1-2+2-1-2-40-2-4-1-1-1-2-15-1-1+85+4-1-5-1-4-5+51-12-1-1-23-1-1-2-1-1-1-1-1-1-1-1-4-1-1-2-4-1-1+2-2-1-1-7-1-1-1-1</f>
        <v>72</v>
      </c>
      <c r="F144" s="107">
        <f>3-3+94-2-1-15-12-1+35-1-5-1-1-2-2+15-1-2-11-1-1-2-1-1-1-1-1-7-1-5-1-1-1-1-1-3-1-1-1</f>
        <v>54</v>
      </c>
      <c r="G144" s="107">
        <f>20+20-2-1-2-1-1-6-1-1-1-1-1-2-1-3-1-2-1-1-3-2-1-2-1-1-1+31-3-1-3-1-4+19-1-2-1-1-1-1-4-2-2-1-1-1-1-3-1</f>
        <v>15</v>
      </c>
      <c r="H144" s="107">
        <f>20+1-2-1-1-1-1-1-1-2-1-1-1-1-1-2-1-1-2+2-2+19-1-3-1-2+6-1-5-1-1-1+10-1-3-1-1-1+1-1-1-1</f>
        <v>10</v>
      </c>
      <c r="I144" s="107">
        <f>0+24-1-1-2-1-1-5-9-2-2</f>
        <v>0</v>
      </c>
      <c r="J144" s="242">
        <f>10+18-1-1-1-5-2-2-1-2-1-1-1-1+1-1-2</f>
        <v>7</v>
      </c>
      <c r="K144" s="243">
        <f>11+19+29-1-4-1-1-1-3-1-1-1-1-1-3-1-2-20-2-2-1-2-1-1-8+35-2-1-1+50-1-1-1-1-1-1-1-3</f>
        <v>71</v>
      </c>
      <c r="L144" s="107">
        <f>1+35+10+55+9+97+9-4-3-1-1-1-4-1-1-4-1-9-1-2-7-10-1-2-1-1-8-3-1-3-1-1-1-1-1-2-1-1-1-1-5-5-1-1-1-7-40-1-9-1-1-6-11-1-1-1+50+1-1-1-1-5-4-17-1-1-5-1-22-3-2-2-1-1-1-1+50-1-1-1-1-1-2-2-2-7-5-4-1-2-1-5-8+7-1-3-1-1-2-1-1-7-1</f>
        <v>19</v>
      </c>
      <c r="M144" s="107">
        <f>18+70+70+22+103+43+59+48-4-16-1-2-4-1-2-6-1-6-1-2-1-2-4-46-1-1-1-1-3-1-1-3-15-10-1-2-1-1-1-1-1-5-1-13-1-2-1-18-1-1-3-2-5-1-1-5-1-1-1-1-1-15-1-1-3+2-1-1-1-7-60-3-6-12-1-3-1-1-7-2-33-1-3-1-2-1-2+149-1-1-4-7-1-1-2-1-3-4+2-1-1-2-1-1-10-2-35-1-2-1-1-1-3-1+100-1-1-1-1-1-5-1-1-1-5-1-5-2-1-1-3-5-5-1-1-4-1+5-5-2-3-3-1-1-1-2-3-1-1-3-1-5</f>
        <v>145</v>
      </c>
      <c r="N144" s="107">
        <f>27+79+50+26+15+36+78+29+39+100-4-31-1-14-1-1-2-1-6-3-2-6-7-1-1-4-4-110-1-2-2-1-1-1-1-1-15-10-1-2-1-2-1-1-14-1-64-1-1-3-5-1-1-2-1-1-1-1-1-1-1-1-5-5-1-10+2-1-3-1-7-60-1-3-10-1-1-10-5-1-2-2-1-8+248-1-28-2-1-5-3-4-5+2-1-1-1-2-10-1-14-1-2-2-2-2-1-1-1-1-7-1-1+51-5-2-1-1-2-1-1-6-3-1-1-1-7-5-1-1-5-5-1-1-3-4-1-2-1-1-1-1+1-1+7-2-5-2-3-1-1-3-1-7-2</f>
        <v>115</v>
      </c>
      <c r="O144" s="107">
        <f>20+3+31+45+59+85-4-18-1-10-2-4-4-2-2-4-7-1-1-1-1-2-4-48-1-2-6-2-1-8-3-1-2-16-1-21-3-3-1-1-1-1-1-1-1-1-3-1-4-1-5-1-1-1-1-8-1-2-4-2-5-7-2+94-6-1-1-5-3-1-4+7-1-5-1-8-3-2-2-2-1-2+49-1-1-5-1-2-1-1-3-1-1-1-3-5-1-1-1-5-5-1-1-4-2-1+3-1-1-5-1-3-1-1-1-1-3-1-1-1-1-1-3-1</f>
        <v>30</v>
      </c>
      <c r="P144" s="107">
        <f>2+30+40+52-3-4-1-1-1-2-1-4-1-1-3-13-1-1-1-1-1-1-1-1-12-1-3-3-1-1-1-3-1-1+1-5-30-1-3-1-5-7-3+44+3-1-1-1-3-1-2-4+3-1-5-3-1-1-1-2-2-4-1-1+70-1-1-2-3-1-4-1-1-1-1-2-7-1-1-4</f>
        <v>54</v>
      </c>
      <c r="Q144" s="107">
        <f>36+20+8-2-1-2-1-5-1-1-3-1-1-3-20-1-1-1-1-1-3-7-1-1-1-1-2-2+35-2-1-1-1-1-1-1-2-1-1-1-1</f>
        <v>21</v>
      </c>
      <c r="R144" s="107">
        <f>16+8-1-1-1-3-10-2-2-1-1+15-1-1-1</f>
        <v>14</v>
      </c>
      <c r="S144" s="165">
        <f>20+25-1-10-1-2-2-1-2-2-1-1-1-1</f>
        <v>20</v>
      </c>
      <c r="T144" s="244">
        <f>SUM(B144:S144)</f>
        <v>845</v>
      </c>
      <c r="V144" s="247"/>
      <c r="X144" s="247"/>
      <c r="Z144" s="247"/>
    </row>
    <row r="145" spans="1:26" s="98" customFormat="1" ht="39.75" customHeight="1">
      <c r="A145" s="159" t="s">
        <v>19</v>
      </c>
      <c r="B145" s="107">
        <f>30+39+53-6-1-1-1+110-2-3-22-1-2-3-1-1-1-1-1-5-1-9-1-1-1-1-1-2-1-3-1+1-15-1-1-3-3-8-1-1-1-5-6-2-5-15-15-15-2-1-5-6-1-1-1-1-5-2-10-1-1+1-1-2-1-1-1-1-1+22-1-1-1+3-1-2-1-1-5-1-1+60-1-1-3-2-1-2-1-1-2-1-1-1-1-2-1-4-1-1-1-1-1-6-3-1-4-5-6+21-1-1-2-7-2-3-6-1</f>
        <v>31</v>
      </c>
      <c r="C145" s="107">
        <f>69+91+80+2-8-1-1-1-1-2-1+1-4-1-1-1+197-1-2-1-1+2-2+1-2-1-7-2-2-2-60-1-1-20-3-5-1-4-2-1-2-1-1-1-1-6-1-2-2-2-2-1-1-1-1-1-2-1-1-2-4-10-1-1+5-1-1-1+1-3-1-2-2-1-1-5-1-1-2-3-3-1-1-5-2-1-1-1-3-10-1-1-1-2-1+2-1-1-1-3-4-1-1-3-2-1-1-1-1-1-5-25-1-1-2-1-1-1-25-2-6-1-15-1-10-2-5-12-2-10-14-1-3-1+97-1-2-2-2-9-20-8-1-1-1-1-2-1-1-15-6-3-1-1-2-1-2-1-2-1+119-6-1-1-1-1-2-11-1+2-1-2-8-1-15-1+90-5-1-2-3-5-1-1-3-1-1-1-1+2-1-2-2-1-4-1-1-1-1-1-4-1-2-2-5-1-3-1-1-4-2-1-2-1-1-1+50-2-1-25-2-1-1-1-1-10-1+4-2-1-1-1-1-2-8-1-1-1-1-2-2-5-5-13-1-8-5-1+41-1-1-2-1-1-4-1-4-3-2-1-2-5-16-50</f>
        <v>25</v>
      </c>
      <c r="D145" s="107">
        <f>54+1+115+221-6-1-2-2-1-1-5-1+3+1+1-1-15+1-2-3-5-1+136-1-1+60-2-1-3-1+110+4+1-1-1-1-9-1-2-1-92-1-1-1-2-20-4-4-2-1-1-1-5-1-2-1-3-1-10-2-1-1-1-3-1-2-1-1-5-3-1-1-1-1-10-2-1+1-1-1-1-2-2+1-1-1-5-3-1-3-5-2-1-10-2-2-2-1-1-3-1-3-1-1-1-15-1-1-1-1-2-4-1+5-4-7-1-1-5-1-1-1-1-1-3-5-6-1-1-5-1-40-1-1-2-1-2-1-40-1-4-10-1-1-15-2-1-5-2-2-5-15-1-2-1-5-5-3-1-3+2-3-8-5-20-1-5-1-3-5-1-1-4-1-2-1-15-6-2-2-1-2-1-1-1-1-1-1-10-1-1-1-1+189-1+1-2-2-7-2-1+20-2-2-16-1-2-3-1-1-1-5-5-1+20-5-2-1-1-2-1-1-4-1-1-1-2-1-1-2-3-2-2-1-1-2-5-4-1-1-5-1-1-1-1-5-4-2-1-2-2-4-3-1-8-2-3+100+163-1-2-1-44-1-1-4-1-1-2-1-5-1+4-1-1-1-1-1-1-5-2-3-1-1-4-1-1-1-2-2-2-1-3-1-1-1-1-5-5-8-6-10-1-1-1-2-1-3-1-1-1-1-2-1-1-1-2-2-2-3-60</f>
        <v>168</v>
      </c>
      <c r="E145" s="107">
        <f>49+4+51+136-10-1-3-1-1-2+1+1+1-1-2-1-1-1-5-1-2-2+136+30-1-1-1+33+2-1-1+1-8-1-1-1-1-106-1-3-10-1-3-5+1-5-1-2-2-1-3-1-2-1-10-1-2-6-4-1-1-1-1-2-2-1-1-1-1-1-2-10-1-2-1+2-1-1-1-1+1-1-1+1-1-1-4-1+130-1-5-1-15-1-1-5-2-1-15-1-1-1-3-1+20-1-1-14-1-1-2-1-1-1-1-2-12-1-3-1-5-2-40-1-1-2-1-40-1-15-1-1-6-15-5-5-19-7-2-3+99-2-4-3-1-11-1-20-1-5-1-1-1-2-1-2-1-3-2-15-4-1-1-1-1-1-1-1-1-1-1+229-3-1-2-3-1-2+5-1-2-2-10-1-2-1-1-1-1-3-3+20-1-1-1-4-1+1-1-1-3-1-1-1-2-2-1-3-1-1-1-2-5-1-6-3-1-2-1-1-3-1-1-1-8-1-1+100-6-1-34-1-1-1-1-2-1+3-2+162-1-1-2-1-2-2-1-5-1-1-1-3-2-5-4-6-7-1-1-1-1-1-1-3-1-3-1-2-1-1-50+57</f>
        <v>385</v>
      </c>
      <c r="F145" s="107">
        <f>50+38+2+95-1-10-1-2-1-1-2-2-2+12-1+60-1-1+70+3-2-1-10-1-72-10-1-1-2-10-1-1-1-2-2-1-1-1-1-1-1-1-10-3-4-1-1-2-1-2-2-1-1-10+2-1-1-1-1+1-1-1-1-1-1-1-2-2-1-1-5-3-1-1-15-1-1-1+1-4-1-2-8-1-3-5-20-2-1-20-2-13-1-4-15-1+98-1-1-3-15-5-1-1-5-1-4-3-1-1-1-1-1-1-1-2+91-1-2-1-6-1-1+9-1-2-2-1-1-1-1-3-1-1-1-1-1-3-1+2-1-10-3-1-2-2-1-1-5-1-2-3-3-1-5-5-1-1-1-2-1-1-8-1-1-1-23-2-1-1-1-1-1+5-1+103-1-1-2-1-2-1-1-2-1-1-2-5-5-1-1-1-1-1-1-2-2-1-2-50</f>
        <v>43</v>
      </c>
      <c r="G145" s="107">
        <f>19+16+1+29-5-1-1-1-7+14+30-1-1-6-5-70-1-1-6-1+10-1-1-3-5-2+1-1+84-2-1-3-1-1-1-10-1+16-3-1-1-1-1-10-1-3-10-9-1-15-1-5-15-2-1+10-1-5-1-1-1-1+53-1-1-3+7-2-1-1+30-1-1-2-1-1-1-1-5-2-1-4-1-2-1-1-1-1-1-2-3-9-1-1-1-1-1-2-1-1-2-1-5-2-3+41-1-1-1-1-1-1-1-2-2-15</f>
        <v>32</v>
      </c>
      <c r="H145" s="107">
        <f>15+10+11-3-1+5+20-1-1+6+4-3-52-1-2-1-1-3-2+30-2-1-3-4-3-2-1-2-1-1-1-1-2+1-3-1-1+48-2-1-1+2-5-2-5-6-1-15-1-1-7-5+2-1-1+19-4-2+5-1-1-1+20-1-1-1-1-1-1-1-5-2-3-1-4-1-1-1-1-1-1-1-1-3-2+39-1-3-2-2-5</f>
        <v>26</v>
      </c>
      <c r="I145" s="107">
        <f>5+10+22-1-1-1-34+25-1-2-1-3-1-1-1-1-1-5-1-2-3-1-1+3-3+39+1-1-5-5-1-1-1-1+30-4-1-2-3</f>
        <v>45</v>
      </c>
      <c r="J145" s="242">
        <f>0+31-20-8-1-1+25-1-1-1-1-1-5-5-6-1-4+7-1-3-1-1-1+16+4-1-1-1-1-1-1+30-2-1-2-2-3</f>
        <v>34</v>
      </c>
      <c r="K145" s="243">
        <f>0+81-4-1-2-1-1+12-2-1-2-2-8-1-1-1-1-2+30+1-1-4-3-1-22-1-1-1-3-1-1-5-1-3-2-1-1-1-1-3-5-1-1-6+1-1-2-1-4-5-1-1-1+50-2-2-1-5-10-1-10-1-4-15-2-1-1+13-5-4+6-2-1-1-4-1-5+1-1+34-1-1-1-5+16-15-1-3-2-1-2-1-12-2-1-1-1+74-8-1-1-1-1-1-1-1-1-2-1-2-4-1-2-1-1-6-1-5-2-1-1-1-1-1-8-1-2-4-1+47</f>
        <v>56</v>
      </c>
      <c r="L145" s="107">
        <f>72+22+75-2-4-1-10-3-1-1-5-1-2-1-5-1+1+103+21-1-1-8-1-1-1-18-1+10-1-1-2+124+4-3-1-1-2+1-1-2-1-4-3-2-5-1-2-62-1-1-5-1-2-2-2-1-1-1-4-3-1-10-1-1-1-1-3-1-8-1-4-2-1-2-1-15-3-1-1+1-2-1-2-3-10-1-1-3+1-1-3-1-2-1-1-1-1-4-1-1-1-10-2-2-4-1-1-3+120-1-1-1-1-1-5-1-1-1-1-1-1-1-4-1-2-1-2-1-9-5-40-1-2-10-1-40-3-2-2-1-1-3-5-15-1-1-5-2-2+86-3-5-6+41-2-14-12-5-2-1+29-1-10-1-1+1-1-1-2-7-1-5-1-20-6-1-8-6-3-1-20-10-10-10-1-1-4-1-2-1-1-1-2-1-1-5-1+76-1-2-1-1-1-2-1-1-2-5-1-1+23-6-4-1-1-5-2+1-2-1-1-5-1-8-5-1-13-1-2-1-1-3-1-1-3-1-1-1-1-1-2-1-2-2-2-1-1+140-1-1-1+100-1-1-1-1-3-1-3+10-1-1-1-2-2-24-5-1-4-1-1-3-3-1-1-2-1-5-2-3-3-10-1-1-5-1-1-21-1-1-1-1-1-1-2-1-1+3-8-1-1-1-1-1-1-3-2-4-1-1-2-1-1-1-1-1-3-3-2-3-3-1-1-10-4-1-1-1-20-12-5-1-3-1-1-1-4-1-1-1-4-1-2-1-1-1-1-2-1-7-5-1+18</f>
        <v>19</v>
      </c>
      <c r="M145" s="107">
        <f>76+60+70+70+70+23+139-2-1-3-12-1-1-3-10-5-6-1-3-5-1-2-2-1+8+1+108+44-1-1-15-1-2-4-4-1-1-1-3-1-12-1-1-6-1+25-2-1-1-5-1-2-1-1-1-1-7-4-1-2-1-1-2+150+3-2-15-1-2-1-2-1-2-1-2-2-1-2-120-10-1-1-25-4-4-10-3-1-2-1-1-1-1-3-1-11-1-8-1-1-1-5-3-5-1-1-1-1-1-1-1-3-19-3-2-1-3-1-2-2-1-30-8-1-2-2-1-2-2-2-5-1-1-1-1-2-4-2-2-8-3-2-1-1-20-1-1+16-2-2-1-1-1-1+1-8-2-1-3-1-4-1-2-4-1-1-2-1-2-13-2-1-1-2-1-1-1-1-1-20-1-9-1-5-15-2-2-2-1-1-12-1-10-1-1-15-5-1-3+260+4-1-1-2-2-1-1-1-7-10-2-1-1-4-1-1-1-2-1-4-1-3-3-10-3-7-1-1-1-1-5-2-2-2-1-60-1-7-7-10-1-1-1-1-1-1-1-1-60-1-1-6-1-5-1-1-8-1-16-1-3-1-2-3-1-2-10-1-2+152-1-2-2-2-1-1-5-1-13+119-1-1-15-7-1-10-1-1-5-3+52-1-1-15-5-3-4-2-1-4+3-1-1+2-8-6-1-1-8-4-20-9-10-3-1-1-1-1-1-1-20-1-1-1-1-1-1-1-20-1-20-1-1-1-4-1-4-2-1-1-1-2-2-1-4-4-1-2-9-1-1-1-1-4-5-1-1-1+89-1-1-1-1-1-4-1-1-1-1-1-2-1-1-2-5-1+140-2-2-4-1-2-2-1-2-1-1-2-3+1-3-4-1-6-3-2-1-5-1-1-1-4-2-3-1-3-1-2-10-1-3-3-1-1-13-2-3-4-1-1-1-1-4-1-1-1-5-2-1-10-1-1-1-7-1-2-1-1+150-1-2-1-1-1-1-4-2-1-1-1-1-2-2-4-1-2+101-2-4-3-2-2-1-1-8-1-2-1-8-13+7-1-1-10-3-4-2-2-2-3-1-5-1-10-7-1-2-2-3-3-8-10-1-1-2-1-2+31+12+120-1-1-1-9-1-2-1-106-1-1-1-1-6-1-2-1-1-2-7-2-3-15-2-4+4-1+1-1-1-4-2-1-2-1-3-3-1-1-15-8-7-2-1-1-1-1-11-1-1-1-2-5-5-1-1-4-2-1-1-4-1-20-4-1-2-2-1-1-2-20-7-15-1-1-1-1-3-2-5-1-1-1-2-1-1-16-1-2-2-1-1-1-1-2-1-5-3-5-1-4-1-2-4+46-1</f>
        <v>45</v>
      </c>
      <c r="N145" s="107">
        <f>70+55+107-1-1-6-10-3-1-1-1-1-1-6-2-1-1-5-1+4+105+126-1-1-1-2-3-1-1-9-1-3-18-1-7-1+41-2-1-2-4-1-2-1-1+29-1-1+248-8-15-10-1-2-1-1-2-4-2-1-1-1-1-15-8-92-15-1-1-15-1-1-6-1+1-1-2-1-3-1-4-1-7-1-1-1-2-1-1-5-2-1-1-1-2-1-1-30-3-3-1-1-3-1-5-1-1-35-1-1-10-2-2-5-1+1-5-4-1-6-10-1-15-3-2-2-1-1+1-2-1-1-2-3+1-2-1-2-1-1-1-1-1-3-1-1-4-2-1-7-3-4-1-4-1-1-20-1-20-2-1-3-1-5-1-15-2-1-15-1-5-10-1-10-1-4-2+253+2-1-2-3-1-4-1-9-1-1-1-5-1-2-1+2-4-6-1-1-2-1-2-2-6-1-32-1-2-4-3-1-5-1-1-50-1-1-1-7-5-10-2-2-1-1-6-3-50-1--1-3-6-1-1-1-8-15-2-1-1-6-1-2-10-1-3+99-1+5-1-2-5-14+164-11-1-12-17-12-1-4+101-3-2-1-15-1-1-2-3+4-4-1-6-1-1-1-12-5-20-12-10-1-7-3-1-1-2-1-20-1-2-1-20-1-1-2-1-1-1-1-1-1-2-5-1-1-1-4-5-1-3-13-1-1-1-1-1-1-2-7-1-1-1+80-1-3-2-1-1-5-1-3-1-1-1-1-2-3-1-2-1-10-2-3-1+150-10-1-2-1+1-2-1-1-7-2-2-3-6-10-1-1-1-1-1-4-25-1-10-4-2-1-2-1-6-2-2-1-4-4-1-5-1-4-4-1-1-1-1-1-1-1-1-1-1-4-2-1-1-1-1-1-1-1-2-3-1-2+120-2-3-2-1-5-1-3-1-2-4-2-2-1-1-10+130-1-4-2-3-14-1-1-1-3-5-2-1-1-1-26-5+24-2-10-2-1-6-1-3-1-3-1-1-1-5-10-7-1-3-3-8-24-1-5-1+60+16+99-2-1-6-12-4-1-152-1-10-2-3-1-1-1-1-1-11-3-3-10-1-7-1+2+4+1-1-1+1+2-1-2-4-4-1-1-1-20-1-2-2-4-29-11-6-2-5-1-1-1-1-10-1-1-1-3-1-1-1-4-20-2+8-8+85-1-1-4-1-1-1-2-2-1-1-4-3-4-1-6-1-1-2-1-1-7-1-6-30-2+10</f>
        <v>10</v>
      </c>
      <c r="O145" s="107">
        <f>0+49-2-1-6-1-1-1-10-3-6-3-2-5-1-1-2-1+3+108+16-1-15-1-1-1-1-5-7-1-2-8-7+54-1-1-1-1-1-1+30-1-1-1+1-1+200+2-9-15+1-1-6-3-1-1-1-15-1-6-68-15-1-1-13-6-1-1-1-2-1-1-1-1-1-2-2-4-2-1-2-3-1-2-12-4-1-1-1-1-20-1-1-2-1-4-1-2-1-12-4-4-20-1-2-1+1-1-2-2-1-1-1-1-1-2-1-1-1-1-6-1-1-10-6-6-1-1-1-10-11+3-1-2+188+2-1-1+1-2-1-3-1+3-1-1-6-3-3-1-1-1-2-4-1-8-2-1-5-10-30-1-2-4-10-1-2-2-30-1-1-3-1-1-1-12-1-15-1-1-1-5-2-1-1-2-1-2+114-15-7-7-2-1-2+82-1-1-10-2-1-1+2-3-1-1-5-1-1-16-1-15-1-5-8-5-1-15-1-1-1-1-1-20-1-2-2-1-2-1-1-1-1-3-4-3-3-1-4-2-1-1+63-1-1-1-2-10-1-1-1-1-1-5-10-1-2-3+36-11-2-3-6+1-2-3-10-1-1-6-1-4-1-12-2-1-3+70-2-8-2-1-1-1-1-2-3-3-1-5-2+149-2-2-1-1-1-1-1-4-4-1-5-1-13-4-1-1-1-1-1-1-1-3-1-1-3-3-2-16-1-1-2-1+25-1-1-2-8-3-1-95-1-1-3-2-1-8-1-1-1+5-2-3+45-1-1-1-1-3-10-1-2-5-1-19+5-2-2-1+2-2</f>
        <v>0</v>
      </c>
      <c r="P145" s="107">
        <f>0+50-4-1-2-1-1-1-1-1+1-3-2-1-3-4-1+69-3-1+30-2-1-1+80-1-8-1-1-5-1-40-10-1-1-2-5-1-2-1-4-2-2-2-3-5-1-2-1-2-6-1-1-1-77-3-3+2-1-1+1-1+61-7-1-2-3-4-1-1-2-10-1+1-1-5-2-2-2+81-1+2-5-4-1+1-3-1-1-2-3-2-15-1-1-5-1-15-1-10-1-4-1-5-1-7-1-2-3+113-1-15-5-5-1+40-2-1-1-1+1-3-3-10-1-5-2-1-2-1-10-1-1-1-1-1-1-1-1-1-3-5-1-8-1-6-1-6-2-2-5-1-1-4-1-1-5-1-1-1-1-1-1-2-2-1-2-1-1-1-1-1-3-2-1-1-1-1+50-1-1-1-1+61-1-4-3-1-1-1-1-1-1-5-3-1-1-1-16+10-1-1-1-41-1-1-2-2-1-15-8-1-1+18-1-1-1-10-3-1-1</f>
        <v>0</v>
      </c>
      <c r="Q145" s="107">
        <f>0-1-1+2+25-1-3+9-1-1+30-1+1-1-5-1-1-5-20-5-1-1-5-1-1-1-1-1-1-1-2-4+83-1-3-2+1-1-1-1-2-2-1-1-6-2-2-1-3-2-5-1-1+3-1-3-1+78+2-1-3-1+1-1-1-1-20-1-1-5-20-1-2-4-1-2-6-3-1-7-5-2-1-1-1-1-1+15-1-1-1-1+5-4-5-2-3-1-1-1-3-2-1-1-1-1-1-4-1-1-1-1-11-1+12-1-4-1-1-1-1-1-1-1+12+5+49-1-1-10-3-1-1-1-1-1-2-3-1-1-6-1-1-5-3-2-1-1-2-1-5+18</f>
        <v>29</v>
      </c>
      <c r="R145" s="107">
        <f>0+10-1+5-1-1+1-1-10-1-1+1-1+22+3-5-3-5-1-1-1-1-2-5-1+5-1-1-1-1+19-1-1-1-2-2-1-1-1+20-2+10+14+5-1-1-1-1-1-1-3</f>
        <v>48</v>
      </c>
      <c r="S145" s="248">
        <f>0-1+1-1+1+7-1-1-1-1+5-1-2-1+35-2-1-1-1-1-1-1-2-1-1-1-1-1-5-3-5-4-1-6+33-33+20-1-5-1-1-2-1-1-1+10+16+4-3-3</f>
        <v>31</v>
      </c>
      <c r="T145" s="244">
        <f t="shared" si="2"/>
        <v>1027</v>
      </c>
      <c r="V145" s="247"/>
      <c r="X145" s="247"/>
      <c r="Z145" s="247"/>
    </row>
    <row r="146" spans="1:26" s="98" customFormat="1" ht="34.5" customHeight="1">
      <c r="A146" s="159" t="s">
        <v>26</v>
      </c>
      <c r="B146" s="107">
        <f>14+19-1+20-1-1-1-3-3-1-2-1-10-1-2-1-1-1-1-1-4-5-1-1-1-3-1-1-1-1+70-1-1-2+3-2-2+23+5-1</f>
        <v>94</v>
      </c>
      <c r="C146" s="107">
        <f>1+21+53+7-3-1-1-3+80-1-1+25-1-1-6-1-8-1-2-1-2-4-3-1-1-1-1-3-1-3-1-3-2-2-20-1-1-4-17-1-1-1-2-1-2-2-1-4-6-11-1-1-1-1-1-1-1+95-1-4-2-2-5-1-2-3-3-4-1-5-2</f>
        <v>106</v>
      </c>
      <c r="D146" s="107">
        <f>2+68+53+23-2-1-1-7+80-1+1+48+1-2-13-1-1-3-1-1-1-4-2-1-1-2-5-1-2+1-1-10-1-2-2-1-2-5+1-2-2-30-1-4-2-2+2-13-3-1-1-3-4-1-3-3-1-8-1-1-1-1-7-1-1-1-1-1-3-1+94-1-1-1-3-1-1-2+4-2-1-1-3-1-5-3+28+12-1-1-1-1</f>
        <v>207</v>
      </c>
      <c r="E146" s="107">
        <f>17+1+38+65+35+72-1-5+79-3-1+1+50-22-1-1-1-5-1-1-5-1-1-10-1-2+3-1-2-1-30-2-6-2-9-2-1-1-20-2-1-1-1-1-3-1-2-1-1-1-1+10-2-1-1-1-5-4+19-1-9-2-10-1</f>
        <v>198</v>
      </c>
      <c r="F146" s="107">
        <f>18+20+1+41-1-1-1+40-1+25-6-12-1-1-2-1-2-1-10-12-1-3-1-1-1-2-20-1-1-3-1-2-1-1-25-1-1-1-1-1-1-1-1-1+70-1-1-1-1+2-2-1-5-3+22-4-1</f>
        <v>94</v>
      </c>
      <c r="G146" s="107">
        <f>0+38-2-2+20-1-3-2+1+1-1-2-3-3-15-1-1-2-1-1-1-1-1-1+30-1-1-3-1-1-3+12-2-1-1-1</f>
        <v>43</v>
      </c>
      <c r="H146" s="107">
        <f>20+9-2-1+20-4-1-1-1-2-10-3-1-1-1-1-1-6-1-2-1+27-1-1-1+1-3</f>
        <v>31</v>
      </c>
      <c r="I146" s="107">
        <f>3+1+10+1+20-1-3-1-1-3-1-1-1-1-1+11-1-1</f>
        <v>30</v>
      </c>
      <c r="J146" s="242">
        <f>12+11+25-3-1-1-1</f>
        <v>42</v>
      </c>
      <c r="K146" s="243">
        <f>5+20+40-1-4-1+9-1-1-1-4-1-3-2-1-1-1-1-1-1-1-1-1-15-1-1-12-3-1-1-2-1-2+80-1-1-1-2-1+19-1-8-2-1-3+16+13-1-2</f>
        <v>111</v>
      </c>
      <c r="L146" s="107">
        <f>60+30+35-1-1-1-1-2+69-1-10-1-1-1+57-15-1+3-6-1-1-1-4-1-1-2-3-1-1-4-10-1-3-3-1-1-1-2-1-1-1-1-1-1-1-4-35-1-1-5-11-2-8-1-1-7-1-3-1-1-3-1-1-1-7-2-5-1+110-5-2-1-1-1-1-2-3-2-1-2-1-1-1-1-2-1-1-1-1-3-1-1-1-5-1-2+29-3-1-1-2-2-1-3-1-1+13-1-1-2-1-2-1</f>
        <v>144</v>
      </c>
      <c r="M146" s="107">
        <f>66+6+77+48-1-1-1-2-1-3-1-1-1+138-1-4-15-1-1-1-6+120-8-1-1-3-1-1-1-3-5-1-1-3-1-1-1-2-1-1-1-2-1+1-1-3-6-10-1-1-2-4+1-4-1-1-1-1-10-2-1-2-1-14-1-1-6-1-1-1-2-1-3-1-1+1-4-1-1-4-2-50-1-4-4-2-4-2-3-1-1-1-3-35+2-1-9-10-1-1-1-1-3-1-3-1-9-1-10-1+1-1-4-1-2-2-1-1-1-1-1-1-1-2-14-1-2-1+218-3-1-1-1-1-2-1-1-1-1-1-2-1-1-10-2+30-1-1-1-8-1-1-1-1-2-1-3-2-1-1-2-1-5-2-1-1-1-10-2-1-1-4-9-6-1-1-12+2-5-1-1-1-2+70-6-1-2-2-2-2-8-4-1+18-9+11-2-10-3-2-2-2-2</f>
        <v>246</v>
      </c>
      <c r="N146" s="107">
        <f>76+36-1-2-1-1-1-1-5-1+100+100-1-1-1-1-2-23-1-1-3-1-1-6+1+117+2-6-11-10-1-1-8-6-3-6-2-6-1-10-2-1-1-1-1-4-5+1-1-1-1-1-1-1-1-1-1-2-6-1+3-1-1-1-4-50-6-2-2-6-2-1-4-5-5-1-1-1-26-1-7-8-10-1-2-1-2-2-1-2-1-10-1-1-1-10-1-20-1-1-1-2-2-1-7-1-5-1-3-3-2-1-15-1-2-1-1+300-1-3-1-3-2-7-1-1-1-1-2-1-3-1-1-1-1-1-1-2-1-1-4-1-1-1-2-1-1-1-1-1-1-5-1-5-1-1-1-1-7-1-3-2-6-1-1-1-8+2-1+5-3-5-1+83-6-1-1-1-1-1-1-1-4-1-3-5+10-3-3-1-3+5-1-1-1-3-1-11-1-3-3-1</f>
        <v>261</v>
      </c>
      <c r="O146" s="107">
        <f>0+37-2-1-1+1+3+140-3-1-6-6-1-2-1-3-6+29+1-1-5-6-1-10-1-1-1-2-2-1-1-2-1-8-5-1-1-1-1-5-1-1-1-2-2-1-4-35-1-1-1-5-2-2-2-12-6-8-1-1-2-1-4-1-1-3-1-3-4-1-1-1-1-1-5-1-1+150-5-2-5-2-2-1-1-1-1-1-3-2-1-1-7+30-1-1-1-1-1-3-1-1-1-2-5-1-1-1-1-5-1-1-8-1-3-1-3-1+1-1-1-2-1-3+30-7-3-1-1-4-1+11+6-1-1-1-6-3</f>
        <v>110</v>
      </c>
      <c r="P146" s="107">
        <f>6+27-4-1+50-4+1-1-4+30-2-1-5-1-1-1-1-1-2-1-1-3-2-1+2-1-1-1-2-25-4-2-1-1-1-1-5-2-1-1-3+50-3-2-2-1-1-2-1-2+20-1-2-1-1-1-1-1-1-2-1-1-2-3+9-2-1-1-4-2+5+1-1-2-1-2</f>
        <v>64</v>
      </c>
      <c r="Q146" s="107">
        <f>0+16-1-3-1-1+25-2+3-2+28+2-1-2-1-2-1-1-3-15-1-2-2-2-3-3-1-1-1-3-2-1-1-1+19-1-1-1-1-1-1+7-2-2-1-1+6+2-1</f>
        <v>35</v>
      </c>
      <c r="R146" s="107">
        <f>6+19-1-2-1-2+1-1-1-3-5-2-1-1-1-1-1-1+20-1-1-1-1+1+5-1+7-1+3</f>
        <v>32</v>
      </c>
      <c r="S146" s="165">
        <f>0+25+10-1-2+1-5-1-1-1-1-1-1-1+3+6+5</f>
        <v>35</v>
      </c>
      <c r="T146" s="244">
        <f t="shared" si="2"/>
        <v>1883</v>
      </c>
      <c r="V146" s="247"/>
      <c r="X146" s="247"/>
      <c r="Z146" s="247"/>
    </row>
    <row r="147" spans="1:26" s="98" customFormat="1" ht="36" customHeight="1">
      <c r="A147" s="159" t="s">
        <v>102</v>
      </c>
      <c r="B147" s="107">
        <f>0+23-1-2-3-1-1-2-1-1-1-3-1-1-2-1-1-1+24+1-1-1-1-1-1-1-1-1-2-1-1-1</f>
        <v>12</v>
      </c>
      <c r="C147" s="107">
        <f>10+5+48+48-2-1-1-1-1-8-1-2-2-3-1-1-1-2-2-1-2-20-2-1-1-10-1-1-2-1-5-1+49-2+2-1-1-1-1-1-1-1-1-2-1-1-1-2-1-1-2-13-1-1-1-2-1-1</f>
        <v>44</v>
      </c>
      <c r="D147" s="107">
        <f>48+80+19+86-1-1-2-1-1-13-1-1-2-1-1-1-1-1-1-2-2-1-2-1-2+1-2-30-3-1-2-1-1-2-2+44+6-2-2-2-2-1-1-1-1-1-1-1-14-1-1-1-1-2-1-1-1-2-1-1-1-15-1-2+150-1-1-3-1-2-1-1-1-1</f>
        <v>278</v>
      </c>
      <c r="E147" s="107">
        <f>48+19+55+141-2-22-1-2-2-2-1-1-1-2-1-1-1+3-2-30-1-3-1+23+1-2-1-1-1-1-1-1-1-1-1-1-1-1-1-1-1-1-1-1-22-2-1-3-2-2-1</f>
        <v>161</v>
      </c>
      <c r="F147" s="107">
        <f>40+10+48+27-1-10-12-2-2-1-1-2-1-2-20-1-1-1+24-1+1-1-1-1-1-1-2-1-1-1-1-2-10-1-1-1-1-1-2-1</f>
        <v>61</v>
      </c>
      <c r="G147" s="107">
        <f>20+9+18+10-1-3-1-1-3-1-1-1-2-1-15-1-1-1-1-1-1-1-1-1-1-4-10-2-1</f>
        <v>0</v>
      </c>
      <c r="H147" s="107">
        <f>8+10+5+10-4-3-2-2-2-1-10-1-1-2-1-1-1-1-1+1-1</f>
        <v>0</v>
      </c>
      <c r="I147" s="107">
        <f>0+20-2-1-4-3-1-1-1-1-1+1-3</f>
        <v>3</v>
      </c>
      <c r="J147" s="242">
        <f>5+15-1-3-1-1-3</f>
        <v>11</v>
      </c>
      <c r="K147" s="243">
        <f>80+101+23-1-2-3-1-1-1-15-1-3-1-1-1-2-1-1-1-1</f>
        <v>167</v>
      </c>
      <c r="L147" s="107">
        <f>81+70+57+1+27-3-1-1-2-1-1-1-10-1-1-1-1-1-1-1-4-35-1+34-1-2-1-3+43+2-1-1-1-1-1-2-1-1-2-1-1-1-5-1-2-1-1-2-3-1-1+2-2+29-1-1-3</f>
        <v>234</v>
      </c>
      <c r="M147" s="107">
        <f>80+87+36+80+80+80+55-1-4-4-3-1-1-3-1-1-1-1-1-1-3-2-5+1-2-1-1+1-6-2-1-1-1-10-1-2-3-1-2-1-2+1-1-4-50-1-3-13-3-1+80-1-1-1-1-1-2-2-2+79-5+3-1-2-1-1-3-4-1-1-1-1-1-2-1-1-1-1-1-1-3-1-3-1-1-1-1-1-1-1-1-2-5-1-1-3-1-3-3-1-1-1-1-1-1-1-1-2-1-1+3-2+30-1-10-1-9-1-1-1-3</f>
        <v>434</v>
      </c>
      <c r="N147" s="107">
        <f>32+70+29+50+70+70+70+94-1-1-4-3-2-1-1+1-1-3-1-2-11-4-5-2-1-4-1-41-1-10-4-1-1-6+3-1-2-1-2-4-50-1-1-1-1-1+18-1-6-1-1-5-1-1+178-6-2+4-2-1-1-1-1-1-1-2-1-1-2-1-1-1-5-1-7-1-1-2-1-1-2-1-1-1-1-1-1-2-1-3-3-1-1-2-1-1-1-3-1-1+1+3-1+40-1-2-1-1-2-3-2-1-10-1-1-3-1-1-3</f>
        <v>433</v>
      </c>
      <c r="O147" s="107">
        <f>61+40+69+86-4-2-1-1-1-2-1-1-6-10-5-1-2-2-1-5-12-1-1-1-3-1-4-35-1-2-1-1-5-1-1-3-1-1+77-1-1-2+3-1-1-1-1-1-1-2-1-1-1-4-1-1-2-1-1-1-1-1-1-1-3-1-1-1-1-2+3-1+60-4-1-1-4-1</f>
        <v>228</v>
      </c>
      <c r="P147" s="107">
        <f>33+30+44-1-3-2-1-3-1+1-1-3-1-1-3-1-1+1-1-2-25-1-5-2-1+48-3+2-1-4-1-2-1-2-1-1-1-3-1-1-1+40-3-1-2-1</f>
        <v>110</v>
      </c>
      <c r="Q147" s="107">
        <f>28+54-2-1-1-3-1-3-1-3-1-1-1-1-3-15-1-2-1-1-3-1-1-2-1-1+40-2</f>
        <v>69</v>
      </c>
      <c r="R147" s="107">
        <f>10+16-2+1-1-3-5-1-1-1-1-1+15-1</f>
        <v>25</v>
      </c>
      <c r="S147" s="165">
        <f>10+20-5-1-1-1-1-1-1+15-1</f>
        <v>33</v>
      </c>
      <c r="T147" s="244">
        <f t="shared" si="2"/>
        <v>2303</v>
      </c>
      <c r="V147" s="247"/>
      <c r="X147" s="247"/>
      <c r="Z147" s="247"/>
    </row>
    <row r="148" spans="1:26" s="98" customFormat="1" ht="37.5" customHeight="1">
      <c r="A148" s="159" t="s">
        <v>103</v>
      </c>
      <c r="B148" s="107">
        <f>20+94+12+6-1+1-4-1-7-2-1-1-2-1-1-9-1-1-1-1-3-1-2-1-2-1-1-6-2-1-1-20-3-1-1-7-1-1-2-3-1-2-3-1-15-2-10-1-1-1-2+70-1-1-1-2-1-1-1+25-1+3-1</f>
        <v>88</v>
      </c>
      <c r="C148" s="107">
        <f>41+2+44-2-1-1-1-2-1-2-4-1+60-1-1-3+100-1-1-1-17-1-1-3-1-1-2-1-1-2-1-3-1-2-5-2-6-1-1-1-1-2-1-2-1-5-6-1-4-1-1-1-1-1-1-5-1-1-2-5-2-4-5-3-6-11-1-6-2-1-2-30-1-2-1-1-1-7-6-2-1+99-1-2-5-1-1-1+1-2-2-4-7-1-1-1-1-2-2-2-12-1-1-2-1-1-1-1-1-1-1-1-7-3+100-1-1-2-2-1-2-1-3-1-2-1-1-1-1-1-1-1-1-6-1+26-1-1-4-1-1-13-6+200+5-1-1-1-6-1-2-1-1-1</f>
        <v>321</v>
      </c>
      <c r="D148" s="107">
        <f>80+90+25+37+10-1-1-1-1-10-1-1-1-1-1+79-1-4-1-2-1+150+1-1-1-32-2-1-1-1-2-7-1+1-1-2-1-1-2-6-2-3-5-1-1-2-1-2-4-15-1-1-1-1-1-1-15-3-1-4-10-1-1-1-4-1-1-1-1-2-6-3-7-8-19-30-1-2-1-2-2-1-3-3-1-30-1-1-1-2-1-1-10-3-1-1-2+60-1-2-3-1-5-1-1-1-2-19-1-1-1-2-1-2-1-1-2-6-1-2-1-1-2-2-1-3-7-6+70-1-1-2-1-2-5-1-1-1-3-2-4-2-1-1-3+93-9-1-1-1-1-3-2-1-1-8-1-1+4-1-2-1-3-1-1-1</f>
        <v>228</v>
      </c>
      <c r="E148" s="107">
        <f>54+104-1-1-1-1-1-1+1-2-6-1+58-2-3-5+150-1-16-3-1-2-1-1-5-1-2-1-1-2-4-2-3-3-1-2-1-1-1-4-1-24-1-3-1-8-1-1-1-8-1-1-2-1-1-1-1-2-3-1-1-2-6-1-1-1-2-2-7-4-19-17-1-2-2-4-1-1-2-30-1-1-3-10-4-1-1+120-2-1-2-1-5-1-1-4-1-1-2-1-4-2-23-2-1-1-2-2-1-1-1-2-1-6-1-1-1-1-1-4-2-1-1-1-7-1-6+70-2-1-1-1-2-2-1+1-1-5-1-1-2-1-2+89-7-1-1-1-1-1-4-1+8-1-2-1-1-3-1-1-2-1</f>
        <v>229</v>
      </c>
      <c r="F148" s="107">
        <f>92+15+1-1-1-1-8-1-1-2-2-1-4-5-1-1+42-3+100-7-12-1-1-1-1-3-1-1-1-2-1-1-3-1-1-16-1-2-2-1-10-2-1-1-1-2-1-1-3-5-1-19-10-3-2-20-1-1-2-5-5+28-1-1-1-2-1-5-1-1-5-11-1-1-1-1-2-2-1-1-2-3-1-1-1-1-1-1-4-3+50-1-1-1-2-1-1-2-1-1-3-1-1-1-1-1-1-1-3-1+4-1-8-1-1</f>
        <v>51</v>
      </c>
      <c r="G148" s="107">
        <f>3+9-4-1+38-1+50-1-1-1-1-1-1-4-2-1-1-1-2-5-1-1-1-3-6-3-7-10-1-7-5-1-1-1-5-1-1-1-2-2-1-2-1-1-2-1-1-1-2+50-1-1-1-1-2-2-3-2-1-1-1+2-1-2-1-2-4-1-1-2-1-5</f>
        <v>16</v>
      </c>
      <c r="H148" s="107">
        <f>6+5-2+40-1-1-1+50-2-1-2-2-2-1-4-1-1-1-1-1-9-1-10-1-1-2-2-2-4-3-1-1-1-1-5-2-1-1-1-1-2-1-1-1-1-1-1-1-3-1-2-2-1-5-1-2-1+1-1+1-1</f>
        <v>0</v>
      </c>
      <c r="I148" s="107">
        <f>20+5-5-1+15-1-1-2-1-5-1-1-1-1-1-1-1-1+1-1-1+4-2</f>
        <v>17</v>
      </c>
      <c r="J148" s="242">
        <f>20+7+15-1-5-1-1-1-1-1-1</f>
        <v>30</v>
      </c>
      <c r="K148" s="243">
        <f>44+43+46-1-2-1-8-1-1-1+30-1-1-1-1-4-1-2-3-3-2-1-1-1-1-1-3-1-1-1-1-2-6-6-1-1-2-1-1-1-30-2-1-3-1-1-1-1-1-22-2-3-8-1-1-1+28-1-1-1-1-1-1+50-2+2-3-1-3-3-1-1</f>
        <v>77</v>
      </c>
      <c r="L148" s="107">
        <f>56+63+23-1-2-1-2-50-1-2+35+1-1-1-18-1+16-1-1-4-1+160-1-15-1-5-11-3-2-5-2-1-1-1-1-5-1-1-2-1-1-2-2-5-2+1-3-8-10-1-6-1-5-1-1-1-1-1-1-2-1-1-5-2-10-1-4-5-2-1-5-1-4-2-1-5-1-2-9-1-1-2-1-1-2-1-1-1-26-1-15-1-2-1-2-1-1-1-10-1-1-1-5-9-1+128-10+15-1-1-2-1-2-4+7-1-5-1-1-1-1-1-5-4-22-3-2-4-1-1-1-1-1-2-1-2-1-3-1-2-1-2-1-1-1-1-1-1-1-1-2+27-1-1-6-9-4-1-1-1-1-1-2-5-2-1-1-1-1-1-1-1-1+192-1-1-1-2-4-2-1-1-1-3+5-3-1-2-1-1-1-4-6-2-1-3-12-2-1+2-1-1-1-1-1-2-3-1-2-2-1</f>
        <v>161</v>
      </c>
      <c r="M148" s="107">
        <f>27+80+73+85+27-1-2-7-1-2-1-3-1-2-1-3-1-50-1-1+55+1-2-7-18-2+46-1-1-3-6-5-1-10+279+1-1-1-10-1-1-10-21-6-1-4-10-2-1-5-5-7-1-1-1-1-1-1-1-1-3-1-1-3-1-12-18-2-11-1-1-1-1-1-1-1-8-10-1-35-5-9-2-1-1-1-1-1-1-1-1-1-2-31-1-1-6-5-2-2-1-4-15-1-1-1-1-1-1-6-1-1-2-1-1-2-1-1-4-4-1-1-1-1-3-1-3-6-2-17-1-12-1-2-4-5-6-2-29-3-4-1-4-30-1-2-8-3-1-1-1-10-1-2-1-1-1-3-7-4-2-2+200-20-29+89-4-2-1-2-1-1-1-1-1-1-1-1-1-1-4+31-1-7-1-1-3-1-1-1-2-1-1-2-2-1-1-3-35-3-1-4-3-3-1-3-2-15-2-1-3-2-1-1-1-1-1-1-1-1-1-2-2-1-2-1-1-1-3-2-3-1-1-1-3-1+47-1-1-4-1-1-3-5-20-1-3-9-8-1-1-1-1-1-1-1-5-2-3-1-2-2-1-1-2-3-1-1-2-5-1-2+197-1-2-2-2-2-1-4-1-1-5-8+3-10-1-4-2-3-1-2-1-1-1-1-2-3-1-1-8-6-4-1-1-5-7-10-1-1-1-1+2-1-2-2-2-1-1-1-1-6-1-11-5-1-3-1-3-1</f>
        <v>124</v>
      </c>
      <c r="N148" s="107">
        <f>80+70+70+37-1-2-4-5-7-1-2-1-50-1-2+72+6-1-1-1-1+9+1-5+2-18+1-1-1-1+75-3-1-1-1-10-5-8-8+220-20-1-3-10-27-1-7-9-1-10-1-4-7-1-1-3-1-1-1-3-5-1-1-1-5-5-19-29-1-1-1+1-1-1-1-1-1-5-1-1-1-1-8-1-10-1-1-1-50-1-1-1-1-6-1-1-2-2-2-1-1-1-18-1-1-3-1-1-10-1-2-4-1-3-10-1-1-1-1-106-1-1-1-2-1-1-1-3-4-4-1-2-6-15-2-1+70-1-10-2-1-10-4-8-1-1-1-1-1-2-20-2-6+5-2-1-1-1+171-2-2-2-1-10-1-1-1-1-1-1-4-2-2-1-1-1-1-1-1-20-4+250-8-1-1-10-1-1-1-2-2-5-4-14-6-1-1-1-1-10-1-1-4-1-3-2-1-18-3-1-5-1-1-3-1-1-1-1-1-3-1-2-1-1-2-1-3-6-1-2-3-1-1-10-3-12-1-3-1-1-1-1-2-3-2-1-1-5-2-1-4-1-1-1-1-1-5-1+196-4-2-1-1-1-4-1-1-1-1-1-1-5-1-1-1-1-2-12-1+1-4+5-5-3-1-1-2-6-1-1-1-1-2-1-1-2-1-1-12-7-9-1-4-1-1-1-1-1-1-1-1-3-7-8-2-14-2-1-3</f>
        <v>191</v>
      </c>
      <c r="O148" s="107">
        <f>70+66+12-2-4-1-4-1-7-1-2-25-1+1-7+1+58+2-2-3+1-2-18+40-4-1-2-1-10-8+140-1-5-17-7-1-11-10-2-1-1-1-3-1-5-1-1-1-10-1-1-2+1-1-4-1-11-4-2-2-1-2-1-3-10-1-1-15-2-6-2-1-1-2-1-22-2-8-1-4-1-1-5-1-1-1-1-1-1-1-22-15-1-2-1-1-2-5-7-1-1-1-2-10-1-5-1+160-6-19-1-1+39-1-10-1-2-2-3-1-2-1-1-20-4-1-3-1-1-1-1-5-2-1-8-4-2+1-1-5-2-10-15-1-1-1-1-3-1-2-7-1-3-1-1-2-1-1-1-1-3-1-1-11-1-4-5-7+201-1-2-4-1-1-1-4-1-1-5-2-5-4-2-1-1-1-1-3-2-2-4-1-3-1-1-2-1-1-1-1-1-7-3-3-1</f>
        <v>125</v>
      </c>
      <c r="P148" s="119">
        <f>17+2+21-6-2-1-1-3-1-25-1+28-2-8+22-2-4+70-5-2-6-1-1-5-1-12+1-5-1-3-4-1-1-1-3-3-1-2-1-1+1-5-10-2-2-1-1-1-2-4-1-1-1-3-10-1-1+91-3-3-1+10-2-1-1-1-2-1-3-2-3-1-1-1-2-2-5-3-1-1-1-1-2-1-2-1-1-3-2-1-1+103-1-4-2-3-1-1-1-3-3-5-2-1-1-1-1-10-3-1-1-1-1-2-2-3-2-1-2-5-1-2-1-1-15-4-3-2</f>
        <v>55</v>
      </c>
      <c r="Q148" s="107">
        <f>0+7-1-1-1-1-1+27-3+24-1-1-2+30-3-1-1-1-7-1-5-4-1-1-3-2-3-3-1+1-3-3-1-1-1-5-1-2-4-5-1-5-1-1-1-1-1-1+29+1-1-1-1-1-1-2-4-3-1-1-2-1-1-2-1-1-1-1+50-1-1-1-5-2-1-1-1-2-1-4-1-1-1-2-3-1-3-1-1-3-1-1-2-1</f>
        <v>14</v>
      </c>
      <c r="R148" s="107">
        <f>0+12+6-1-1+15-1+1-1-3-1-1-1-3-2-4-1-5-1-1-1-1+48-1-1+2-1-1-1</f>
        <v>50</v>
      </c>
      <c r="S148" s="165">
        <f>0+23-2-1+6-1-1-1-1-1-1-1-5-1-1-1-1-1-1-1-2+29-2-1-1-1-1-1</f>
        <v>27</v>
      </c>
      <c r="T148" s="244">
        <f t="shared" si="2"/>
        <v>1804</v>
      </c>
      <c r="V148" s="247"/>
      <c r="X148" s="247"/>
      <c r="Z148" s="247"/>
    </row>
    <row r="149" spans="1:26" s="98" customFormat="1" ht="36.75" customHeight="1" thickBot="1">
      <c r="A149" s="249" t="s">
        <v>104</v>
      </c>
      <c r="B149" s="250">
        <f>8+32-1-4+50-1-1-2-1-1-1-1-15-1-3-1-3-1+40-1-2-2+10-1-2-1-1+15</f>
        <v>108</v>
      </c>
      <c r="C149" s="250">
        <f>70+63-1-10+1-1+2+59-2-8-1-4-1-2-1-2-1-2-3-1-3-1-1-1-1-5-1-1-5-2-1-2-25-1-1-2-9-1-3-5-1+50-1-1-1+50-1-4-9-2-2-1-1+25-1-1-2-4+22</f>
        <v>199</v>
      </c>
      <c r="D149" s="250">
        <f>9+139-3-10-1-1+2+7+59-13-5-1-2-2-1-2-2-10-10-5-7-3-1-1-8-4-1-1-1-10-10-1-1-1-2-1-40-1-1-2-11-1-1-6-1-5-1+76-3-1-1-1-1-1-1-1-1-9-1-5-1+50-9-1-1-1-1-1-1-1-1-1-1+99-2-1-1-4-1-2-1-10+42</f>
        <v>224</v>
      </c>
      <c r="E149" s="250">
        <f>10+158-1-11-1+8+59-22-1-2+1-1-7-7-1-3-1-1-7-1-3-4-6-3-1-15-10-3-3-2-40-1-1-1-1-6-1-1-1-1-6-1-5-1-1+74-1-1-1+47-1-3-1-1+3-1-2-1-1-3-1-2+98-1-1-1-3-1-7+23</f>
        <v>262</v>
      </c>
      <c r="F149" s="250">
        <f>23+47-5-10+2-1+2+49-1-12-1-5-3-2-1-2-1-1-10-3-2-1-1-1-10-1-3-2-30-1-2-1-2-1-1-5-1+50-1-1+50-1-2-1-3-1-1+45+23-1-1-1-1+14</f>
        <v>167</v>
      </c>
      <c r="G149" s="250">
        <f>25+14-4-1+1+1+1+51-3-1-1-1-2-2-3-1-25-6-3-5-1-1-1-1-1-1-1-2-1+15+50-1-1-1-1-1-2</f>
        <v>83</v>
      </c>
      <c r="H149" s="250">
        <f>15+1-1-3-5-4-1-1-1+50+50-50-20-1-1-1-1-1-1-5-1-1-3+14-1+3-2-1-4+14</f>
        <v>37</v>
      </c>
      <c r="I149" s="250">
        <f>15+10+1-3-1-5-1-1-1-1+11+3-1</f>
        <v>26</v>
      </c>
      <c r="J149" s="251">
        <f>0+20-1-6-5-1-1+8-1+2-1-1</f>
        <v>13</v>
      </c>
      <c r="K149" s="252">
        <f>0+67-9+38+2-1+1-3-1-1-1-1-1-3-2-20-3-2-1-3-1-2-1-1-1+68-1-1-1+4-2+1</f>
        <v>118</v>
      </c>
      <c r="L149" s="250">
        <f>15+40+59+20-1-12-1+1-1-1-1-1-3+5-1+100+20-1-5-1-3-2-1-2-1-2-1-3-3-1-13-1-5-7-5-2-2-7-1-40-1-1-1-1-2-1-6-1-3-10-1-1-5-1-2-1+37-2-3-2-5+70-1-5-3-2-1-1-1-1-10-1-1+52-3-2-1-3-1-1-1-2-1+21-2-1-1-1-4+5</f>
        <v>213</v>
      </c>
      <c r="M149" s="250">
        <f>25+69+206-4-1-18-1-2+1-3-1+172+28-2-3-5-1+6-1-10-8-2-1-4-4-1-1-3-3-1-13-1-8-1-1-1-1-17-1-1-2-3-1-2-1-1-1-1-7-1-1-1-60-8-1-10-1-1-1-1-2-1-10-1-3-10-4-30-2-2-1-6-5-2-5-1-2-2+63-2-1-1-1-1-2-1-9-1-2-2-1-2-20-1-1-1-1-3-10-1-1-1-2-2-1-1+150-3-2-1+3-1-2-1+49-1-11-4-1+10</f>
        <v>364</v>
      </c>
      <c r="N149" s="250">
        <f>71+133+30-4-1-2-1-23-1-1-1-2-2-1-3+1-1+125+77-2-11-5-1+1-9-10-2-1-4-4-1-1-1-3-1-3-1-2-1-17-4-1-1-2-1-1+1-19-4-1-3-3-1-1-7-1-60-2-5-10-1-1-2-1-10-5+2-2-2-1-1-10-1-1-1-62-2-1-1-2-1-6-1-1-5-1-1-1-1+110-1-1-1-2+120-1-8-1-2-1-1-1-19-1-1-10-1-1-2-1-10-1+100-4-3-1-2-1-5+51-6-15-1-4+11</f>
        <v>349</v>
      </c>
      <c r="O149" s="250">
        <f>40+70+55-4-2-1-8-2-3+1-1+60+40-6-2+6-7-4-2-1-1-3-1-3-1-1-1-1-8-7-1-2-1-1-8-1-1-1-1-8-1-2-20-1-1-1-5-1-2-10-2-30-1-1-1-3-1-5-1-2+31-2+35-1-6-2-1-1-1-2-1-14-1-3-1-2-1-1-2-10-1-5+50-6-1-1-5-1-1-1-1-2-1+15-1-1-8-4-2+6</f>
        <v>129</v>
      </c>
      <c r="P149" s="250">
        <f>15+10+5+20-4-2-3-1+80-1-3-4-1+1-1-1-1-1-1-1-1-1-11-2-1-1-5-1-30-2-1-1-3-1-5-17-1-5-1-2+26-1-3-2-2+25-1-3-2-1-1-1-2-1-1-1-1-3+50-1-1-2-1-1-4-7-1+3</f>
        <v>74</v>
      </c>
      <c r="Q149" s="250">
        <f>15+9-1-1-2-1+1-1-2-2-1-1-1-3-2-1-1-1-2-2+26-2+25-1-2-1-1+19-1-2</f>
        <v>60</v>
      </c>
      <c r="R149" s="250">
        <f>0+35-1-2-3-10-1-6+7-1-1+20-1</f>
        <v>36</v>
      </c>
      <c r="S149" s="253">
        <f>0+46-1-1-1-1-2-1-1-1-1</f>
        <v>36</v>
      </c>
      <c r="T149" s="244" t="s">
        <v>105</v>
      </c>
      <c r="V149" s="247"/>
      <c r="X149" s="247"/>
      <c r="Z149" s="247"/>
    </row>
    <row r="150" spans="1:26" s="98" customFormat="1" ht="30" customHeight="1" thickBot="1">
      <c r="A150" s="249" t="s">
        <v>32</v>
      </c>
      <c r="B150" s="250">
        <f>30-3-4-1-1-2-1-4-3-2-1-1-3+24-2-1-1-1-3-15-3-2+1+2-1-2+40</f>
        <v>40</v>
      </c>
      <c r="C150" s="250">
        <f>79-1-4-1-4-1-2-1-1-3-1-6-5-3-1-1-3-1-1-1-3-1-4-2-3-3-1-1-1-1+85-1-4-1-1-2-1-1-5-5-30-1-1-1-1-2+1-2+3-1-1-2-7-1+40</f>
        <v>76</v>
      </c>
      <c r="D150" s="250">
        <f>99-1-1-1-4-4-1-1-1-1-1-1-1-1-1-1-1-1-1-1-1-1-1-1-1-1-1-1-1-1-1-1-3-1-6-10-3-3-3-1-1-1-1-1-1-1-1-5-2-1-4-3-8-1-1+85-1-7-1-5-1-1-1-4-5-30-1-1-12-2-1-1-1+3+2-1-1-1-1-1-1-1-1+120-1-1-1-1</f>
        <v>123</v>
      </c>
      <c r="E150" s="250">
        <f>100-1-5-4-1-1-1-1-1-1-1-1-3-1-1-1-2-1-1-3-1-6-10-3-2-1-1-1-1-2-1-1-1-1-2-3-1-3-1-5-1-1-1+84-1-1-1-4-1-7-1-1-5-5-6-30-1-1-1-1-1-1-1-1+3-1-1-1-1-1-1-1-5+100</f>
        <v>123</v>
      </c>
      <c r="F150" s="250">
        <f>50-1-5-4-1-4-2-4-5-3-1-1-1-1-1-6-1-3-1-1+43-1-5-1-1-1-4-5-29+1+3-1-2-1+60</f>
        <v>60</v>
      </c>
      <c r="G150" s="250">
        <f>25-3-1-2-4-5-3-3-3-1+25-1-1-1-1-1-20+3+2-5+40</f>
        <v>40</v>
      </c>
      <c r="H150" s="250">
        <f>20-2-2-2-4-5-1-3-1+14-1-3-1-1-2-1+1-3+20</f>
        <v>23</v>
      </c>
      <c r="I150" s="250">
        <f>5-1-2-1-1+14-1-1-1-11+1-1+10</f>
        <v>10</v>
      </c>
      <c r="J150" s="251">
        <f>5-1-2-1-1+14-1-1-5</f>
        <v>7</v>
      </c>
      <c r="K150" s="252">
        <f>18-2+7-3-1-3-1-6-5-3-1+25-2-1-5+3-1</f>
        <v>19</v>
      </c>
      <c r="L150" s="250">
        <f>5-1-1-2+44</f>
        <v>45</v>
      </c>
      <c r="M150" s="250">
        <f>99-1-1-5-1-4-1-1-1-1-1-1-1-10-1-20-10-7-1-1-1-3-4-1-5-1-1+80-2-2-1-1-1-6-35-1-1-1+7-1-1-2-1-3-1-1+45</f>
        <v>85</v>
      </c>
      <c r="N150" s="250">
        <f>89-1-1-1-5-1+12-4-1-1-1-1-1-2-1-1-1-10-20-20-8-3-1-1-5-5-1-1+80-1-1-1-1-1-1-1-4-1-2-1-1-1-35-1-2-1-1+1+8-1-3</f>
        <v>31</v>
      </c>
      <c r="O150" s="250">
        <f>43-5+6-4-1-8-16-10-1-1-3+50-1-3-3-2-1-1-5-20-1-1-2-3-3-1-2-1+3-3</f>
        <v>0</v>
      </c>
      <c r="P150" s="250">
        <f>21-3+4-3-6-12-1+30-3-2-1-20-3-1</f>
        <v>0</v>
      </c>
      <c r="Q150" s="250">
        <f>13-2+3-2-3-6-1-1-1+15-3-1-2-1-5-1+1-3</f>
        <v>0</v>
      </c>
      <c r="R150" s="250">
        <f>6+4-1-2-2-1-1-1-1-1</f>
        <v>0</v>
      </c>
      <c r="S150" s="253">
        <f>1+9-1-2-2-1-1-1-1</f>
        <v>1</v>
      </c>
      <c r="T150" s="244">
        <f>SUM(B150:S150)</f>
        <v>683</v>
      </c>
      <c r="V150" s="247"/>
      <c r="X150" s="247"/>
      <c r="Z150" s="247"/>
    </row>
    <row r="151" spans="1:26" s="98" customFormat="1" ht="36.75" customHeight="1" thickBot="1">
      <c r="A151" s="249" t="s">
        <v>106</v>
      </c>
      <c r="B151" s="250">
        <f>15-3+4-4-1-1-2-4-3-1+25-3-1-1-1-2-1-4+2-1-1-1-5</f>
        <v>6</v>
      </c>
      <c r="C151" s="250">
        <f>46-1-1-4-1+15-1-1-1-4-1-3-1-6-5-3-1-1+1-3-1-1-1-5-5-1-1+37-1-2+1-1-26+3-1-1-3-2-1-1</f>
        <v>11</v>
      </c>
      <c r="D151" s="250">
        <f>81-1-1-1-1-1-1-3-6-10-3-1-1-1-1-3-5-1-1-1-1-7-1-1-4-5+40-3-1-1-2-1-42-9+3+1-4</f>
        <v>0</v>
      </c>
      <c r="E151" s="250">
        <f>72-1-5+19-4-1-1-1-1-1-1-1-1-1-1-3-6-10-3-1-1-1-1-3-1-1-1-1-1-1-1+40-1-5-5-1-1-5-1-1-1-12-1-1+1-34-1+3+2-1-1-3-1-5</f>
        <v>0</v>
      </c>
      <c r="F151" s="250">
        <f>28-1-1-4+18-4-1-2-1-4-5-3-2-1-3-1-1-1-1+25-4-5-1-1-1-3-2+1-1-18+3-3+1-1</f>
        <v>0</v>
      </c>
      <c r="G151" s="250">
        <f>21-3+4-3-2-1-4-5-1-3-1-1-1+25-5-1-3-1-9+3-1-1-1-1</f>
        <v>5</v>
      </c>
      <c r="H151" s="250">
        <f>5+4-2+1-2-2-4+15-3-2-3+1-2-1-1-3</f>
        <v>1</v>
      </c>
      <c r="I151" s="250">
        <f>4+1-1-2-1-1+5-1-4</f>
        <v>0</v>
      </c>
      <c r="J151" s="251">
        <f>3+2-1-2-2+5-2-2-1</f>
        <v>0</v>
      </c>
      <c r="K151" s="252">
        <f>19-2+1-5-3-6-4+20-3-1-2-2-1-1-1-1-1-1-1-1-1+3-1-2</f>
        <v>3</v>
      </c>
      <c r="L151" s="250">
        <f>49-1-1-1-3-1-1+11-5-1-1+1-5-10-10-5-2-1-1-1-5-1-1-1-1-1+61-1-1-1-1-1-1-1-1-1-4-2-2-1-1-1-1-1-1-1-1-1-21+5-1-3-3-2-3-1-1-1</f>
        <v>5</v>
      </c>
      <c r="M151" s="250">
        <f>80-1-1-5+38-1-1-8-1-1-1-1-1-1-1-1-1-1-1-1-1-1+1-10-1-20-20-7-1-1-1-1-1-1-1-5-1-3-1-2-1-4-2-1-1-2+141-4-1-1-1-2-1-1-1-1-49-57+7-5-8-2-1-1-4-1-1-2-1-1-2</f>
        <v>0</v>
      </c>
      <c r="N151" s="250">
        <f>95-5+25-1-8-1-1-1-1-1-1-1-1-1-1-1-1-1-1-1-1-1-1-1-1-1-1-10-20-10-8-1-10-1-1-1-1-1-5-1-1-1-2-1-1-5-3+140-1-1-1-4-5-5-1-10-1-1-7-2-1-1-1-1-1-1-1-92-2+8-8</f>
        <v>0</v>
      </c>
      <c r="O151" s="250">
        <f>39-5+21-1-8-1-8-16-5-1-7-2-3-3+61-2-4-1-2-2-1-1-1-1-5-6-1-1-1-1-3-1-1-1-1-1-1-1-1-16-4+7-1-5-1</f>
        <v>0</v>
      </c>
      <c r="P151" s="250">
        <f>23-3+7-5-1-6-12-1-2+30-5-1-2-2-1-1-2-1-3-1-1-10+2-1-1</f>
        <v>0</v>
      </c>
      <c r="Q151" s="250">
        <f>13-2+8-5-3-6-1-1-1-1-1+20-3-2-3-5-1-1-1-4+1-1</f>
        <v>0</v>
      </c>
      <c r="R151" s="250">
        <f>3+7-1-2-2-1-1-1-2</f>
        <v>0</v>
      </c>
      <c r="S151" s="253">
        <f>7-1+3-1-2-2-1-1-1-1</f>
        <v>0</v>
      </c>
      <c r="T151" s="244">
        <f>SUM(B151:S151)</f>
        <v>31</v>
      </c>
      <c r="V151" s="247"/>
      <c r="X151" s="247"/>
      <c r="Z151" s="247"/>
    </row>
    <row r="152" spans="1:26" s="98" customFormat="1" ht="35.25" customHeight="1" thickBot="1">
      <c r="A152" s="249" t="s">
        <v>40</v>
      </c>
      <c r="B152" s="250">
        <f>-1+2-1+23-3-15-1-3-1+10-8-1-1+40-1-2-1</f>
        <v>36</v>
      </c>
      <c r="C152" s="250">
        <f>3-3+97-5-5-30-5-1-5-2-1-1-1-3-2-1-1+1-1+38+2-1-1-1-2-1</f>
        <v>68</v>
      </c>
      <c r="D152" s="250">
        <f>-1+3-2+106-10-4-30-1-5-1-2-2-2-12-1-1-1-4-1-1+49+1-2-1-1-4-1-1-1-1-1-1</f>
        <v>64</v>
      </c>
      <c r="E152" s="250">
        <f>3-3+105-10-5-6-30-1-5-1-1-2-2-1-2-1-1-1-1-1-1-2-1+48+1-2-1-2-1-1</f>
        <v>72</v>
      </c>
      <c r="F152" s="250">
        <f>2-2+48-10-4-30-1-1-2+1-1+37+3-1-1-1-1-2-1-1-1</f>
        <v>31</v>
      </c>
      <c r="G152" s="250">
        <f>2-2+22-5-12-5+20-12-1</f>
        <v>7</v>
      </c>
      <c r="H152" s="250">
        <f>1-1+9-5-4+20-5-1-2-1</f>
        <v>11</v>
      </c>
      <c r="I152" s="250">
        <f>1+9-1-1</f>
        <v>8</v>
      </c>
      <c r="J152" s="251">
        <f>1+9-1</f>
        <v>9</v>
      </c>
      <c r="K152" s="252">
        <f>25-3-1-1-1-5-3-2+80</f>
        <v>89</v>
      </c>
      <c r="L152" s="250">
        <f>100-1-5-1-1-5-1-25-4-1-2-1-1+19-2-2-1-2</f>
        <v>64</v>
      </c>
      <c r="M152" s="250">
        <f>100-7-1-1-1-1-10-5-35-5-1-1-1-2-1+78+2-1-1-1-1-2-1-3</f>
        <v>98</v>
      </c>
      <c r="N152" s="250">
        <f>100-1-8-7-1-1-10-5-35-5-1-2-1-1-1+78+1-1-1-1-2-3-1</f>
        <v>91</v>
      </c>
      <c r="O152" s="250">
        <f>50-7-1-1-10-5-26+50-9-6-4-2-1-1-1</f>
        <v>26</v>
      </c>
      <c r="P152" s="250">
        <f>25-3-1-1-5-5-1-3-1+20-20</f>
        <v>5</v>
      </c>
      <c r="Q152" s="250">
        <f>10-1-1-1-1-5-1+20-10-1-1</f>
        <v>8</v>
      </c>
      <c r="R152" s="250">
        <f>10-1</f>
        <v>9</v>
      </c>
      <c r="S152" s="253">
        <f>10-1</f>
        <v>9</v>
      </c>
      <c r="T152" s="244">
        <f>SUM(B152:S152)</f>
        <v>705</v>
      </c>
      <c r="V152" s="247"/>
      <c r="X152" s="247"/>
      <c r="Z152" s="247"/>
    </row>
    <row r="153" spans="1:26" s="98" customFormat="1" ht="35.25" customHeight="1" thickBot="1">
      <c r="A153" s="249" t="s">
        <v>107</v>
      </c>
      <c r="B153" s="250">
        <f>18-3-3-1+20-6-3-2</f>
        <v>20</v>
      </c>
      <c r="C153" s="250">
        <f>82-1-3-5-5-1-1-1-2-1-1+20-1-4-3-3</f>
        <v>70</v>
      </c>
      <c r="D153" s="250">
        <f>80-5-4-5-5-1-1-2-1-1-1+49-6-5-1-3-1</f>
        <v>87</v>
      </c>
      <c r="E153" s="250">
        <f>80-1-5-5-5-1-5-1-1-1-2-1-1-1+49-4-3-3</f>
        <v>89</v>
      </c>
      <c r="F153" s="250">
        <f>40-5-4-4-1-2+1+47-1-9-6-3</f>
        <v>53</v>
      </c>
      <c r="G153" s="250">
        <f>20-3-1-3-2+12-2-3-2-3</f>
        <v>13</v>
      </c>
      <c r="H153" s="250">
        <f>10-3-2-1-2-1+11-1-1</f>
        <v>10</v>
      </c>
      <c r="I153" s="250">
        <f>10-4-1-1-1-3</f>
        <v>0</v>
      </c>
      <c r="J153" s="251">
        <f>10-1-2-1</f>
        <v>6</v>
      </c>
      <c r="K153" s="252">
        <f>20-3-1+78+2-3-6-3-1</f>
        <v>83</v>
      </c>
      <c r="L153" s="250">
        <f>76-3-5-4-2+40-1-1-1-1-9-4-5-1</f>
        <v>79</v>
      </c>
      <c r="M153" s="250">
        <f>149-5-10-6-5-1-1-1-2-1-2-1+80-1-3-12-11-7-1-5-1</f>
        <v>153</v>
      </c>
      <c r="N153" s="250">
        <f>151-4-5-5-5-1-1-12-2-1-1-1-1+80-1-1-1-1-13-10-8-3</f>
        <v>154</v>
      </c>
      <c r="O153" s="250">
        <f>74-1-5-1-5-1-1-2-1-1-1-1-1-1-1+40-3-5-4-7-5</f>
        <v>67</v>
      </c>
      <c r="P153" s="250">
        <f>40-3-3-2-1-2-1-1+20-1-2-8-2-3</f>
        <v>31</v>
      </c>
      <c r="Q153" s="250">
        <f>20-3-5-2-2-1+19-4-1</f>
        <v>21</v>
      </c>
      <c r="R153" s="250">
        <f>10-1-1-1+9+1-1-2</f>
        <v>14</v>
      </c>
      <c r="S153" s="253">
        <f>11-1+8+1-3</f>
        <v>16</v>
      </c>
      <c r="T153" s="244">
        <f>SUM(B153:S153)</f>
        <v>966</v>
      </c>
      <c r="V153" s="247"/>
      <c r="X153" s="247"/>
      <c r="Z153" s="247"/>
    </row>
    <row r="154" spans="1:26" s="98" customFormat="1" ht="35.25" customHeight="1" thickBot="1">
      <c r="A154" s="249" t="s">
        <v>108</v>
      </c>
      <c r="B154" s="250">
        <f>25-1-1-1-2-4-3-2-1-3-2+25-1+1-1-1-3-15-1+2-2-1-5</f>
        <v>3</v>
      </c>
      <c r="C154" s="254">
        <f>40-1-2-1-1+3-1-1-1</f>
        <v>35</v>
      </c>
      <c r="D154" s="250">
        <f>86-2-1-2+4-1-1-1-1-1+3-1-1-3-1-1-10-3-3-1-1-1-3-5-1-1+39-1+10-1-4-5-30-4-3-1-1+3-1-1-1</f>
        <v>46</v>
      </c>
      <c r="E154" s="250">
        <f>87-1-1-1+4-1-1-1-1-1-1-3-6-10-3-3-1-1-1-1-3-5-1-5-1-1-1-1-1-1-1-1-1+36-1+14-1-5-5-30-1-1-1-7-1+3-1-1-1-1-1</f>
        <v>25</v>
      </c>
      <c r="F154" s="250">
        <f>57-2+2-2-6-5-3-3-1-1-3-5+14-1+1-1-1-4-5-30-1+1+3-1-1-1-1</f>
        <v>0</v>
      </c>
      <c r="G154" s="250">
        <f>25-2-4-3-2-5-3+9-1+6-1-1-6-5-1+3-1-5-3</f>
        <v>0</v>
      </c>
      <c r="H154" s="250">
        <f>10-1-2-4-1-1+7-1+8-1-2-1-2-4-3-2+1-1</f>
        <v>0</v>
      </c>
      <c r="I154" s="250">
        <f>10-1-2-1-1-1-1-2-1</f>
        <v>0</v>
      </c>
      <c r="J154" s="251">
        <f>9+1-1-2-2-1-1-3</f>
        <v>0</v>
      </c>
      <c r="K154" s="252">
        <f>17+2-3-6-2-3+20-2-1-5+3-1-1-1</f>
        <v>17</v>
      </c>
      <c r="L154" s="250">
        <f>54+6-5-10-10-5-5-1-1-1-1+55-2+4-1-1-6-25+1+5-1-1-1-1-1</f>
        <v>46</v>
      </c>
      <c r="M154" s="250">
        <f>107-2-1-2-1-1-1+13-1-1-1-1-1-1-1-1-1-1-1-1-1-1-1-1-1-1-1+1-1-1-1-1-1-10-1-20-10-7-5-1-1-1-1-1-2-7-1-1-1-1-7-1-1+35-2+94-1-1-1-1-5-35-1-1-12-1+1+7+2-1-1-1-2</f>
        <v>82</v>
      </c>
      <c r="N154" s="250">
        <f>108-1-3-1+12-1-1-1-1-1-1-1-1-1-3-3-1+2-10-20-20-8-5-1-1-1-1-1-1-4-7-1-4-1-1-1+15-2+114-1-5-35-10-1-1-1+8+2-1-1-1</f>
        <v>93</v>
      </c>
      <c r="O154" s="250">
        <f>60-1-1-2-8-16-5-7-5-1-1-7-2+60-1-35-1-1-7-1-1+7-1-1-1-1-5</f>
        <v>15</v>
      </c>
      <c r="P154" s="250">
        <f>30-1+10-6-3-3-3-3-1-2+14-1-5-10+3-15-4</f>
        <v>0</v>
      </c>
      <c r="Q154" s="250">
        <f>5+15-3-1-1-2-1-2-1-1-2-3-1+13+2-2-1-1-1+1-1-1-1</f>
        <v>10</v>
      </c>
      <c r="R154" s="250">
        <f>4+6-1-2-1+10-1-1-1-3</f>
        <v>10</v>
      </c>
      <c r="S154" s="253">
        <f>6+4-1-2-1-1+1-1+9-1-1-3</f>
        <v>9</v>
      </c>
      <c r="T154" s="244">
        <f>SUM(B154:S154)</f>
        <v>391</v>
      </c>
      <c r="V154" s="247"/>
      <c r="X154" s="247"/>
      <c r="Z154" s="247"/>
    </row>
    <row r="155" spans="1:26" ht="31">
      <c r="A155" s="98"/>
      <c r="B155" s="247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255">
        <f>SUM(T140:T154)</f>
        <v>22066</v>
      </c>
      <c r="U155" s="256"/>
      <c r="V155" s="256"/>
      <c r="X155" s="247"/>
      <c r="Z155" s="257"/>
    </row>
    <row r="158" spans="1:26" ht="31">
      <c r="A158" s="258" t="s">
        <v>109</v>
      </c>
      <c r="B158" s="258"/>
      <c r="C158" s="258"/>
      <c r="D158" s="258"/>
      <c r="E158" s="258"/>
      <c r="F158" s="258"/>
      <c r="G158" s="258"/>
      <c r="H158" s="258"/>
      <c r="I158" s="258"/>
      <c r="J158" s="258"/>
      <c r="K158" s="258"/>
      <c r="L158" s="258"/>
      <c r="M158" s="258"/>
      <c r="N158" s="258"/>
      <c r="O158" s="258"/>
      <c r="P158" s="258"/>
      <c r="Q158" s="258"/>
      <c r="R158" s="258"/>
      <c r="S158" s="258"/>
      <c r="T158" s="259"/>
      <c r="U158" s="98"/>
    </row>
    <row r="159" spans="1:26" ht="21">
      <c r="A159" s="260" t="s">
        <v>83</v>
      </c>
      <c r="B159" s="101" t="s">
        <v>3</v>
      </c>
      <c r="C159" s="183"/>
      <c r="D159" s="183"/>
      <c r="E159" s="183"/>
      <c r="F159" s="183"/>
      <c r="G159" s="183"/>
      <c r="H159" s="183"/>
      <c r="I159" s="183"/>
      <c r="J159" s="184"/>
      <c r="K159" s="101" t="s">
        <v>4</v>
      </c>
      <c r="L159" s="183"/>
      <c r="M159" s="183"/>
      <c r="N159" s="183"/>
      <c r="O159" s="183"/>
      <c r="P159" s="183"/>
      <c r="Q159" s="183"/>
      <c r="R159" s="183"/>
      <c r="S159" s="183"/>
      <c r="T159" s="184"/>
      <c r="U159" s="98"/>
    </row>
    <row r="160" spans="1:26" ht="21">
      <c r="A160" s="260" t="s">
        <v>52</v>
      </c>
      <c r="B160" s="104" t="s">
        <v>10</v>
      </c>
      <c r="C160" s="104" t="s">
        <v>53</v>
      </c>
      <c r="D160" s="104" t="s">
        <v>54</v>
      </c>
      <c r="E160" s="104" t="s">
        <v>55</v>
      </c>
      <c r="F160" s="104" t="s">
        <v>56</v>
      </c>
      <c r="G160" s="104" t="s">
        <v>15</v>
      </c>
      <c r="H160" s="104" t="s">
        <v>16</v>
      </c>
      <c r="I160" s="104" t="s">
        <v>17</v>
      </c>
      <c r="J160" s="104" t="s">
        <v>18</v>
      </c>
      <c r="K160" s="104" t="s">
        <v>10</v>
      </c>
      <c r="L160" s="104" t="s">
        <v>53</v>
      </c>
      <c r="M160" s="104" t="s">
        <v>54</v>
      </c>
      <c r="N160" s="104" t="s">
        <v>55</v>
      </c>
      <c r="O160" s="104" t="s">
        <v>56</v>
      </c>
      <c r="P160" s="104" t="s">
        <v>15</v>
      </c>
      <c r="Q160" s="104" t="s">
        <v>16</v>
      </c>
      <c r="R160" s="104" t="s">
        <v>17</v>
      </c>
      <c r="S160" s="104" t="s">
        <v>18</v>
      </c>
      <c r="T160" s="102" t="s">
        <v>57</v>
      </c>
      <c r="U160" s="98"/>
    </row>
    <row r="161" spans="1:24" ht="21">
      <c r="A161" s="261" t="s">
        <v>94</v>
      </c>
      <c r="B161" s="107">
        <f>69+2-3-1-3-1-63+63+3-1-1-3-1-2-1-1-2-2-1-3-1-1-2-1-1-1-1-1-1-1-1-4+45-1-13-1-1-5-12-1-1+1-5-1-1</f>
        <v>36</v>
      </c>
      <c r="C161" s="107">
        <f>104+139-5+30+1-1-5-3-2-2-1-2-1-5+2-249+123+59+60-1-1+2-1-1-1-1-4-4-1-4-10-1-2-1-4-4-1-1-2-1-1-2-2-1-1-3-1-2-7-1-1-2-8-2-3-1-1-1-1-1-3-3-4-1-1-1-1-1-1-1-1-7+198-1-1-2-22-1-2-3-1-1-10-9-1-10-4-1-4-9-2-1-2-2-3-1+1-2-2-1-1-2-1-2</f>
        <v>226</v>
      </c>
      <c r="D161" s="107">
        <f>85+200-2-2+18-1-5-1-4-8-2-2-1-1-5-1-1-4-1+2-264+65+60+60+30-1-1+1+8-1-1+31-2-1-4-1-1+1-1-1-2-1-2-1-1-5-2-1-4-4-11-1-11-2-2-1-1-1-2-1-8-1-4-5-1-1-2-2-3-3-3-1-1-1-1-1+80-2-1-3-18-1-1-2-2-2-3-8-1-2-1-2-6-11-1-1-1-1-1-1-8-8-14-1+229-1-1-1-2-1-32-1-1-1-1-15-1-18-21-1-1-3-7-1-1+17-1-17-6-1-7-1-2-1-4+1-1-2-1-2-5-1-3-1</f>
        <v>204</v>
      </c>
      <c r="E161" s="107">
        <f>14+150-1-1+10-1-1-1-1-1-1-1-1-1-1-1-1-1-159+39+60+60+30-2-1-2+2-1-1+1+126-1+2-2-1-1-1-1-1-4-1-4-2-4-6-2-3-1-1-1-1-1-1-3-1-1-1-2-1-2-2-1-1-2-3-1-1-1-1-7-25-1-2-1-1-1-4-3-1-1-1-2-4-1-1-1-1-1-3-3-8+232-1-41-8-1-3-15-12-13-1-5-1-5-1-1-1+12-16-2-1-2-2-5-1-1+1-2-2-1-1-2</f>
        <v>274</v>
      </c>
      <c r="F161" s="107">
        <f>96+9-2-2-1-100+70+2-1-1+30-1-1-3-1-1-1-1-1-4-2-2-2-1-1-1-2-1-4-4-1+39-3-2-1-2-10-2-7-1-1-1-1-2-1-1-1-3+129-1-1-1-5-1-1-1-10-3-4-2-1-2+17-6-2-1-2-1+1-1-2-1-1-2-1-1</f>
        <v>158</v>
      </c>
      <c r="G161" s="107">
        <f>91-2-1-1-87+88-1-1-1-1-1-2-2-1-1-1-1-1-1-1-7-2-2-1-1-1-1-1+37-2-2-5-1-6-1-1-1-1+11-1-1+1-1-1</f>
        <v>81</v>
      </c>
      <c r="H161" s="107">
        <f>26-1-1-1-1-22+20+1-1+14+1-1-1-2-1-1-8-1-1-1-1+40-1-1-5-1-1+6-4-1</f>
        <v>49</v>
      </c>
      <c r="I161" s="107">
        <f>16-16+16-1-1-1-1-1-1</f>
        <v>10</v>
      </c>
      <c r="J161" s="107">
        <f>1+19-20+1+19-1-1-1-1</f>
        <v>16</v>
      </c>
      <c r="K161" s="107">
        <f>42+30+15-1+1-1-86+59+30-1-2-1-2-1-1-1+51-2-1-1-1-1-1-1-1-16-15-3-1-1-4-1-1-1-8</f>
        <v>71</v>
      </c>
      <c r="L161" s="107">
        <f>164-4-2+5+1-1-3-1-1-1-2+1-1-1-2-1-4-3-1-1+1+1-144+49+60+3+23+29-1-1-1+1-1-1+1+77+9-2-1-1-1-1-5-2-1-12-10-1-2-1-2-1-1-1-1-1+155-3-1-1-1-15-5-2-5-11-2-2-5-1-1-12-1-12-11-1-1-1-1-3-3-1-1+73-1-48-5-1-1-1-20-21-2-4-2-1-6+20-3-5-1-1-2-6-5-4+1-3-1-3-2-2</f>
        <v>195</v>
      </c>
      <c r="M161" s="107">
        <f>27+31+120-13-11-2-1+5-5-1-1-3-1-5-5+1+1-1-2-13-3+1-6-1-2-3-2-1+1-105+48+60+50+59-2-1-2-1-2+2+13-1-1-2-3+337-1-1+38-5-1-1-1-3-1-1-1-1-2-1-5-1-1-5-11-2-1-8-1-1-1-4-5-2-1-3-1-2-1-1-1-3-4-1-2-7-1-1-3-1-1-1-4-2-1+232-3-1-1-1-1-15-5-16-23-1-1-1-1-8-2-5-3-3-1-1-11-1-3-1-1-1-1-3-1-4-2-1-1-1-1-1-2-1-1-1-1-2-5-3+105-45-1-2-2-7-1-25-1-33-9-1-2-1-6-4-1-1-5-2+13-9-1-1-2-3-4-8-1-1-2-2-4-3+1-7-1-4-2-1-7-1-1-1-1-1-2-2-2-1</f>
        <v>466</v>
      </c>
      <c r="N161" s="107">
        <f>45+40+200-4-6-3-7-1-3-1-2-2-1-2-6-1-8-1-1-3-233+48+60+6+80-2-1-1+6-1-1+228+26-6-2-1-2-1-1-1-3-1-1-5-1-3-1-5-4-7-2+1-1-2-1-2-1-1-1-1-2-1-1-1-2-1-2-1-1-2-2-2-4-2+358-3-1-2-20-5-4-21-1-3-2-4-5-2-6-10-4-8-1-2-1-1-1-1-1-2-1-1-5-4-1-4-1-1-1-1-1-1-10-1+108-1-2-1-44-8-3-2-1-2-12-25-1-1-36-2-4-3-1-1-2-4+9-20-1-1-2-1-3-1-6-1-4-3-2-1-1-4-1-2-1+1-3-1-8-1-14-1-1-1-2-13</f>
        <v>444</v>
      </c>
      <c r="O161" s="107">
        <f>83+103-3-1-1-1-2-6+1-1-2-1-4+1-3-1-162+18+60+60-1-2-1-1+1-1-1+82+6-1-1-1-2-1-1-1-1-6-1-2-1-2-3-2-1-2-1-1-1-2-1-1-1-2-1-1-1-1-1-1-1-1-1-1+99-3-10-5-1-10-1-1-3-2-5-5-1-6-1-1-1-1-3-1-1-1-1-1-10-1+140-4-3-1-1-4-1-13-15-15-2-1-2-1-1-1-4+14-3-20-2-2-1-2-1+1-2-1-1-12-1</f>
        <v>232</v>
      </c>
      <c r="P161" s="107">
        <f>75-2-2-1-2-3-65+64+75-1+40+8-1-1-1-1-3-1-2-1-1-2-2-2-1-1-1-2-5-7-1-4-1-2-1-1-1-1-1-1-1-1-1-1-2+46-10-5-1-10-1-1-1-3-1-1+2-17-4-1-1-1+1-1-2-7</f>
        <v>112</v>
      </c>
      <c r="Q161" s="107">
        <f>63-1-1-2-2-57+57+1-1-1-3-1-1-5-4-1-1-1-1-1-1-1+44-1-5-1-1-1-1+6-12-1-1-1-1-1</f>
        <v>58</v>
      </c>
      <c r="R161" s="107">
        <f>5-1-4+4-1+10+2-3-2-1-1-1-1-3-1</f>
        <v>2</v>
      </c>
      <c r="S161" s="107">
        <f>12-12+10-1+10+5-3-1-1-1-1-1</f>
        <v>16</v>
      </c>
      <c r="T161" s="107">
        <f>SUM(B161:S161)</f>
        <v>2650</v>
      </c>
      <c r="U161" s="98"/>
    </row>
    <row r="162" spans="1:24" ht="21">
      <c r="A162" s="261" t="s">
        <v>19</v>
      </c>
      <c r="B162" s="107">
        <f>41-8+6+2-1+2-42+5+12-1+2+2-2-1-1-1-1-2-1+80-8-1-1-3</f>
        <v>78</v>
      </c>
      <c r="C162" s="107">
        <f>13-1-1-1+8-6+6+4-22+36-3-1-1-4-1-1-1-1+2-1-1-1-1-2-4-5-5-1-1-1-2+101-1-1-2-1-1-2-2-1-1-1-2-2-2+61-1-1-6-1-4-5-1-1-3-1+1-1-2-5-1-6-2-5</f>
        <v>98</v>
      </c>
      <c r="D162" s="107">
        <f>39-1-2-1-2-1-1+1-1-6+6-1+1-31+55-2-1-4+1-1-2+1-5+1-1-1-1-1+2-1-1-1-2-1-1-1+1-1+1-1-1-1+1-1-1-1-1-1-1-4-1-6-1-9-1-1+102-1-1-3-1-1-2-1-1-1-2-5-1-1-2-5+149-4-3-12-1-1-2-1-1-1-12-2-2-2+1-2-2-2-1-1-16-5-3-3-1</f>
        <v>147</v>
      </c>
      <c r="E162" s="107">
        <f>79-1-1-1-1-1-1-5-68+118-2-4-1-3-3-1-1-1-1-1-1+3-1-1+3+1-1-2-1-2-2-1-1+1-6-1-8-1-1-1-1+28-1-6-1-1-1-2-1+220-6-8-1-1-2-1-5-2-1-1-1-3+1-1-14-5-1-1</f>
        <v>258</v>
      </c>
      <c r="F162" s="107">
        <f>25-1-1-1-2+2-1-2-19+15-1+2-1-1-1-1-1-1+6-1-1-1+3+3-1-2-2-1-3-1-3-6+51-1-3-1-1-3-4-4+80-2-2-2-2-2-2-1-4-2-1-3-6-5-1</f>
        <v>79</v>
      </c>
      <c r="G162" s="107">
        <f>11-2-5+3+2-9+3+5-1+3-1+2+2-2+1-2-1-1-1+25-1-2-2+40-3-4-1-6-1-3</f>
        <v>49</v>
      </c>
      <c r="H162" s="118">
        <f>11-1-10+1-1+24-1-1-1+20-3-2-2</f>
        <v>34</v>
      </c>
      <c r="I162" s="107">
        <f>1-1+10-1-1-1-1-2-4+20-1-1</f>
        <v>18</v>
      </c>
      <c r="J162" s="107">
        <f>20-1-19+19+1-1-1-1-1-1+20-1</f>
        <v>34</v>
      </c>
      <c r="K162" s="118">
        <f>1-1+29+1+50-2-2-1-1-1-3</f>
        <v>70</v>
      </c>
      <c r="L162" s="118">
        <f>8-1-3-2-1+100-8-14-2-4-1-5-6-1+1-1-3-3-1-10-1-5</f>
        <v>37</v>
      </c>
      <c r="M162" s="107">
        <f>15-5-6-1-2-1+1-1+1-1+1-1+40-2-9-4-1-1-1-15-7+198-6-8-1-8-1-3-1-3-10+3-1-2-2-11-4-1-3-1+200-1-1-5-22-2-2-5-5+3-1-2-2-4-4-2-1-3-2-18-2-5-2</f>
        <v>247</v>
      </c>
      <c r="N162" s="118">
        <f>36-1-2-1-2-1-2-1-2-1-1-2-3-1-1-1+1-1-1-13+4-2-1-1+1-1+3-1-2+31-4-2-2-3-3-6-2-1+155-16-35-1-3-2-3+55-1-2-3-1-1-1-2+199-7-24-2-4-5-1-4-1-1-2-2+1-9-1-1-1-1+1-2-1-4-1-2-2-1-1-1-10-5-3-1</f>
        <v>248</v>
      </c>
      <c r="O162" s="118">
        <f>0+2-2+1-1+1-1+1-1+20-1-3-1-2-6-1-2+73-4-13-3-2-2-1-1+28-1-3-1-1+100-2-10-2-1-1-4+1-5-2-1-1-1-2-1-6-5</f>
        <v>130</v>
      </c>
      <c r="P162" s="118">
        <f>13-1-2-4-2-2-2+3-1+1-3+21-4-4-1-2-1-1-1-5-2+36-1-1-2-1+49-1-1-2-1-5-1-1-6-5-2</f>
        <v>55</v>
      </c>
      <c r="Q162" s="107">
        <f>20-7-1-2-1-5+5-1-8+4+5-1-1-1+1-1-2-1+12-9-1-5+1-1+5-1-1-1+23+19-3-2-1-1+1-1-6-3-2</f>
        <v>26</v>
      </c>
      <c r="R162" s="107">
        <f>18-1-2-5-5+5-1-9+4+5-1+1-1-1+6+6-1-1-1-1-1-1-1+20-7-1-2</f>
        <v>22</v>
      </c>
      <c r="S162" s="107">
        <f>16-2-1-13+14-1-1+2+2-6-1+20-1-2</f>
        <v>26</v>
      </c>
      <c r="T162" s="107">
        <f>SUM(B162:S162)</f>
        <v>1656</v>
      </c>
      <c r="U162" s="98"/>
    </row>
    <row r="163" spans="1:24" ht="21">
      <c r="A163" s="261" t="s">
        <v>20</v>
      </c>
      <c r="B163" s="118">
        <f>3-1-2+5-5+30-1-1-1-1-2-3-1-1-1-1-1+40-2-5-3-1</f>
        <v>45</v>
      </c>
      <c r="C163" s="107">
        <f>0+20-1-2-1-3-2-9-5+3+21-2+1-10-10+10-1-1-1-3-2-1-1+2-2+120-1-8-3-2-5-3-5-4-8-4-2-1-2-2-3-2-3-1-1-1-2-1-4-2-2-3-5-5+40-11-1-2-10-5-20-5-1-5-1</f>
        <v>14</v>
      </c>
      <c r="D163" s="107">
        <f>0+1+1-15+13+3+10-10-1-1+1-1-1+150-6-9-3-8-7-5-11-5-1-11-4-1-2-5-2-2-3-1-1-1-2-7-2-2-1-3-1-3-1-3-1+99-26-2-2-18-1-1-6-20-2-1-5-4</f>
        <v>47</v>
      </c>
      <c r="E163" s="107">
        <f>2-2+3-1-1+1-1-1+1-1+4-4+150-9-4-5-7-7-4-8-4-1-7-1-1-2-3-1-1-1-7-2-1-1-2-1-5-1-1+100-27-2-2-17-1-5-45-1-2-5-7-1</f>
        <v>48</v>
      </c>
      <c r="F163" s="107">
        <f>1+1-1-1+1-1+75-6-5-5-10-8-4-1-4-2-3-1-1-1-3-2-3-1-3-2+80-14-2-2-7-1-1-25-1-1-1-1-3-5-6</f>
        <v>20</v>
      </c>
      <c r="G163" s="107">
        <f>21-1-1-1-4+4-18+19+1-1-3-1-1-1-1-2-1+1-2+6-14+30-2-5-5-5-2-2-2-1-2-2-2+40-6-2-10-3-9-8-1</f>
        <v>1</v>
      </c>
      <c r="H163" s="107">
        <f>16-7-1-8+9-9+1+9-2-1+2-9+15-1-1-2-2-1-1-1+20-1-2-4-2</f>
        <v>17</v>
      </c>
      <c r="I163" s="107">
        <f>4-1-1-2+2-2+1-1+20-1-1</f>
        <v>18</v>
      </c>
      <c r="J163" s="107">
        <f>22-1-21+24-1+1-3-21+5-1-1</f>
        <v>3</v>
      </c>
      <c r="K163" s="107">
        <f>7-1-1+5-10+4-1-3+30-2-3-1-1+43-3-3+1+7-2-4-1-2-1-3</f>
        <v>55</v>
      </c>
      <c r="L163" s="107">
        <f>53-2-4-1-1-1-1-4-1-23-1-6-5-1-1+32-1-32+36-1+1-1+1-1-1-1-1-12-1-1-3-1-1-1-1+1-2+1-11+150-8-15-10-8-12-3-1-1-2-2-3-1-3-8-2-1+86-1-4-1+2-3-5-2-1-6-5-5-2-1-5</f>
        <v>117</v>
      </c>
      <c r="M163" s="107">
        <f>96-1-2-1-2-3-6-3+1-2+1-1-15-1-3-58+74-2-2-1-1-1-1-10+2+1-1-1-1-1-2-1-1-1-1-1-2-1-1-2-1-1-17-3-2-1-1-1-1-1-1+1-1-3-3-1+12+1-18+300-9-15-8-15-10-5-5-2-10-1-3-1-1-1-5-3-1-2-3-2-1-1-1-2-20-2-5-1+148-1-2-2-4-6-1-2-2+1-1+3-1-25-2-1-2-10-5-1-1-10-1-4-3-2-3-1-1-1-2-2-2-5-1</f>
        <v>210</v>
      </c>
      <c r="N163" s="107">
        <f>92-2+1-11-2+1-2-6-8-1-20-3-39+48-1-1-1-1-10-2+1-2-1-1-1-2-1-1-1-3-7-4-2-1-1-1-3-1+1-1+10-10+300-12-20-5-15-10-4-15-5-4-6-1-4-1-4-4-4-2-1-3-1-4-1-2-1-25-2-1-6-1-3+143-2-4-3-1-2-1-2+3-1+7-25-1-2-4-21-5-2-1-1-2-1-3-1-1-1-5-1</f>
        <v>193</v>
      </c>
      <c r="O163" s="107">
        <f>52-2-1-2-1-2-2-1-1-1-6+1-5-1-1-27+29-1-1-1+1-1-1+1-1-1-1-1-1+1-1-1-1-3-2-1+1-3-2-1+1-3-1-2-1-2+16-16+150-1-7-10-3-5-5-6-3-2-5-1-1-2-3-2-8-4-5-2-1+55-1-1-1-1-2-1-1+3-1+35-15-2-2-2-21-2-2-10-1-1-5</f>
        <v>95</v>
      </c>
      <c r="P163" s="107">
        <f>6-1-1-1+1-2-1-1+3-2-1+2-2+75-2-5-1-5-10-1-5-3-3-1-2-1-1-2-1-2-1-3-1-3-3-1+40-1-1+10-4-2-17-2-1-3</f>
        <v>37</v>
      </c>
      <c r="Q163" s="107">
        <f>13-1-1-2-9+11-1-1-1-1-1-1-1-1-1-1+6-7+30-1-5-1-5-2-2-1-1-2-2+7-1+1+12-1-2-13-1-1-3</f>
        <v>6</v>
      </c>
      <c r="R163" s="107">
        <f>5-1-1-3+3-3+15-3-2-1-2+7-2+13-1-2</f>
        <v>22</v>
      </c>
      <c r="S163" s="107">
        <f>9-9+11-2-9+18+2+5-3-1-1-1</f>
        <v>19</v>
      </c>
      <c r="T163" s="107">
        <f>SUM(B163:S163)</f>
        <v>967</v>
      </c>
      <c r="U163" s="98"/>
    </row>
    <row r="164" spans="1:24" ht="21">
      <c r="A164" s="262" t="s">
        <v>110</v>
      </c>
      <c r="B164" s="107">
        <f>21-21+20-2-2-1-1-1-5-1</f>
        <v>7</v>
      </c>
      <c r="C164" s="107">
        <f>69-2-1-2-64+66-1-1-2-3-1-6-1-2-1-1-3-5-8-10-2-1-1-1</f>
        <v>16</v>
      </c>
      <c r="D164" s="107">
        <f>114-1-1-1-2-109+112-1-2-1-9-1-1-1-1-1-1-3-1-10-2-1-1-1-1-11-1-2-9-15-1-1+1-1-4-1</f>
        <v>28</v>
      </c>
      <c r="E164" s="107">
        <f>107-1-2-1-1-102+103-2-1-1-4-1-1-12-1+1-1-1-2-1-1-2-1-1-1-1-13-3-1-10-20+1-1-1-1</f>
        <v>20</v>
      </c>
      <c r="F164" s="107">
        <f>72-1-1-70+71-1-1-4-2-1-2-1-2-6-2-1-5-1-1-1-12-2-4-10+1-1+1</f>
        <v>13</v>
      </c>
      <c r="G164" s="107">
        <f>30-1-29+30-2-1-1-2-1-3-2-3-1-1-3-2-3-5+1+1</f>
        <v>2</v>
      </c>
      <c r="H164" s="107">
        <f>32-1-31+35-1-2-1-4-1-3-1-2-3-2-5-1+1</f>
        <v>10</v>
      </c>
      <c r="I164" s="107">
        <f>22-22+22-1-2-1-1-1-1-2</f>
        <v>13</v>
      </c>
      <c r="J164" s="107">
        <f>16-3-13+13-2</f>
        <v>11</v>
      </c>
      <c r="K164" s="107">
        <f>30-1-29+29-1-2-15</f>
        <v>11</v>
      </c>
      <c r="L164" s="107">
        <f>129-6-1-1-2+1-2-118+104+9-2-1-1-1-1-1-1-1-1-1-4-1-1-1-1-1-2-3-1-1-1-7-13-20-1</f>
        <v>44</v>
      </c>
      <c r="M164" s="107">
        <f>282-3-7-1-1-4-266+107+159-1-3-5-2-1-2-1-5-1-5-1-1-5-1-1-10-1-1-1-1-4-1-1-1-2-2-1-1-1-18-1-4-19-25-4-1-3-1</f>
        <v>127</v>
      </c>
      <c r="N164" s="107">
        <f>224-3-1-1-2-1-1-4+54+1-266+112+178-2-2-1-1-1-1-3-2-2-3-7-2-6-2-2-6-1-1-1-4-2-1-1-1-1-16-11-25-1-2-3</f>
        <v>176</v>
      </c>
      <c r="O164" s="107">
        <f>133-3-3-1-1-4-121+106-1-1-1-2-1-1-1-6-2-1-6-1-1-1-2+1-1-8-4-15-1-2</f>
        <v>48</v>
      </c>
      <c r="P164" s="107">
        <f>112-3-1-108+80+29-2-1-2-1-4-1-1-2-1-2-4-1-1-1-1+1-1-1-2-10+1-2+1</f>
        <v>71</v>
      </c>
      <c r="Q164" s="107">
        <f>37-37+34-1-1-2-1-5-1-1-4-5+1-1+1</f>
        <v>14</v>
      </c>
      <c r="R164" s="107">
        <f>15-1-14+14-5-1+1</f>
        <v>9</v>
      </c>
      <c r="S164" s="141">
        <f>17-1-16+15</f>
        <v>15</v>
      </c>
      <c r="T164" s="107">
        <f>SUM(B164:S164)</f>
        <v>635</v>
      </c>
      <c r="U164" s="98"/>
    </row>
    <row r="165" spans="1:24" ht="21">
      <c r="A165" s="263" t="s">
        <v>111</v>
      </c>
      <c r="B165" s="107">
        <f>4-1-3+3-1-2</f>
        <v>0</v>
      </c>
      <c r="C165" s="107">
        <f>3-3+3-1-1-1</f>
        <v>0</v>
      </c>
      <c r="D165" s="107">
        <f>7+1-8+8-1-1-1-1-1-3</f>
        <v>0</v>
      </c>
      <c r="E165" s="107">
        <f>19-19+19+1-1-1-1-1-1-1-1-1-2-1</f>
        <v>9</v>
      </c>
      <c r="F165" s="107">
        <f>6-1-5+5-1-3-1</f>
        <v>0</v>
      </c>
      <c r="G165" s="107">
        <f>23-23+24-1-1-2-1-1-1-1-1-1</f>
        <v>14</v>
      </c>
      <c r="H165" s="107">
        <f>9-9+9-1-1-1-1-1-1-1</f>
        <v>2</v>
      </c>
      <c r="I165" s="107">
        <f>8-8+8-1-1-1</f>
        <v>5</v>
      </c>
      <c r="J165" s="107">
        <f>0</f>
        <v>0</v>
      </c>
      <c r="K165" s="107">
        <f>34-1-33+33-1-1-1-1</f>
        <v>29</v>
      </c>
      <c r="L165" s="107">
        <f>48-48+48-1-1-1-1-1+1-1-1-1-1-1-1-2-1-2</f>
        <v>33</v>
      </c>
      <c r="M165" s="107">
        <f>7-7+7-1-2-1-2-1</f>
        <v>0</v>
      </c>
      <c r="N165" s="107">
        <f>0+2-2+2-1-1</f>
        <v>0</v>
      </c>
      <c r="O165" s="107">
        <f>9+1-10+10-1-1-1-1-1-1-1-3</f>
        <v>0</v>
      </c>
      <c r="P165" s="107">
        <f>0</f>
        <v>0</v>
      </c>
      <c r="Q165" s="107">
        <f>6-6+6-1-1-1-1</f>
        <v>2</v>
      </c>
      <c r="R165" s="107">
        <f>8-1-7+7-1-1</f>
        <v>5</v>
      </c>
      <c r="S165" s="107">
        <f>12-12+12-1-1</f>
        <v>10</v>
      </c>
      <c r="T165" s="107">
        <f>SUM(B165:S165)</f>
        <v>109</v>
      </c>
      <c r="U165" s="98"/>
    </row>
    <row r="166" spans="1:24" ht="31">
      <c r="A166" s="264"/>
      <c r="B166" s="265"/>
      <c r="C166" s="265"/>
      <c r="D166" s="265"/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141"/>
      <c r="T166" s="266">
        <f>SUM(T161:T165)</f>
        <v>6017</v>
      </c>
      <c r="U166" s="98"/>
    </row>
    <row r="167" spans="1:24" ht="21">
      <c r="A167" s="264"/>
      <c r="B167" s="265"/>
      <c r="C167" s="265"/>
      <c r="D167" s="265"/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141"/>
      <c r="T167" s="125"/>
      <c r="U167" s="98"/>
    </row>
    <row r="168" spans="1:24" ht="31">
      <c r="A168" s="258" t="s">
        <v>112</v>
      </c>
      <c r="B168" s="258"/>
      <c r="C168" s="258"/>
      <c r="D168" s="258"/>
      <c r="E168" s="258"/>
      <c r="F168" s="258"/>
      <c r="G168" s="258"/>
      <c r="H168" s="258"/>
      <c r="I168" s="258"/>
      <c r="J168" s="258"/>
      <c r="K168" s="258"/>
      <c r="L168" s="258"/>
      <c r="M168" s="258"/>
      <c r="N168" s="258"/>
      <c r="O168" s="258"/>
      <c r="P168" s="258"/>
      <c r="Q168" s="258"/>
      <c r="R168" s="258"/>
      <c r="S168" s="258"/>
      <c r="T168" s="259"/>
      <c r="U168" s="98"/>
    </row>
    <row r="169" spans="1:24" ht="21">
      <c r="A169" s="260" t="s">
        <v>83</v>
      </c>
      <c r="B169" s="101" t="s">
        <v>3</v>
      </c>
      <c r="C169" s="183"/>
      <c r="D169" s="183"/>
      <c r="E169" s="183"/>
      <c r="F169" s="183"/>
      <c r="G169" s="183"/>
      <c r="H169" s="183"/>
      <c r="I169" s="183"/>
      <c r="J169" s="184"/>
      <c r="K169" s="101" t="s">
        <v>4</v>
      </c>
      <c r="L169" s="183"/>
      <c r="M169" s="183"/>
      <c r="N169" s="183"/>
      <c r="O169" s="183"/>
      <c r="P169" s="183"/>
      <c r="Q169" s="183"/>
      <c r="R169" s="183"/>
      <c r="S169" s="183"/>
      <c r="T169" s="184"/>
      <c r="U169" s="98"/>
    </row>
    <row r="170" spans="1:24" ht="21">
      <c r="A170" s="260" t="s">
        <v>52</v>
      </c>
      <c r="B170" s="104" t="s">
        <v>10</v>
      </c>
      <c r="C170" s="104" t="s">
        <v>53</v>
      </c>
      <c r="D170" s="104" t="s">
        <v>54</v>
      </c>
      <c r="E170" s="104" t="s">
        <v>55</v>
      </c>
      <c r="F170" s="104" t="s">
        <v>56</v>
      </c>
      <c r="G170" s="104" t="s">
        <v>15</v>
      </c>
      <c r="H170" s="104" t="s">
        <v>16</v>
      </c>
      <c r="I170" s="104" t="s">
        <v>17</v>
      </c>
      <c r="J170" s="104" t="s">
        <v>18</v>
      </c>
      <c r="K170" s="104" t="s">
        <v>10</v>
      </c>
      <c r="L170" s="104" t="s">
        <v>53</v>
      </c>
      <c r="M170" s="104" t="s">
        <v>54</v>
      </c>
      <c r="N170" s="104" t="s">
        <v>55</v>
      </c>
      <c r="O170" s="104" t="s">
        <v>56</v>
      </c>
      <c r="P170" s="104" t="s">
        <v>15</v>
      </c>
      <c r="Q170" s="104" t="s">
        <v>16</v>
      </c>
      <c r="R170" s="104" t="s">
        <v>17</v>
      </c>
      <c r="S170" s="104" t="s">
        <v>18</v>
      </c>
      <c r="T170" s="102" t="s">
        <v>57</v>
      </c>
      <c r="U170" s="98"/>
    </row>
    <row r="171" spans="1:24" ht="21">
      <c r="A171" s="262" t="s">
        <v>94</v>
      </c>
      <c r="B171" s="107">
        <f>43+56-2+3-2-98+99-1-2-1-1-3-5-1-1-5-4+1+2-5+5-1-1-1-1-1-3-1-1-8-1-1-2-1-1-1-1-1-2-4</f>
        <v>45</v>
      </c>
      <c r="C171" s="107">
        <f>30-1+35-1-2-1+23-5-2-3-1-1-1-6-64+65-12-1+2+70-1-1+60-1-3-6-1-1+2-1-2-1-5-1-1-27-134+61-9-45-1-6+3-1+28+12-6-10-13+6-4-1-1+121-10-4-4-1-1-1-3-9-2-1-5-1-4+273-2-1-1-1-1-4-1-3-2-16-27-5-1-5-2-2-1-1-1-6-5-2-3-2-4-1-6-5</f>
        <v>250</v>
      </c>
      <c r="D171" s="107">
        <f>11+141-2-3-4-3-1+16-1-1+1-2-1-2-1-2-1-5-1-3-2-6-1+1-128+128-14-1-8+2+96-3-2+64-1-6-10-4-1-1-1+2-11-1-1-3-1-2-2-5-2-1-1+1-2-203-6+97-97+8-8+222-5-10-4-10-7-5-4-1-9+139-2-5-1-3-1-4-1-1-5-4-1-3+141-1-3-1-1-9-2-1-1-9-1-2-1-1-71-5-2-1-1-2-2-20-3-1-1-1-3-2-1-18-5-5-4-7-3-2-1</f>
        <v>222</v>
      </c>
      <c r="E171" s="107">
        <f>3+208-2-3-1-1-28-1+8-1-1-2-1-2-1-1-3-1-1-6-2-1-6-1-153+149-4-11-1-2+49-1+79-1-2-5-1-1-1-1-4-7-1-5-2-1-1-186-39+101-101+2-1+12-3-1-2-2-2-3+222-10-3-12-2-7-15-1-1+280-4-1-5-1-1-1-6-2+2-2-7-1-3-3-1-11-1-3-15-2-2-13-1-1-1-65-5-1-1-1-1-2-3-5-1-3-1-1-2-3-3-3-2-1-1-1</f>
        <v>259</v>
      </c>
      <c r="F171" s="107">
        <f>0+17+47-1-1-1-5+14-1-1-1-1-1-1-5-59+57-12-1-4-2+6+70-1-2-1-1-1+4-1-104-6+61-61-1+1-1+122-5-1-17-2-5-2-1-1-3-2-1-2+131-2-1-1-1-1+6-1-11-1-1-1-13-1-3-40-3-1-1-4-5-1-3-1-3</f>
        <v>117</v>
      </c>
      <c r="G171" s="107">
        <f>10-2+38-4-4-4-1-5-28+29-5-1+39-2-1-12+31-14-1-1-2+7-1+1-1-5+20-2-1-1-2-2-1-3-3-2-1-18-1-1-2-15-1-1</f>
        <v>24</v>
      </c>
      <c r="H171" s="107">
        <f>24-1+13-36+33-2-1-1+16-1-2+1-3-2+19-2-2-1-4-1-1-1-1</f>
        <v>44</v>
      </c>
      <c r="I171" s="107">
        <f>23-1+2-24+24-2+1+1-2+2-1-1-1-3-1-1</f>
        <v>16</v>
      </c>
      <c r="J171" s="107">
        <f>48-48+48+1+1-1</f>
        <v>49</v>
      </c>
      <c r="K171" s="107">
        <f>67-14-9-1-12+10-1-1-4-5+6-36+44-6+30+19-11-2-1-11-1-6+5+2-1+1-1-3-1-1-1-3-1-1-1-1-1-5-4-1-3-1-3-3-2-1-2-2</f>
        <v>20</v>
      </c>
      <c r="L171" s="107">
        <f>80+28-4-2-2-2-8+11-1-1-1-4-4-1-4-1-1-1-1-1-1-1-15+1+1-65+65-1-18-1-2+1+155-1+42-1-4-2-1-1+1-14-1-1-1-1-1-1-17-1-1-33-3-1+80-10-4-5-10-4-19+5+1+1-5+4-2-1-8-2-1-2-1-9-3-1-1-8-1+201-2-2-3-3-1-1-1-2-18-4-1-20-13-1-1-1-4-2-1-2-10-4-4-1-15-1-7-1-2-2-6-4-2</f>
        <v>209</v>
      </c>
      <c r="M171" s="107">
        <f>106-4-1+181-2-4-1-5-7-70+153+60-1-1-2-5-3-3-2+3-5-2-6-1-2-2-15+1+1-361+201-1-23-1-2-3+75-3-3-1+16-1-1-3-6-1-1-1+3-4-1-1-5-8-3-3+1-1-1-1-160-4-13-1+383+14-1-1-10-4-3-3-1-40-8-28+5+5-1+2-3+3-1-3-1-1-5-5-7-7-1-1-15-1-7-1-1-10-1-1-7+498-1-3-1-2-1-1-2-2-3-1-3-1-3-2-1-1-1-13-1-1-6-115-13-1-1-2-3-2-2-1-2-1-1-1-115-1-1-5-1-3-4-4-4-1-4-2-1-2-39-4-16-3-1-3-2-4-2</f>
        <v>353</v>
      </c>
      <c r="N171" s="107">
        <f>18+292-1-3-3-4-4-62-1+140+41-1-1-14-1+1-2-5-4-1-6-1-1-1-3-1-2-6-10+1+1-356+183-13-1-1-2-30+57-2-1+46-1-4-1-2-1-1-2+12-2-11-1-2-1-3-5-3-3-17-1-4-1-182+1-1+3-1+386-35+1+2-8-10-9-6-1-3-2-12-14-9-1-3-1-1-12-8-1-10-1-1+500-1-1-10-7-3-3-6-1-1-1-4-1-9-1-1-4-4-9-1-1-1-3-138-19-1-1-2-1-1-1-2-1-5-45-8-2-1-7-2-4-4-2-2-33-3-1-9-3-8-1-2-6</f>
        <v>355</v>
      </c>
      <c r="O171" s="107">
        <f>0+1+30-28+100+116-12-1-1-1-1-1-1-1-1-1-3-1-1-1-10+4-186+62-6-1-2-2-1+38-1+7-1-1-1-1-3-1-1-1+3-3-2-1-2-7-3-1-68+211+29-5-2-15-8-3-2+8-1+5-1+1-1-1-1-1-1-1-3-2-1-1-2-1-4-1-1-5-2-1-1+200-4-1-2-15-3-1-1-4-61-6-1-1-1-1-1-1-2-40-3-1-4-4-6-3-4-2-4-1-2-2</f>
        <v>204</v>
      </c>
      <c r="P171" s="107">
        <f>76-1-1-2-1-2-3-10+1-57+56-9-2+1+32+18-1-2-2-3-1-1-1-7-6-1-2+12+62+1-1-1-2-1-1-1-5-3-2+100-4-1-5-2-1-25-2-2-1-3-2-2-25-1-1-3-2-1-1</f>
        <v>143</v>
      </c>
      <c r="Q171" s="107">
        <f>47-1-3-4-1-10-28+28-1-2+1+17-1+3-1-2-1-1-1-2-1-1-2+2+32+4-3-1-1-1-2-1-1+50-3-2-9-1-1-2-3-1</f>
        <v>89</v>
      </c>
      <c r="R171" s="107">
        <f>32-5-27+27-1+1+2-1-1-2-1</f>
        <v>24</v>
      </c>
      <c r="S171" s="107">
        <f>26-1-25+24+2+2-1-1-1-1</f>
        <v>24</v>
      </c>
      <c r="T171" s="107">
        <f>SUM(B171:S171)</f>
        <v>2447</v>
      </c>
      <c r="U171" s="98"/>
    </row>
    <row r="172" spans="1:24" ht="21">
      <c r="A172" s="262" t="s">
        <v>113</v>
      </c>
      <c r="B172" s="118">
        <f>1-1+9</f>
        <v>9</v>
      </c>
      <c r="C172" s="107">
        <f>47-2-1-3-2-39+36-1-1-10-1-1-1-1</f>
        <v>20</v>
      </c>
      <c r="D172" s="107">
        <f>102-1-3-4-1-93+83-1-1-1-1-1-1-1</f>
        <v>76</v>
      </c>
      <c r="E172" s="107">
        <f>82-2-1-1-4-1-1-1-1-1</f>
        <v>69</v>
      </c>
      <c r="F172" s="107">
        <f>36-1-1-1-1-1-1</f>
        <v>30</v>
      </c>
      <c r="G172" s="107">
        <f>29+15-1-1-1-1-1</f>
        <v>39</v>
      </c>
      <c r="H172" s="118">
        <f>0+6-1</f>
        <v>5</v>
      </c>
      <c r="I172" s="107">
        <f>6-6+6</f>
        <v>6</v>
      </c>
      <c r="J172" s="107">
        <f>12-6</f>
        <v>6</v>
      </c>
      <c r="K172" s="118">
        <f>1-1-1+1+10-1</f>
        <v>9</v>
      </c>
      <c r="L172" s="107">
        <f>75+1-3-5-1-67+1-1+50-1-1-1</f>
        <v>47</v>
      </c>
      <c r="M172" s="107">
        <f>172-1-10-1-160+157-2+2-2-1-60-1-1-1-1-1</f>
        <v>89</v>
      </c>
      <c r="N172" s="107">
        <f>159-8-1-150+160-1-1-1-1-1-1-1</f>
        <v>153</v>
      </c>
      <c r="O172" s="107">
        <f>117-4+116-229+112-11-5-1-1</f>
        <v>94</v>
      </c>
      <c r="P172" s="107">
        <f>38-4-1</f>
        <v>33</v>
      </c>
      <c r="Q172" s="107">
        <f>13+1-1-1</f>
        <v>12</v>
      </c>
      <c r="R172" s="107">
        <f>3</f>
        <v>3</v>
      </c>
      <c r="S172" s="107">
        <f>5-1</f>
        <v>4</v>
      </c>
      <c r="T172" s="107">
        <f>SUM(B172:S172)</f>
        <v>704</v>
      </c>
      <c r="U172" s="98"/>
    </row>
    <row r="173" spans="1:24" ht="21">
      <c r="A173" s="262" t="s">
        <v>102</v>
      </c>
      <c r="B173" s="107">
        <f>8-3-2-3-2+2+10+28-3+1-36+27-1-2-2-7+3-1-1+2-7-1-1+7-1-6-9+9-6+36+15-1-2+51-1-1-1-1-2-3-2</f>
        <v>91</v>
      </c>
      <c r="C173" s="107">
        <f>104+177-3-2-3-1-1-1-2-2-3+3-266+149-16-1-5+2-1+2-41-1-2-3-11+34-54-6-12-1-1+55+12-6-3+96-4-1-1+50-2+2-1-2-3-1-1-1-1-1-1-1-4-1-1-2+205-1-1-2+1-2-2-1-3-2-4-3</f>
        <v>394</v>
      </c>
      <c r="D173" s="107">
        <f>155-8-1-3-8-5-1-7+34-2+85-8+1-4-1+3-230+289-16-1-2+66-5+8-90-1-1+12-4-1+2-3-1-10-1-1-8+49-4-2-3-1-1-16-2-1-1-11-1+16-3-3-10-5+57-2-16-1-1-5+43-2-1-2-3-4-2-1-2-1-2-2-3-3-3-1-1-1-4-1-1-1-1-6-2+149-4-2-1-1-1-1-2-1-3-1-1+1-2-1-3-1-1-2-1-4-7-1-1-2</f>
        <v>364</v>
      </c>
      <c r="E173" s="107">
        <f>218+81-3-2-3-1-1-16-2-6-2-1-2-1-2-1-1+1-256+244-4-1-23-1+56-5-1-63-1-1+2-1-2-1-4+2-3-4-27-4-4-2-9-1-6-2-1-1-25+6-1-3-13-1+90-5-7-6-1-7-1+57-1-1-4+2-1-1-11-1-4-1-1-3-1-5-2-1-1-3-1-1-1-1-7-1-1-2-1+210-2-4-1-1-2-1-1-1-1+1-1-1-1-4-3-1-1-3-1-1-1</f>
        <v>338</v>
      </c>
      <c r="F173" s="107">
        <f>13+1-7-1-6-1-1+2+95-2-15-1+24-1+2-102+103-10+80-5+2-17-1+1-1-1-1-1-1-46-3-4-1-4-1-1-13+4-1-9-7-3+15-15-9-1-1-1-1-5+9-1-1+1-1-10-1-7-1-1-1-3+150-1-8-1-1-1-1-1-1-2+1-1-1-6-1-1-3-3-5</f>
        <v>137</v>
      </c>
      <c r="G173" s="107">
        <f>28-10-10+5-5-4+26+14+1-45+59-16+59-8-1-2-1-1-9-1-3-1-2-1-4+2-1-3-3-4-10-5-1-1-1-4-1-2-7-1-1-1-2-1+49-2-1-1-1-1-1-2-3</f>
        <v>58</v>
      </c>
      <c r="H173" s="107">
        <f>23-1-8-1-1-12+15-2+28+1-5-1-1-2-3-2-1-3-5-3-1-4-5-2-2-1-1+31-1-1-1-1-1-1</f>
        <v>25</v>
      </c>
      <c r="I173" s="107">
        <f>4-1-3+9-2-1-4+4+8+2-1-3-3-2-2-1+15</f>
        <v>19</v>
      </c>
      <c r="J173" s="107">
        <f>6+5-11+11-1-1-2-2-2-2+15-2-3</f>
        <v>11</v>
      </c>
      <c r="K173" s="107">
        <f>15-12-1+7-9+11-7-4+29-1-1-3-1-2-8-1-1+3-10-2+2+23+23-1+6-1-2-2-1-1-1-1-3-1-1-2-1-2</f>
        <v>36</v>
      </c>
      <c r="L173" s="107">
        <f>97+66-2-4-2-1-2-7-2-1-5-1-1-5-5+39+1-165+97-17-2+116-10-1-1-1-1-7-2-2-8-1-1-2-34-1-1-1-1-1-1-10-2-1-1+6-5+34-12-10+10-1-1-1-1+149-10-8-1-1-2+8-4-1-5-1-1-1-1-5-2-2-3-1-1-2-15-1+200-2-1-1-3-5-1-2-1-2+1-6-3-1-1-2-1-2-6</f>
        <v>372</v>
      </c>
      <c r="M173" s="118">
        <f>0-13+13+52-2-15-13-1-1-2-16-1+326+1+1+2-331+204-10-2-1+204+6-10+13-45-3-1-1-1-1-1-1+2-1-6-16+1-1-9-1-1-2-1-2-4-6-1-4-1-1-1-1-6-1+1-18-4-1-1-1+67-23-16-6-1+6-1+115-1-3-6-5-2+148-50-1-5-1-6-1-1-7-1+22-7-1-2-4-1-2-5-4-2-2-1-1-1-6-1-1-2-1-1-8-1-2-2-1-2-5-11-1-1-4-20-1-3-1+259-1-1-1-1-1-1-1-4-1-1-5-1-1-5-2-1-2-1-5-1+1-1-5-3-3-1-5-6-1-1-4-1-3-1-3-3</f>
        <v>558</v>
      </c>
      <c r="N173" s="118">
        <f>68-12-1-3-1-12-2-2-2-1-1-18-1-5-13+6-4+4-1+1+7-6-1+287-35-252+218-13-2+274+21-10+6-1-42-1-1-1-1+2-2-2-1-2-2-1+1-1-2-11-2-2-6-1-1-8-1-1-2-3-1-4-2-16-1-18-2-1+30-1-19-6-16+16+59-1-3-1-3-7-5+105-14-2-1-1-1-3+19-8-1-1-2-1-5-5-7-1-1-1-4-1-1-2-6-4-2-3-1-4-1-1-1-1-1-1-5-20-3-3+302-4-1-1-1-1-1-1-1-2-1-1-1-3-1-5-2-1-1-1-1-1-5+1-1-3-1-3-1-2-1-6-5-4-1-3-8-1-2-1-3</f>
        <v>621</v>
      </c>
      <c r="O173" s="107">
        <f>110+20-20-1-2-20-1-10-1-2-1-1-1-1-2-5-2-1-1-2-1-1+2-56+81-6+111-1-10+1-1-27-1-1+9-1-1-2-1-2-1-4-1-1-1-4-4-10-3-1-1-7-4-4+73-5-6+133-1-2-1-1-2+9-2-4-1-2-3-5-2-4-1-1-2-1-4-1-1-5-1-1-1-2-1-1-7-1-1-20+99-1-3-1-1-1-1-1-1+1-2-2-2-2-1-1-6-4-1-1-2-4-2</f>
        <v>284</v>
      </c>
      <c r="P173" s="107">
        <f>28-1-1-6-1-1+40-58+58-2+25+1-6-1+4-1-5-1-1-2-1-2-1-5-2+33-1+58-2-2-1-1+5-2-4-5-1-2-4-1-2-2-3-1+49-1-1-1-2-1-4-2-2-2-1-2</f>
        <v>150</v>
      </c>
      <c r="Q173" s="107">
        <f>77-3-1-1-7-2-63+58-5-1+1+1-1-1-1-1-2-1-3-2-1-1-1+9-2-3-2-4+18+4-1-1-1-3-3-2-2-1-2+50-2-1-1-1-1-1-3-1-2-4</f>
        <v>76</v>
      </c>
      <c r="R173" s="107">
        <f>19-2-2-15+15-1-2+1-12-1+12+2-4-3-2-2</f>
        <v>3</v>
      </c>
      <c r="S173" s="107">
        <f>27-2-25+30-1-2-1-3-3-2-2-1-1</f>
        <v>14</v>
      </c>
      <c r="T173" s="107">
        <f>SUM(B173:S173)</f>
        <v>3551</v>
      </c>
      <c r="U173" s="98"/>
      <c r="X173" t="s">
        <v>1</v>
      </c>
    </row>
    <row r="174" spans="1:24" ht="21">
      <c r="A174" s="262" t="s">
        <v>46</v>
      </c>
      <c r="B174" s="107">
        <f>38-3-1-2-1+2+2-3-2-1-7-1-1-1-1-1-1+1-2-1-1-1-1-1-1-1-1-1-1-2+30</f>
        <v>33</v>
      </c>
      <c r="C174" s="107">
        <f>100-7-1-2+2-92+81+4-1+2-2-1-1-7-6-1-1-3-2-1+1-2-1+20-1-2-2-2-1-1-1-3-1-1-1-2-1-1-30-2-2-4-1-1-2-1-3-1-11-1+60</f>
        <v>60</v>
      </c>
      <c r="D174" s="107">
        <f>152-3-3-1-1-7-1-1-2-1-2+1+1+2-1-1+8-1+1+1-2-1-1-1-1-11-2-1-14-5-1-1-8-1-1-3-2-1-6-1+1-2-2-1-1-1+20-3-3-1-2-1-1-1-5-3-9-1-1-1-2-1-1-1-1-3-1-1-1-1-1-1-1-1-1-4-4-1-1-2-4+61</f>
        <v>86</v>
      </c>
      <c r="E174" s="107">
        <f>102-1-1-12-2-6-1-1-2-2-1-2+1-72+77+6-1+4-1-4-7-2-1-9-1-4-1-2-6+1-4-2-1+40-1-1-1-1-1-5-1-1-1-1-1-1-3-15-8-1-5-2-1-1-5-1-1-8-1-1-1-5-2-1-1-1-2+61</f>
        <v>61</v>
      </c>
      <c r="F174" s="107">
        <f>63-3-1-1-5-1-1-1+1-1+1-1+1-1-1-1-1-1-2-1-2-1-3-4+1-2-5-1-1-5-1-1-1-1-1-1-1-13+1-1+1-1+30</f>
        <v>30</v>
      </c>
      <c r="G174" s="107">
        <f>29-5-1-1-1+1-1-1-1-2+1-1-1-1-1+1-3-1-1-1-1-1-7+10</f>
        <v>10</v>
      </c>
      <c r="H174" s="107">
        <f>26-1-1-1+1+1+1-1-1-1+1-1-3-1-1-5-1-3-1-1-1-1-5+10</f>
        <v>10</v>
      </c>
      <c r="I174" s="107">
        <f>34-1-1-1-1-1-1-1-1-20-1-3+1-1+10</f>
        <v>12</v>
      </c>
      <c r="J174" s="107">
        <f>35-1+1-5-1-20-2-1-1+10</f>
        <v>15</v>
      </c>
      <c r="K174" s="107">
        <f>67-5-1-61+56-1-1-1-11-1-1-2-1-1-1-1-1-1+1-3-5-2-1-1-1-1-1-1-1-1-1-2+30</f>
        <v>42</v>
      </c>
      <c r="L174" s="107">
        <f>85-1-4-1-1-5-1-1-4-10-2-1-6+3-2-4-1-1-14-1-6-10-2-1-1-1-5-2+1-1+100-3-5-4-1-5-10-2-1-1-3-1-1-3-1-1-3-1-2-1-1-1-7-3-1-1-3-6-7-1-1-4-1-1-1-1-2-6+50</f>
        <v>53</v>
      </c>
      <c r="M174" s="107">
        <f>187-1-1-15-3-1-5-1-3-16-1-1-4-1-2-3-5-1-20-2+3+1-27-1-1+9-1-5-1-1-1-1-6-1-4-3-1-19-10-4-3-2-1-2-9-10+1-1+200-4-2-5-4+1-1-10-1-2-1-7-15-3-1-1-1-1-1-1-10-1-2-8-1-2-1-4-1-4-1-1-6-3-1-1-2-3-1-2-2-1-5-5-1-1-2-1-5-2-1-2-1-3-3-2-4-3-2-1-1-1-1-3-1-3+50</f>
        <v>78</v>
      </c>
      <c r="N174" s="107">
        <f>187-1-2-11-1-1-4-2-2-17-1-4-1-3-1-1-1-1-2+2-1+6-2+11-1-1-2-1-1-3-2-11-3-1-20-10-7-1-7-1-1-20-4-2-1-2-1-1-2+1-1-1-1-39+120-5-5-5-1-1-1-1-3-1-8-15-5-2-2-1-1-5-1-4-1-3-1-3-1-1-1-1-1-9-1-1-1-1-2-1-8-3-1-4-6-1-1+100</f>
        <v>100</v>
      </c>
      <c r="O174" s="107">
        <f>94-2-1-4-1-1-1-2+2-2-1-1-1-1+1+1-2-1-1-2-1-9-3-1-1-1-4-1-1-1-1+1-1-1-8-1-2-4-1-1-1-4+60-5-2-1-1-4-1-5-3-2-1-5-1-1-1-1-2-15-1-1-1-1-4-1-1-1-1-1-1-1-4-2-1-1-10-3+5-3-1-1+50</f>
        <v>50</v>
      </c>
      <c r="P174" s="107">
        <f>55-2-2-1-1-2+1-1+1-1-1-4-1-1-2-6-2-1+1-1-1-1-1+15-1-5-1-1-1-1-5-1-1-2-1-4-1-1-1-1-2-2-1-1-1-1+30</f>
        <v>35</v>
      </c>
      <c r="Q174" s="107">
        <f>23-1-1-21+26+1+1-1-6-1-1-5-1-3-1-1-1+1+15-1-1-1-1-1-2-1-2-1-1-1</f>
        <v>10</v>
      </c>
      <c r="R174" s="107">
        <f>15-2-1-1+1-1</f>
        <v>11</v>
      </c>
      <c r="S174" s="107">
        <f>17-2-1-1-2-1-1-1</f>
        <v>8</v>
      </c>
      <c r="T174" s="107">
        <f>SUM(B174:S174)</f>
        <v>704</v>
      </c>
      <c r="U174" s="98"/>
    </row>
    <row r="175" spans="1:24" ht="31">
      <c r="A175" s="264"/>
      <c r="B175" s="265"/>
      <c r="C175" s="265"/>
      <c r="D175" s="265"/>
      <c r="E175" s="265"/>
      <c r="F175" s="265"/>
      <c r="G175" s="265"/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141"/>
      <c r="T175" s="266">
        <f>SUM(T171:T174)</f>
        <v>7406</v>
      </c>
      <c r="U175" s="98"/>
    </row>
    <row r="176" spans="1:24" ht="21">
      <c r="A176" s="264"/>
      <c r="B176" s="265"/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141"/>
      <c r="T176" s="247"/>
      <c r="U176" s="98"/>
    </row>
    <row r="177" spans="1:22" ht="21">
      <c r="A177" s="264"/>
      <c r="B177" s="265"/>
      <c r="C177" s="265"/>
      <c r="D177" s="265"/>
      <c r="E177" s="265"/>
      <c r="F177" s="265"/>
      <c r="G177" s="265"/>
      <c r="H177" s="265"/>
      <c r="I177" s="265"/>
      <c r="J177" s="265"/>
      <c r="K177" s="265"/>
      <c r="L177" s="265"/>
      <c r="M177" s="265"/>
      <c r="N177" s="265"/>
      <c r="O177" s="265"/>
      <c r="P177" s="265"/>
      <c r="Q177" s="265"/>
      <c r="R177" s="265"/>
      <c r="S177" s="141"/>
      <c r="T177" s="247"/>
      <c r="U177" s="98"/>
    </row>
    <row r="178" spans="1:22" ht="31">
      <c r="A178" s="258" t="s">
        <v>114</v>
      </c>
      <c r="B178" s="258"/>
      <c r="C178" s="258"/>
      <c r="D178" s="258"/>
      <c r="E178" s="258"/>
      <c r="F178" s="258"/>
      <c r="G178" s="258"/>
      <c r="H178" s="258"/>
      <c r="I178" s="258"/>
      <c r="J178" s="258"/>
      <c r="K178" s="258"/>
      <c r="L178" s="258"/>
      <c r="M178" s="258"/>
      <c r="N178" s="258"/>
      <c r="O178" s="258"/>
      <c r="P178" s="258"/>
      <c r="Q178" s="258"/>
      <c r="R178" s="258"/>
      <c r="S178" s="258"/>
      <c r="T178" s="259"/>
      <c r="U178" s="98"/>
    </row>
    <row r="179" spans="1:22" ht="21">
      <c r="A179" s="260" t="s">
        <v>83</v>
      </c>
      <c r="B179" s="101" t="s">
        <v>3</v>
      </c>
      <c r="C179" s="183"/>
      <c r="D179" s="183"/>
      <c r="E179" s="183"/>
      <c r="F179" s="183"/>
      <c r="G179" s="183"/>
      <c r="H179" s="183"/>
      <c r="I179" s="183"/>
      <c r="J179" s="184"/>
      <c r="K179" s="101" t="s">
        <v>4</v>
      </c>
      <c r="L179" s="183"/>
      <c r="M179" s="183"/>
      <c r="N179" s="183"/>
      <c r="O179" s="183"/>
      <c r="P179" s="183"/>
      <c r="Q179" s="183"/>
      <c r="R179" s="183"/>
      <c r="S179" s="183"/>
      <c r="T179" s="184"/>
      <c r="U179" s="98"/>
    </row>
    <row r="180" spans="1:22" ht="21">
      <c r="A180" s="260" t="s">
        <v>52</v>
      </c>
      <c r="B180" s="104" t="s">
        <v>10</v>
      </c>
      <c r="C180" s="104" t="s">
        <v>53</v>
      </c>
      <c r="D180" s="104" t="s">
        <v>54</v>
      </c>
      <c r="E180" s="104" t="s">
        <v>55</v>
      </c>
      <c r="F180" s="104" t="s">
        <v>56</v>
      </c>
      <c r="G180" s="104" t="s">
        <v>15</v>
      </c>
      <c r="H180" s="104" t="s">
        <v>16</v>
      </c>
      <c r="I180" s="104" t="s">
        <v>17</v>
      </c>
      <c r="J180" s="104" t="s">
        <v>18</v>
      </c>
      <c r="K180" s="104" t="s">
        <v>10</v>
      </c>
      <c r="L180" s="104" t="s">
        <v>53</v>
      </c>
      <c r="M180" s="104" t="s">
        <v>54</v>
      </c>
      <c r="N180" s="104" t="s">
        <v>55</v>
      </c>
      <c r="O180" s="104" t="s">
        <v>56</v>
      </c>
      <c r="P180" s="104" t="s">
        <v>15</v>
      </c>
      <c r="Q180" s="104" t="s">
        <v>16</v>
      </c>
      <c r="R180" s="104" t="s">
        <v>17</v>
      </c>
      <c r="S180" s="104" t="s">
        <v>18</v>
      </c>
      <c r="T180" s="102" t="s">
        <v>57</v>
      </c>
      <c r="U180" s="98"/>
    </row>
    <row r="181" spans="1:22" ht="21">
      <c r="A181" s="267" t="s">
        <v>94</v>
      </c>
      <c r="B181" s="107">
        <f>30+38-3-1+1-65+62-1+26-1-1-36-49+19-11-1-1-1-1+30-1-4-1-4-1-2-1-2-2+2-1-1-1-4+50+60-65-2-1</f>
        <v>53</v>
      </c>
      <c r="C181" s="107">
        <f>101-4-1-1-1+1-2-3-1-1-2+1+1-88+74-1-1-1-7-1+100+2+1-1-1-1-1-1-6-2-2-6+2-10-1-10-2-1-2-10-32-10-35-34+120-12-3-1-2-1-1-1-1-1-8-1-1-2-1-3-1-1+60-4-1-3-1-1-1-3-1-2-1-2-25+25-5-1-1-1-1-1-60+100-17-10-1-5</f>
        <v>116</v>
      </c>
      <c r="D181" s="107">
        <f>89-4-5-6-2-3-1-2-6-6-2-2-6-4-1-1+1-1+2-40+39-4-2-14-3-1+102-1-6-1-1-16-1-1-40-40-3-2-2-1-2+3-2-1+110-15-2-26-24-6-11-1+2-3-3+1+11-1-1-1-2+25-5-1-1-1-1-1-40-1-2+119-28-2-1-1-1-1-8-1-3+99-1-1-1-2-1-3-6-2-13-3+2-3-1-1-2-1-16-2-1-1-1-2-40+40-1-1-7-1-1-4-1-2-2-3-3-84+68+119-43-10-1-1-1-1-1-1-1</f>
        <v>127</v>
      </c>
      <c r="E181" s="107">
        <f>56-4-4-6-5-2-1-1-1-3-1-1-1-1-1+1-25+37-5-2-13-1-1+87-1-2-1-1-1-6-2-40-40-3-1+1+15-4-10-2-2-2+121-10-32-32-4-8-35+19-4-1-1+10-5-1-1-1-1-1-10-1-2+140-44-2-36-1-1-1-3-1-2+101-1-1-1-1+20-1-1-3-3-12-1-3-1-1-1-1-2-19-1-1-1-2-1-10+10-2-1-3-1-3-1-3-2-1-11-83+66+118-6-2-5-1-3-2-1</f>
        <v>164</v>
      </c>
      <c r="F181" s="107">
        <f>61-1-2-3-9-1-1-1-1-1-10+1-32+44-2+51-1-1-1-2-1-20-20+4-3-10-20-4-1+20-22-11+20-1-1-1-1-4-12+50-4-2-9-1-2-1-1-2-1-1-1-1+60-3-18-2-2-2-18-2-1-1-2-2-1-2-1-27+50+60-64-1-45</f>
        <v>0</v>
      </c>
      <c r="G181" s="107">
        <f>17-1+1-17+16-1-1+21-1+2+5+23-28-24-1-1+2-1-1-1-1+29-19-1-1-2-1-1-1-1+30-2-3-2-2-31+15+14-29+15-15</f>
        <v>0</v>
      </c>
      <c r="H181" s="107">
        <f>13-1-10-2+21-3+3-2+3-1-1-2-16+30-12-1-1-1-1-1-2-1-3-5+1-1-4+15+14-29</f>
        <v>0</v>
      </c>
      <c r="I181" s="107">
        <f>16-16+15-2+6-5-14+20-9-4-1-1-1-1-1-2+15+10-19-1</f>
        <v>5</v>
      </c>
      <c r="J181" s="107">
        <f>10-10+10+5+1-1-15+50-27-5-8-1-1-1-2-2-1+15+10-21</f>
        <v>6</v>
      </c>
      <c r="K181" s="107">
        <f>50-2+3-51+40+17+2-20-20-10-1-1-1-2-1+20-1-3-10-9+35-2-2-1-2-1-2-2-2+1+99-1-42-5-1</f>
        <v>72</v>
      </c>
      <c r="L181" s="107">
        <f>38+70-6-1-11-1-2-1-1-8-5-1-3+2-70+20+70-1-4-1-1-4-1+63-1-2-1-2+24-10-10-1-1-2-2-10-1-1-36-34-2-22-2-1+102+1-5-1-2-1-1-10-5-4-1-1-5-1-1-1-3-10-2-51-1-1-2-3-1-1-1-1-10-1+100-10-2-3-12-1-2-25+1+14-60+99-5-2-1-35-4-3-2-1-5+82+1-30-1-1-1</f>
        <v>91</v>
      </c>
      <c r="M181" s="107">
        <f>98+70-1-17-6-9-4-23-1-1-2-1-1-4-4-1-16-1-2-1-1-3-1-1+2-69+21+70-8-1-2-7-1-4-1+95-2-1-8-6-1-80-80+81+12-3-6-1-6-4-2+79-15-15-2-3-16-1-10-2-5-2-1-2-4-1-1-2-1-1-2-1-1-5-4-3-1-33+6-6+1+3+1-1-4+199+4-4-6-15-1-4+17-1-5-1-1-10-1-1-1-3-1-10-3-1+1-20-1-4-2+40-2-1-1-1-9-1-20-2-1-1-26-1-2-1-1-1-1-1-1-1-3-1-1-2-1-1-2-1-5-2-1-2-2-1-4-3-2+180-1-1-2-30-1-2-4-23-1-2-1-2-2-1-2-1-40-1+1+7-127+197-5-4-3-1-5-97-27-4-1-3-1-8-2-1+132+2-3-2-10-1-1-2-1-1-1-1-1-1-1-1-1</f>
        <v>141</v>
      </c>
      <c r="N181" s="107">
        <f>52+70-2-4-6-4+2-17-6-2-1+1-23-2-2-1-1-3-1+2-52+69-8-1-2-31-1-1-3+1-2-2-10+116-1-8-1-2-1-60-60+9+4-1-2-1-2-1-4-1-1-1-3+55-15-15+1-1-2-11+2-1-1+4+98-3-4-20-1+75-5-1-1-2-1-1-16-3-1-1-40-1-24-4+80-1-2-3-2-1-1-1-4-1-1-1-10-21-1-4-1-4-1-1-2-3-1-1-1-1-1-4-1-1-3-2-4+1-3-1+90-1-10-1-1-2-21-1-1+90+1-2-10-1-134-3-1-1-1-1-2+97-3-2-2-1-1-62-1-3-1-6-2+230+1-2-2-1-2-2-2-4-1-1-1</f>
        <v>252</v>
      </c>
      <c r="O181" s="107">
        <f>45+18+60-2-4-4-18-1-12-12-1-1-1+1-2-3-2+2-63+21+60-8-1-13-1-3-1-3-3-1-1-20-20+6-1-2-1+78-2-1-7-1-3-1-14-16-2-2-1+1-1-6+1-1-10+5-1-2-1-3+92-5-1-1-1-19-3-1-1-1-4-20-2-8-2-2-1-1-2-11-1-1-1-2-1-5-1+50-3-12-1+3-5+50-1-2-2-8-1-1-2-1-2+1-75+96-2-2-41-1-1-5-1-1+79+2-1-1-4-8-2-2</f>
        <v>105</v>
      </c>
      <c r="P181" s="107">
        <f>0+50-4-1-3+1-1-1-2+1-40+40-1-1-1+4-4+39-1-1-3-1-1-14-12+4+27-1-5-5-1-12-1-1-1-1-1-3-2-1-2-1-2-5-5-1-2-1+35-2+2-12-1-27-1+83-2-2</f>
        <v>93</v>
      </c>
      <c r="Q181" s="107">
        <f>45-1-3-1-2-38+36-1-6+1-1-2-6-1-1-1-2-2-1-1-1-2-1-1-2-5+12-12+39+2</f>
        <v>41</v>
      </c>
      <c r="R181" s="107">
        <f>24-2-22+21+1-4-4-1-5-1-1-1-2+7-10+21+8-1</f>
        <v>28</v>
      </c>
      <c r="S181" s="107">
        <f>13-13+13-1-6+5-1-3-1-1-1-2-2+21+16</f>
        <v>37</v>
      </c>
      <c r="T181" s="107">
        <f>SUM(B181:S181)</f>
        <v>1331</v>
      </c>
      <c r="U181" s="98"/>
    </row>
    <row r="182" spans="1:22" ht="21">
      <c r="A182" s="268" t="s">
        <v>19</v>
      </c>
      <c r="B182" s="107">
        <v>0</v>
      </c>
      <c r="C182" s="107">
        <f>2-2-3+3+2-2+13-1-4-2-1-1-1-2-1+81-2-10-6-4-1-1-4-1-1-1-2-3-1-4-4-3-1-1-1-2-2-1-1+20+1+1-1-1-14-1-3-3-1-2-10-2-1+120-1-2-2-2-3-1-1-50-2-1+50-2-3-78-16-1-1</f>
        <v>11</v>
      </c>
      <c r="D182" s="107">
        <f>0-3-3+6-3+3+3-3+9-4-1-1-2-1+178-1-14-16-2-1-1-1-1-6-1-3-3-4-1-2-3+1-2-4-6-1-2-3-1-2-1-3-4-2-1-2-3-1-2+1+1-2-1-3-2-8-1-1-2-2-1-2-1-44-2-1-1+120-5-1-2-2-1-2-1-1-3-2-4-3-100+100-2-3-1-94</f>
        <v>0</v>
      </c>
      <c r="E182" s="107">
        <f>88-1-2-1-2-3-1-2-1-1-3-1-2+4-1-1-15-1-1-2+2-53+38-20-1-6-5-1-4+81-3-2-1-1-1-1-1-1-1-3-1-3+1-6-3-1-1-1-2-1-1-1-1-1-2-2-2-1-3-2-1+49+1+1-1-3-1-1-2-1-1-8-1-1-3-6-53-1+119-2-6-1-1-2-2-1-1-1-1-1-1-2-1-1-1-94+94-8-86</f>
        <v>0</v>
      </c>
      <c r="F182" s="107">
        <f>45-1-3-1-2-15-2-21+10-6-4+46-1-1-1-2-2-2-1-6-6-2-1-1-1-1-1-1+1+1-1-1-1-1-6-2-1+1-1-1-3-1+100+1-6-2-2-2-1-1-1-86+86-86</f>
        <v>0</v>
      </c>
      <c r="G182" s="107">
        <f>42-1-4-6-31+34-2-2-1-1-2+2-7-1-2-1-1+1-1-1-1-1-1+50-2-2-8-50+50-50</f>
        <v>0</v>
      </c>
      <c r="H182" s="107">
        <f>4-1-3+3-1-1+20-1-1-1-1-1-1-15+36-36</f>
        <v>0</v>
      </c>
      <c r="I182" s="107">
        <f>40-2-1-37+37-2-3-1-1-1-1-22+22-22</f>
        <v>6</v>
      </c>
      <c r="J182" s="107">
        <f>19-1-1-17+17-1-1-15+15-2-13</f>
        <v>0</v>
      </c>
      <c r="K182" s="107">
        <f>38-1-1-1-35+31+4-2-1-2+30-1-3-1-1-1-1-1-1-2-2-1-1-38+38-38-1</f>
        <v>5</v>
      </c>
      <c r="L182" s="107">
        <f>69-1-1-2-2-1+12-10-1-2-1+2-62+49-3-1-1+1+1-1-1-1-1-1-3-1-1+1-1-2-2-1-1-1-7+1-7-2-1-1-1-4-1-1-1-1-1-2+60-2-2-3-1+1-2-2-1-1-2-2-1-3-2-1-3-1-1-2-1-3-1-2-8-1-5-1-1-1-1-1-1-1+160-5-1-1-2-1-2-8-1-6-1-2-2-1-36-2-2+36-64-6-1-1-1-1-2</f>
        <v>48</v>
      </c>
      <c r="M182" s="107">
        <f>60-15-4-4+2-14-1-1-2-1-1-1+22+1+6+1-48+46-2-20-4-15-1-4+4-3+150-5-4-6-3-2-1-1+10-1-2-2-1-1-6-1-2-2-1-2-3-12-2-1-4+2-2-6-3-2-1-7-5-2-4-1-1-1-1-1-4-1-1-1-1-3-2-4-1-1-1-2-2-8-1-1-5-6-1-1-4-1-2+80+1-1-1-1-2-1-12-1-1-1-2-2-1-1-3-1-1-15-4-14-1-4-2-1-1-2-1-1+319-1-1-5-1-2-1-2-2-2-1-1-22-1-1-6-4-4-2-2-1-5-45-1-2-1-3+45-4-1-3-1-92-1-1-20-1-1-5-1-1-3-3-1-3</f>
        <v>113</v>
      </c>
      <c r="N182" s="107">
        <f>82-6-1-4-10-1-3-1-4-2-6-1-1+60-3-1-6-1-15-2-2-1+10-81+62-20-5-26-8-1-2+70-7-3-19-3-2-1-1-1+9-5-1-2-1-4-1-2-1-2-3-1-15-1+2-4-1+180-1-2-2+1-3-1-1-3-3-1-1-1-2-5-2-1-1-1-2-4-2-2-1-1-1-1-3-1-1-5-2-2-1-1-1-1-1+260-3-5-1-1-2-4-18-1-1-1-6-1-2-3-2-2-2-1-2-1-1-64-3-4-1+64-2-3-1-1-64-1-2-1-7-1-5-2</f>
        <v>219</v>
      </c>
      <c r="O182" s="107">
        <f>84-3-5-11-2-2-1-2-1-1-1-8-1-2-1+11-54+32-17-2-3-1-1-1-1-3-1+30-3-4-1-1-1+5-6-6-1-2-2-2-1-2-1-3-1+60-1-1-4-3+1-2-3-2-2-1-3-1-1-1-1-2-1-2-1-6-1-3-2-3-2-1-1+160-2-1-2-1-10-2-6-2-1-2-2-45+45-4-46-1-2-1-5</f>
        <v>80</v>
      </c>
      <c r="P182" s="107">
        <f>24-3-1-3-2-1-14+3-3+3-3+30-1-1-1-1+4-2-9-2-6-1-3-7+10-1-5-1-3+9+100-1-2-2-2-3-2-30-3-1+30-2-30-1-1-1</f>
        <v>58</v>
      </c>
      <c r="Q182" s="107">
        <f>15-1-2-2-10+14-3-5-1-1-2-1+10+5-1-1-1-2-1-1-1-1-1-1-1+10-1-1-2-10+20-1-1-1-5-12+12-12</f>
        <v>0</v>
      </c>
      <c r="R182" s="107">
        <f>74-1-2-2-69+7-2-3+10-1-2-4-1-4+10-2-1+20-11+11-16-1</f>
        <v>10</v>
      </c>
      <c r="S182" s="107">
        <f>4-1-1-2+4-2-2+2+5-7+19-10</f>
        <v>9</v>
      </c>
      <c r="T182" s="107">
        <f>SUM(B182:S182)</f>
        <v>559</v>
      </c>
      <c r="U182" s="98"/>
    </row>
    <row r="183" spans="1:22" ht="21">
      <c r="A183" s="269" t="s">
        <v>115</v>
      </c>
      <c r="B183" s="107">
        <f>11-1-10+10-1-1-1+10</f>
        <v>17</v>
      </c>
      <c r="C183" s="107">
        <f>18-1-2-15+15-1-2-1-1-5-1-2-1-1+31-1-1-1</f>
        <v>28</v>
      </c>
      <c r="D183" s="107">
        <f>24-2-1-1-1-19+19-1-1-2-2-1-2-1-1-1-1-2-1+50-1</f>
        <v>52</v>
      </c>
      <c r="E183" s="107">
        <f>41-1-1-1-1-37+37+1-3-2-1-1-1-1-2-1+51-1</f>
        <v>76</v>
      </c>
      <c r="F183" s="107">
        <f>18-1-1-16+15-1-1-1-1+31-1-1</f>
        <v>40</v>
      </c>
      <c r="G183" s="118">
        <f>10-1</f>
        <v>9</v>
      </c>
      <c r="H183" s="118">
        <f>-1+10-1</f>
        <v>8</v>
      </c>
      <c r="I183" s="118">
        <f>10-1</f>
        <v>9</v>
      </c>
      <c r="J183" s="107">
        <f>4-4+4+10</f>
        <v>14</v>
      </c>
      <c r="K183" s="118">
        <f>-1+40-1</f>
        <v>38</v>
      </c>
      <c r="L183" s="118">
        <f>0-1+40-1-1</f>
        <v>37</v>
      </c>
      <c r="M183" s="107">
        <f>11-4-1-1-1-1-3+4-1-3-1+80-1-1</f>
        <v>77</v>
      </c>
      <c r="N183" s="107">
        <f>11-4-1-1-1-4+4-1-3-2+80-1</f>
        <v>77</v>
      </c>
      <c r="O183" s="118">
        <f>0+2-1-1-2+40</f>
        <v>38</v>
      </c>
      <c r="P183" s="118">
        <f>15</f>
        <v>15</v>
      </c>
      <c r="Q183" s="118">
        <f>15-1</f>
        <v>14</v>
      </c>
      <c r="R183" s="118">
        <f>5-5+5-1</f>
        <v>4</v>
      </c>
      <c r="S183" s="118">
        <f>5</f>
        <v>5</v>
      </c>
      <c r="T183" s="107">
        <f>SUM(B183:S183)</f>
        <v>558</v>
      </c>
      <c r="U183" s="98"/>
    </row>
    <row r="184" spans="1:22" ht="21">
      <c r="A184" s="268" t="s">
        <v>40</v>
      </c>
      <c r="B184" s="102">
        <f>30-1-1</f>
        <v>28</v>
      </c>
      <c r="C184" s="102">
        <f>31-1-1-1-1-1-2+1-25+25-1-1-1-1+60-21-1-1-1-1-1-1-1-1</f>
        <v>52</v>
      </c>
      <c r="D184" s="102">
        <f>0+2-2+2-1-1+2-1+119-1-1+1-1-1-1-11-2-9-9-1-1-1-1-1-1-1-4-1-1-1-1-1-1</f>
        <v>68</v>
      </c>
      <c r="E184" s="102">
        <f>30-2-2-4-1-3+1-1-2-1-1-2-1-11+13+18-2+93-26-3+1-1-1-1-1-29-4-6-1-1-1-1-1-7-1-1-1-1-1</f>
        <v>34</v>
      </c>
      <c r="F184" s="102">
        <f>59-1-2-1-1-14-1-1-1-1-6-2-1-3-1</f>
        <v>23</v>
      </c>
      <c r="G184" s="102">
        <f>30-2-1-1-10-1-1-1-2</f>
        <v>11</v>
      </c>
      <c r="H184" s="107">
        <f>15-1-1-1</f>
        <v>12</v>
      </c>
      <c r="I184" s="107">
        <f>1-1+1+14-1-1</f>
        <v>13</v>
      </c>
      <c r="J184" s="107">
        <f>14-1</f>
        <v>13</v>
      </c>
      <c r="K184" s="102">
        <f>14-1-13+13-13</f>
        <v>0</v>
      </c>
      <c r="L184" s="102">
        <f>3-1+1-3+3-1+1-1+1+58-3-1-1-1-1-1-1</f>
        <v>52</v>
      </c>
      <c r="M184" s="102">
        <f>60-2-2-1-1-9+2-47+47-2+81-44-1-1-6-1-1-1-1-1</f>
        <v>69</v>
      </c>
      <c r="N184" s="102">
        <f>55-3-1-1-3-47+47-1+78-47+1-1-1-1-7-1-1-1-1-1</f>
        <v>63</v>
      </c>
      <c r="O184" s="102">
        <f>55-1-4-1-49+49+16-49-1-2-2-1-1-2-2-1</f>
        <v>4</v>
      </c>
      <c r="P184" s="102">
        <f>34-1-33+33-33</f>
        <v>0</v>
      </c>
      <c r="Q184" s="102">
        <f>18-18+18-18</f>
        <v>0</v>
      </c>
      <c r="R184" s="102">
        <f>10-2</f>
        <v>8</v>
      </c>
      <c r="S184" s="102">
        <f>10</f>
        <v>10</v>
      </c>
      <c r="T184" s="130">
        <f>SUM(B184:S184)</f>
        <v>460</v>
      </c>
      <c r="U184" s="98"/>
    </row>
    <row r="185" spans="1:22" ht="21">
      <c r="A185" s="268" t="s">
        <v>116</v>
      </c>
      <c r="B185" s="102"/>
      <c r="C185" s="102">
        <v>21</v>
      </c>
      <c r="D185" s="102"/>
      <c r="E185" s="102">
        <v>13</v>
      </c>
      <c r="F185" s="102"/>
      <c r="G185" s="102"/>
      <c r="H185" s="107"/>
      <c r="I185" s="107"/>
      <c r="J185" s="107"/>
      <c r="K185" s="102">
        <f>13-2</f>
        <v>11</v>
      </c>
      <c r="L185" s="270"/>
      <c r="M185" s="102">
        <f>44-2-1</f>
        <v>41</v>
      </c>
      <c r="N185" s="102">
        <f>47-3</f>
        <v>44</v>
      </c>
      <c r="O185" s="102">
        <f>49-1</f>
        <v>48</v>
      </c>
      <c r="P185" s="102">
        <f>33-1</f>
        <v>32</v>
      </c>
      <c r="Q185" s="102">
        <f>18-1-1</f>
        <v>16</v>
      </c>
      <c r="R185" s="102"/>
      <c r="S185" s="102"/>
      <c r="T185" s="98">
        <f>228</f>
        <v>228</v>
      </c>
      <c r="U185" s="98"/>
    </row>
    <row r="186" spans="1:22" ht="21">
      <c r="A186" s="268" t="s">
        <v>32</v>
      </c>
      <c r="B186" s="107">
        <f>13-1-1-11+12-1-1-1-1-1</f>
        <v>7</v>
      </c>
      <c r="C186" s="107">
        <f>34-8-1-2-2-21+22-1-1-1-1-1-2-1-1-1-1</f>
        <v>11</v>
      </c>
      <c r="D186" s="107">
        <f>32-1-1-5-2-1-22+22+1+12-2-1-1-1-2-1-1-1-1-1-1-1</f>
        <v>21</v>
      </c>
      <c r="E186" s="107">
        <f>73-1-14-2-1-55+45+2-1-1+1-1-1-2-1-1-1-1-1-1-1-1-1-1</f>
        <v>32</v>
      </c>
      <c r="F186" s="107">
        <f>22-1-1-1-19+18+1-2-1-1-2-1-1-1-1-2-1-2-1-1-1-1</f>
        <v>0</v>
      </c>
      <c r="G186" s="107">
        <f>1-1+1-1</f>
        <v>0</v>
      </c>
      <c r="H186" s="107">
        <v>0</v>
      </c>
      <c r="I186" s="107">
        <v>0</v>
      </c>
      <c r="J186" s="107">
        <f>22-4-1-17+17-1</f>
        <v>16</v>
      </c>
      <c r="K186" s="107">
        <f>4-1-3+3-2</f>
        <v>1</v>
      </c>
      <c r="L186" s="107">
        <f>7-1-1-2-1-2+2-2</f>
        <v>0</v>
      </c>
      <c r="M186" s="107">
        <f>82-2-3-1-1-75+81-5-1-2-1-1-1-2-1-1-2-1-1-1-1</f>
        <v>60</v>
      </c>
      <c r="N186" s="107">
        <f>93-1-1-91+92-3-1-1-1-1-1-1-1-1-1</f>
        <v>80</v>
      </c>
      <c r="O186" s="107">
        <f>20-1-2-17+19-1-1-1-1+1-1-3-1-1</f>
        <v>10</v>
      </c>
      <c r="P186" s="107">
        <f>17-17+17-1-1-1-2</f>
        <v>12</v>
      </c>
      <c r="Q186" s="107">
        <f>4-4+4-1-1</f>
        <v>2</v>
      </c>
      <c r="R186" s="107">
        <v>0</v>
      </c>
      <c r="S186" s="107">
        <v>0</v>
      </c>
      <c r="T186" s="107">
        <f>SUM(B186:S186)</f>
        <v>252</v>
      </c>
      <c r="U186" s="98"/>
    </row>
    <row r="187" spans="1:22" ht="31">
      <c r="T187" s="266">
        <f>SUM(T181:T186)</f>
        <v>3388</v>
      </c>
      <c r="U187" s="98"/>
    </row>
    <row r="188" spans="1:22" ht="31">
      <c r="T188" s="271"/>
      <c r="U188" s="98"/>
    </row>
    <row r="189" spans="1:22" ht="31">
      <c r="T189" s="271"/>
      <c r="U189" s="98"/>
    </row>
    <row r="190" spans="1:22">
      <c r="T190"/>
    </row>
    <row r="191" spans="1:22" ht="31">
      <c r="A191" s="272" t="s">
        <v>117</v>
      </c>
      <c r="B191" s="273"/>
      <c r="C191" s="273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98"/>
      <c r="V191" s="98"/>
    </row>
    <row r="192" spans="1:22" ht="21">
      <c r="A192" s="100" t="s">
        <v>83</v>
      </c>
      <c r="B192" s="101" t="s">
        <v>3</v>
      </c>
      <c r="C192" s="183"/>
      <c r="D192" s="183"/>
      <c r="E192" s="183"/>
      <c r="F192" s="183"/>
      <c r="G192" s="183"/>
      <c r="H192" s="183"/>
      <c r="I192" s="183"/>
      <c r="J192" s="184"/>
      <c r="K192" s="101" t="s">
        <v>4</v>
      </c>
      <c r="L192" s="183"/>
      <c r="M192" s="183"/>
      <c r="N192" s="183"/>
      <c r="O192" s="183"/>
      <c r="P192" s="183"/>
      <c r="Q192" s="183"/>
      <c r="R192" s="183"/>
      <c r="S192" s="183"/>
      <c r="T192" s="183"/>
      <c r="U192" s="98"/>
      <c r="V192" s="98"/>
    </row>
    <row r="193" spans="1:23" ht="21">
      <c r="A193" s="100" t="s">
        <v>52</v>
      </c>
      <c r="B193" s="104" t="s">
        <v>10</v>
      </c>
      <c r="C193" s="104" t="s">
        <v>53</v>
      </c>
      <c r="D193" s="104" t="s">
        <v>54</v>
      </c>
      <c r="E193" s="104" t="s">
        <v>55</v>
      </c>
      <c r="F193" s="104" t="s">
        <v>56</v>
      </c>
      <c r="G193" s="104" t="s">
        <v>15</v>
      </c>
      <c r="H193" s="104" t="s">
        <v>16</v>
      </c>
      <c r="I193" s="104" t="s">
        <v>17</v>
      </c>
      <c r="J193" s="104" t="s">
        <v>18</v>
      </c>
      <c r="K193" s="104" t="s">
        <v>10</v>
      </c>
      <c r="L193" s="104" t="s">
        <v>53</v>
      </c>
      <c r="M193" s="104" t="s">
        <v>54</v>
      </c>
      <c r="N193" s="104" t="s">
        <v>55</v>
      </c>
      <c r="O193" s="104" t="s">
        <v>56</v>
      </c>
      <c r="P193" s="104" t="s">
        <v>15</v>
      </c>
      <c r="Q193" s="104" t="s">
        <v>16</v>
      </c>
      <c r="R193" s="104" t="s">
        <v>17</v>
      </c>
      <c r="S193" s="104" t="s">
        <v>18</v>
      </c>
      <c r="T193" s="98" t="s">
        <v>118</v>
      </c>
      <c r="U193" s="104" t="s">
        <v>119</v>
      </c>
      <c r="V193" s="102" t="s">
        <v>57</v>
      </c>
    </row>
    <row r="194" spans="1:23" ht="21">
      <c r="A194" s="100" t="s">
        <v>120</v>
      </c>
      <c r="B194" s="107">
        <f>10</f>
        <v>10</v>
      </c>
      <c r="C194" s="107">
        <f>40</f>
        <v>40</v>
      </c>
      <c r="D194" s="107">
        <f>60</f>
        <v>60</v>
      </c>
      <c r="E194" s="107">
        <f>60</f>
        <v>60</v>
      </c>
      <c r="F194" s="107">
        <f>40</f>
        <v>40</v>
      </c>
      <c r="G194" s="107">
        <f>15</f>
        <v>15</v>
      </c>
      <c r="H194" s="107">
        <f>15</f>
        <v>15</v>
      </c>
      <c r="I194" s="107">
        <f>6</f>
        <v>6</v>
      </c>
      <c r="J194" s="107">
        <f>9</f>
        <v>9</v>
      </c>
      <c r="K194" s="107">
        <f>15</f>
        <v>15</v>
      </c>
      <c r="L194" s="107">
        <f>60</f>
        <v>60</v>
      </c>
      <c r="M194" s="107">
        <f>120</f>
        <v>120</v>
      </c>
      <c r="N194" s="118">
        <f>120-1</f>
        <v>119</v>
      </c>
      <c r="O194" s="118">
        <f>60</f>
        <v>60</v>
      </c>
      <c r="P194" s="118">
        <f>30</f>
        <v>30</v>
      </c>
      <c r="Q194" s="118">
        <f>15</f>
        <v>15</v>
      </c>
      <c r="R194" s="107">
        <f>10</f>
        <v>10</v>
      </c>
      <c r="S194" s="107">
        <f>10</f>
        <v>10</v>
      </c>
      <c r="T194" s="107"/>
      <c r="U194" s="107"/>
      <c r="V194" s="107">
        <f>SUM(B194:U194)</f>
        <v>694</v>
      </c>
    </row>
    <row r="195" spans="1:23" ht="31">
      <c r="A195" s="264"/>
      <c r="B195" s="265"/>
      <c r="C195" s="265"/>
      <c r="D195" s="265" t="s">
        <v>121</v>
      </c>
      <c r="E195" s="265"/>
      <c r="F195" s="265"/>
      <c r="G195" s="265"/>
      <c r="H195" s="265"/>
      <c r="I195" s="265"/>
      <c r="J195" s="265"/>
      <c r="K195" s="265"/>
      <c r="L195" s="265"/>
      <c r="M195" s="265"/>
      <c r="N195" s="265"/>
      <c r="O195" s="265"/>
      <c r="P195" s="265"/>
      <c r="Q195" s="265"/>
      <c r="R195" s="265"/>
      <c r="S195" s="141"/>
      <c r="T195" s="98"/>
      <c r="U195" s="98"/>
      <c r="V195" s="274">
        <f>SUM(V194:V194)</f>
        <v>694</v>
      </c>
    </row>
    <row r="196" spans="1:23" ht="21">
      <c r="A196" s="264"/>
      <c r="B196" s="265"/>
      <c r="C196" s="265"/>
      <c r="D196" s="265"/>
      <c r="E196" s="265"/>
      <c r="F196" s="265"/>
      <c r="G196" s="265"/>
      <c r="H196" s="265"/>
      <c r="I196" s="265"/>
      <c r="J196" s="265"/>
      <c r="K196" s="265"/>
      <c r="L196" s="265"/>
      <c r="M196" s="265"/>
      <c r="N196" s="265"/>
      <c r="O196" s="265"/>
      <c r="P196" s="265"/>
      <c r="Q196" s="265"/>
      <c r="R196" s="265"/>
      <c r="S196" s="141"/>
      <c r="T196" s="247"/>
      <c r="U196" s="98"/>
      <c r="V196" s="98"/>
    </row>
    <row r="197" spans="1:23">
      <c r="T197"/>
    </row>
    <row r="198" spans="1:23" s="98" customFormat="1" ht="49.5" customHeight="1">
      <c r="A198" s="272" t="s">
        <v>122</v>
      </c>
      <c r="B198" s="273"/>
      <c r="C198" s="273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3" s="98" customFormat="1" ht="20" customHeight="1">
      <c r="A199" s="100" t="s">
        <v>83</v>
      </c>
      <c r="B199" s="101" t="s">
        <v>3</v>
      </c>
      <c r="C199" s="183"/>
      <c r="D199" s="183"/>
      <c r="E199" s="183"/>
      <c r="F199" s="183"/>
      <c r="G199" s="183"/>
      <c r="H199" s="183"/>
      <c r="I199" s="183"/>
      <c r="J199" s="184"/>
      <c r="K199" s="101" t="s">
        <v>4</v>
      </c>
      <c r="L199" s="183"/>
      <c r="M199" s="183"/>
      <c r="N199" s="183"/>
      <c r="O199" s="183"/>
      <c r="P199" s="183"/>
      <c r="Q199" s="183"/>
      <c r="R199" s="183"/>
      <c r="S199" s="183"/>
      <c r="T199" s="183"/>
    </row>
    <row r="200" spans="1:23" s="98" customFormat="1" ht="33.75" customHeight="1">
      <c r="A200" s="100" t="s">
        <v>52</v>
      </c>
      <c r="B200" s="104" t="s">
        <v>10</v>
      </c>
      <c r="C200" s="104" t="s">
        <v>53</v>
      </c>
      <c r="D200" s="104" t="s">
        <v>54</v>
      </c>
      <c r="E200" s="104" t="s">
        <v>55</v>
      </c>
      <c r="F200" s="104" t="s">
        <v>56</v>
      </c>
      <c r="G200" s="104" t="s">
        <v>15</v>
      </c>
      <c r="H200" s="104" t="s">
        <v>16</v>
      </c>
      <c r="I200" s="104" t="s">
        <v>17</v>
      </c>
      <c r="J200" s="104" t="s">
        <v>18</v>
      </c>
      <c r="K200" s="104" t="s">
        <v>10</v>
      </c>
      <c r="L200" s="104" t="s">
        <v>53</v>
      </c>
      <c r="M200" s="104" t="s">
        <v>54</v>
      </c>
      <c r="N200" s="104" t="s">
        <v>55</v>
      </c>
      <c r="O200" s="104" t="s">
        <v>56</v>
      </c>
      <c r="P200" s="104" t="s">
        <v>15</v>
      </c>
      <c r="Q200" s="104" t="s">
        <v>16</v>
      </c>
      <c r="R200" s="104" t="s">
        <v>17</v>
      </c>
      <c r="S200" s="104" t="s">
        <v>18</v>
      </c>
      <c r="T200" s="98" t="s">
        <v>118</v>
      </c>
      <c r="U200" s="104" t="s">
        <v>119</v>
      </c>
      <c r="V200" s="102" t="s">
        <v>57</v>
      </c>
      <c r="W200" s="98" t="s">
        <v>123</v>
      </c>
    </row>
    <row r="201" spans="1:23" s="98" customFormat="1" ht="27" customHeight="1">
      <c r="A201" s="100" t="s">
        <v>124</v>
      </c>
      <c r="B201" s="107">
        <f>33-2-1-1-1-28+30-1-1+1-1-3-1-1-1-1-5-2-2-1</f>
        <v>11</v>
      </c>
      <c r="C201" s="107">
        <f>63-7-1-1-1-11-1+2-43+41-5-4-1-3-1-1-1-5-1-1-5-3-1-4-1-1-1-1-1+1-1</f>
        <v>0</v>
      </c>
      <c r="D201" s="107">
        <f>15+20-2-3-2+5-6-1-6-20+1-1+1-1+10-7-1+48-1-2-3-2-2-1-3-3-14-5-3-1-1-1-1-1-1-1-1-1-1-1+1-1+1-1</f>
        <v>0</v>
      </c>
      <c r="E201" s="107">
        <f>49-2+3-1-1-1-18-1-1-2-25+25-2-1-1-3+5-1-1+26-1-2-1-3-1-22-5-2-3-1-1-1-1-2-1+1-1</f>
        <v>0</v>
      </c>
      <c r="F201" s="107">
        <f>5+20-4-3+3-1-15-5+7-2-1-2-1+29-1-1-9-3-4-1-1-3-7</f>
        <v>0</v>
      </c>
      <c r="G201" s="107">
        <f>31-1-5-1-24+22-1-1-2-1+3-10-1-2-1</f>
        <v>6</v>
      </c>
      <c r="H201" s="107">
        <f>21+30-2-4-45+27-1-1-5</f>
        <v>20</v>
      </c>
      <c r="I201" s="107">
        <f>35-1-34+28-1</f>
        <v>27</v>
      </c>
      <c r="J201" s="107">
        <f>36-36+38-1</f>
        <v>37</v>
      </c>
      <c r="K201" s="107">
        <f>45-1-1-1-5-2-35+35-1-3-1-1-1+1-5+39-2-1-1-1-3-1-1-5-2-2-1-1</f>
        <v>42</v>
      </c>
      <c r="L201" s="107">
        <f>16-4-1-1-1-1-1-2-5+1-1+145+140-1-1+1-2-2-1-2-2-3-1-4-6-2-3-1-1-2-1-4-1-1-1-6-4-1-2-1-1-2-3-1-2</f>
        <v>221</v>
      </c>
      <c r="M201" s="107">
        <f>38-1-1-3-3-6-1-3-3-2-15+3+19+1-12-11+13-5-1-1-3-2-1+82-1-1-2-1-2-3+215-2-1-1-1+264-4-2-2-2-1-5-3-2-9-3-2+1-1-19-2-8-3-1-1-11-1-1-4-1-1-12-1-1-2-1-3-2-1-1-1-2-9-1-11-1-1-1-1-1-2-1-1-1-3-1-10</f>
        <v>386</v>
      </c>
      <c r="N201" s="118">
        <f>0+4-2-2+3-3+300-1-1-2-4-1-4-2-2+258-1-1+5-2-1-1-2-2-3-1-1-6-2-12-1-8-2-6-2-10-2-11-14-3-1-1-2-1-30-2-22-2-2-2-23-1-1-2-2-1-2-1-1-1-2-2-2-2</f>
        <v>344</v>
      </c>
      <c r="O201" s="118">
        <f>2-2+149-1-1-1-1-1+137-1-1+1-1-1-1-3-2-5-1-8-3-1-1-2-1-1-1-11-7-1-2-4-1-15-1-1-1-2-2-1-1-1-2-2-3</f>
        <v>190</v>
      </c>
      <c r="P201" s="118">
        <f>2-2+80-1-1-1-1+59-1+1-1-3-2-1-1-5-2-2-1-4-2-1-1-10-6-1-1-1-1-1</f>
        <v>88</v>
      </c>
      <c r="Q201" s="118">
        <f>4-4+4-1+40-1-3+29-1-1-1-2-1-7-1-1-2-5-1-5</f>
        <v>40</v>
      </c>
      <c r="R201" s="107">
        <f>24-1-1-1-1-1-1-18+14+7+1-1-1-1</f>
        <v>19</v>
      </c>
      <c r="S201" s="107">
        <f>16-16+29-1-1-1</f>
        <v>26</v>
      </c>
      <c r="T201" s="107">
        <f>10</f>
        <v>10</v>
      </c>
      <c r="U201" s="107">
        <f>15</f>
        <v>15</v>
      </c>
      <c r="V201" s="107">
        <f>SUM(B201:U201)</f>
        <v>1482</v>
      </c>
      <c r="W201" s="98">
        <v>300</v>
      </c>
    </row>
    <row r="202" spans="1:23" s="98" customFormat="1" ht="20" customHeight="1">
      <c r="A202" s="264"/>
      <c r="B202" s="265"/>
      <c r="C202" s="265"/>
      <c r="D202" s="265" t="s">
        <v>121</v>
      </c>
      <c r="E202" s="265"/>
      <c r="F202" s="265"/>
      <c r="G202" s="265"/>
      <c r="H202" s="265"/>
      <c r="I202" s="265"/>
      <c r="J202" s="265"/>
      <c r="K202" s="265"/>
      <c r="L202" s="265"/>
      <c r="M202" s="265"/>
      <c r="N202" s="265"/>
      <c r="O202" s="265"/>
      <c r="P202" s="265"/>
      <c r="Q202" s="265"/>
      <c r="R202" s="265"/>
      <c r="S202" s="141"/>
      <c r="V202" s="274">
        <f>SUM(V201:V201)</f>
        <v>1482</v>
      </c>
    </row>
    <row r="203" spans="1:23" s="98" customFormat="1" ht="20" customHeight="1">
      <c r="A203" s="264"/>
      <c r="B203" s="265"/>
      <c r="C203" s="265"/>
      <c r="D203" s="265"/>
      <c r="E203" s="265"/>
      <c r="F203" s="265"/>
      <c r="G203" s="265"/>
      <c r="H203" s="265"/>
      <c r="I203" s="265"/>
      <c r="J203" s="265"/>
      <c r="K203" s="265"/>
      <c r="L203" s="265"/>
      <c r="M203" s="265"/>
      <c r="N203" s="265"/>
      <c r="O203" s="265"/>
      <c r="P203" s="265"/>
      <c r="Q203" s="265"/>
      <c r="R203" s="265"/>
      <c r="S203" s="141"/>
      <c r="T203" s="247"/>
    </row>
    <row r="204" spans="1:23" s="98" customFormat="1" ht="29.25" customHeight="1">
      <c r="A204" s="275" t="s">
        <v>125</v>
      </c>
      <c r="B204" s="275"/>
      <c r="C204" s="275"/>
      <c r="D204" s="275"/>
      <c r="E204" s="275"/>
      <c r="F204" s="275"/>
      <c r="G204" s="275"/>
      <c r="H204" s="275"/>
      <c r="I204" s="275"/>
      <c r="J204" s="275"/>
      <c r="K204" s="275"/>
      <c r="L204" s="275"/>
      <c r="M204" s="275"/>
      <c r="N204" s="275"/>
      <c r="O204" s="275"/>
      <c r="P204" s="275"/>
      <c r="Q204" s="275"/>
      <c r="R204" s="275"/>
      <c r="S204" s="275"/>
      <c r="T204" s="275"/>
    </row>
    <row r="205" spans="1:23" s="98" customFormat="1" ht="20" customHeight="1">
      <c r="A205" s="100" t="s">
        <v>83</v>
      </c>
      <c r="B205" s="101" t="s">
        <v>3</v>
      </c>
      <c r="C205" s="183"/>
      <c r="D205" s="183"/>
      <c r="E205" s="183"/>
      <c r="F205" s="183"/>
      <c r="G205" s="183"/>
      <c r="H205" s="183"/>
      <c r="I205" s="183"/>
      <c r="J205" s="184"/>
      <c r="K205" s="101" t="s">
        <v>4</v>
      </c>
      <c r="L205" s="183"/>
      <c r="M205" s="183"/>
      <c r="N205" s="183"/>
      <c r="O205" s="183"/>
      <c r="P205" s="183"/>
      <c r="Q205" s="183"/>
      <c r="R205" s="183"/>
      <c r="S205" s="183"/>
      <c r="T205" s="184"/>
    </row>
    <row r="206" spans="1:23" s="98" customFormat="1" ht="20" customHeight="1">
      <c r="A206" s="100" t="s">
        <v>52</v>
      </c>
      <c r="B206" s="104" t="s">
        <v>10</v>
      </c>
      <c r="C206" s="104" t="s">
        <v>53</v>
      </c>
      <c r="D206" s="104" t="s">
        <v>54</v>
      </c>
      <c r="E206" s="104" t="s">
        <v>55</v>
      </c>
      <c r="F206" s="104" t="s">
        <v>56</v>
      </c>
      <c r="G206" s="104" t="s">
        <v>15</v>
      </c>
      <c r="H206" s="104" t="s">
        <v>16</v>
      </c>
      <c r="I206" s="104" t="s">
        <v>17</v>
      </c>
      <c r="J206" s="104" t="s">
        <v>18</v>
      </c>
      <c r="K206" s="104" t="s">
        <v>10</v>
      </c>
      <c r="L206" s="104" t="s">
        <v>53</v>
      </c>
      <c r="M206" s="104" t="s">
        <v>54</v>
      </c>
      <c r="N206" s="104" t="s">
        <v>55</v>
      </c>
      <c r="O206" s="104" t="s">
        <v>56</v>
      </c>
      <c r="P206" s="104" t="s">
        <v>15</v>
      </c>
      <c r="Q206" s="104" t="s">
        <v>16</v>
      </c>
      <c r="R206" s="104" t="s">
        <v>17</v>
      </c>
      <c r="S206" s="104" t="s">
        <v>18</v>
      </c>
      <c r="T206" s="102" t="s">
        <v>57</v>
      </c>
    </row>
    <row r="207" spans="1:23" s="98" customFormat="1" ht="20" customHeight="1">
      <c r="A207" s="262" t="s">
        <v>94</v>
      </c>
      <c r="B207" s="276">
        <f>25-1+1-25+26-1+1+30-1-6-3+30+6-2-1-1-1-2-1-2</f>
        <v>72</v>
      </c>
      <c r="C207" s="276">
        <f>3-1-2+1-1+122-2-26-55-1+120-1-4+26-1-4-1-1-1-1-2-3-2-1-1-1-1-1-1-1-1-2-1-1-2-1+1-2-19-5-1-1-4</f>
        <v>117</v>
      </c>
      <c r="D207" s="276">
        <f>0+5-1-1-1-1+239-50-87-2+40-1-3+50-1-6-2-1-1-1-1-1-3-2-1-1-1-1-1-1-1-1-1-1-1-2-1-3-1-3-1+1-2-1-7-32-4-1-2-6-1-2</f>
        <v>89</v>
      </c>
      <c r="E207" s="276">
        <f>0+6+240-25-65-2+40-1-1+25-11-1-1-1-3-2-1-1-1-1-1-1-1-1-2-5-1-1+1-1-1-5-19-1-1-1-2</f>
        <v>151</v>
      </c>
      <c r="F207" s="276">
        <f>1-1+1+120-4-24-1-2+119-1+4-8-1-2-1-2-1-1-1-1-1-1-2-1+1-1-1-2-9-1-1</f>
        <v>175</v>
      </c>
      <c r="G207" s="276">
        <f>51-6-4+80+6-2-1-1-1-1-1-2-1-1-9-2-1</f>
        <v>104</v>
      </c>
      <c r="H207" s="276">
        <f>30-3+30+3-1-3-1-1-2-1-1-1-6</f>
        <v>43</v>
      </c>
      <c r="I207" s="276">
        <f>1-1+1+15+10-1-1-1-1-1-2</f>
        <v>19</v>
      </c>
      <c r="J207" s="276">
        <f>36-36+36+15+10-1-1-2-1-1-2</f>
        <v>53</v>
      </c>
      <c r="K207" s="276">
        <f>0+2+50-1-1+1-1-3-1-2-1-2</f>
        <v>41</v>
      </c>
      <c r="L207" s="107">
        <f>62-2-2-1-57+53-1-1+3-1-1+160-13-12-1+260-1+13-1-1-1-1-5-1-1-1-1-1-2-1+1-1-5-3-1</f>
        <v>432</v>
      </c>
      <c r="M207" s="107">
        <f>72-1-1-1+1-70+70-7-1-1+9-1-1+319-1+1-2-2-2-51-59-2+402-1-15+51-1-3-1-1-14-3-1-4-6-3-1-1-1-1-3-1-1-1-1-1-1+1-1-1-1-1-2-1-3-1-2+1-2-1-2-14-61-3-6-2-1</f>
        <v>553</v>
      </c>
      <c r="N207" s="107">
        <f>1-1+1-1+320-1-2-1-1-1-1-72-2-67-1-2+399-1-1-2-4+72-4-1-1-1-2-1-14-1-5-5-1-6-7-1-1-1-3-1-1-1-2-1-1-1-1-1-2-1-1-1-2-2-5-1-3-3+1-1-1-1-1-10-40-1-1-2-1-1-1-5</f>
        <v>481</v>
      </c>
      <c r="O207" s="107">
        <f>1-1+1-2+3+160-33-1-18-2+261-1-2+33-4-1-1-12-2-4-1-1-4-1-1-1-1-1-1-2-1+1-3-4-19-1-1-2</f>
        <v>331</v>
      </c>
      <c r="P207" s="107">
        <f>22-1-1-1-19+18-2-1+80-13-4+98+13-2-7-6-2-3-1-1-1-1-1-1-1-1-1-2-1-1-18-1-2</f>
        <v>135</v>
      </c>
      <c r="Q207" s="107">
        <f>0+27-1-1+50+7-4-1-2-1-1-1-1-1-1-2-1-1-8-2-1</f>
        <v>54</v>
      </c>
      <c r="R207" s="107">
        <f>9-9+8+1-1-1-2-2</f>
        <v>3</v>
      </c>
      <c r="S207" s="107">
        <f>29-29+29-1-1-1-2-8-2</f>
        <v>14</v>
      </c>
      <c r="T207" s="107">
        <f>SUM(B207:S207)</f>
        <v>2867</v>
      </c>
      <c r="U207" s="141"/>
    </row>
    <row r="208" spans="1:23" s="98" customFormat="1" ht="24" customHeight="1">
      <c r="A208" s="262" t="s">
        <v>126</v>
      </c>
      <c r="B208" s="107">
        <f>1-1+1-1+1-1+30</f>
        <v>30</v>
      </c>
      <c r="C208" s="107">
        <f>5-1+2-6+2-1+3-1-1-1-1+90</f>
        <v>90</v>
      </c>
      <c r="D208" s="107">
        <f>3-1-1-1+2-2+4-1-2+2-1-1-1+120</f>
        <v>120</v>
      </c>
      <c r="E208" s="107">
        <f>16-2-1-1+1+1-14+12-1+1-1-1-2-1-1-1-5+120</f>
        <v>120</v>
      </c>
      <c r="F208" s="107">
        <f>6-2-2+1-3+3-1-1-1+60</f>
        <v>60</v>
      </c>
      <c r="G208" s="107">
        <v>30</v>
      </c>
      <c r="H208" s="107">
        <f>5-5+5-1-1-1-1-1+15</f>
        <v>15</v>
      </c>
      <c r="I208" s="107">
        <f>5-5+5-1+10</f>
        <v>14</v>
      </c>
      <c r="J208" s="107">
        <f>5-5+5+10</f>
        <v>15</v>
      </c>
      <c r="K208" s="107">
        <f>11-1+1-11+10-1-1-1-1-1-1+42</f>
        <v>46</v>
      </c>
      <c r="L208" s="107">
        <f>23-1-2-20+20-1-1-2-1+1-1-1-1-1-1-1+75</f>
        <v>85</v>
      </c>
      <c r="M208" s="107">
        <f>26-4-8+1+3-18+17-7-1-1-2-1-1-1-1-2+163</f>
        <v>163</v>
      </c>
      <c r="N208" s="107">
        <f>7-2-2-3+3-3+4-2-2-1+1+1-1+160</f>
        <v>160</v>
      </c>
      <c r="O208" s="107">
        <f>48-1-1-1-1-2-8-1-33+35-1-2-1-1-1-1-1-2-1-1-1-2-1-1-1-1-1-4-1+80</f>
        <v>90</v>
      </c>
      <c r="P208" s="107">
        <f>46-1-1-44+44-1+30</f>
        <v>73</v>
      </c>
      <c r="Q208" s="107">
        <f>8-8+8-1-1-1-3+10</f>
        <v>12</v>
      </c>
      <c r="R208" s="107">
        <f>6-6+17-11+10</f>
        <v>16</v>
      </c>
      <c r="S208" s="242">
        <f>26-26+9+11+10</f>
        <v>30</v>
      </c>
      <c r="T208" s="107">
        <f>SUM(B208:S208)</f>
        <v>1169</v>
      </c>
      <c r="U208" s="141" t="s">
        <v>127</v>
      </c>
    </row>
    <row r="209" spans="1:23" s="98" customFormat="1" ht="20" customHeight="1">
      <c r="A209" s="140"/>
      <c r="B209" s="265" t="s">
        <v>1</v>
      </c>
      <c r="C209" s="265"/>
      <c r="D209" s="265"/>
      <c r="E209" s="265"/>
      <c r="F209" s="265"/>
      <c r="G209" s="265"/>
      <c r="H209" s="265"/>
      <c r="I209" s="265"/>
      <c r="J209" s="265"/>
      <c r="K209" s="265"/>
      <c r="L209" s="265"/>
      <c r="M209" s="265"/>
      <c r="N209" s="265"/>
      <c r="O209" s="265"/>
      <c r="P209" s="265"/>
      <c r="Q209" s="265"/>
      <c r="R209" s="265"/>
      <c r="S209" s="141"/>
      <c r="T209" s="274">
        <f>SUM(T207:T208)</f>
        <v>4036</v>
      </c>
    </row>
    <row r="210" spans="1:23" s="98" customFormat="1" ht="20" customHeight="1">
      <c r="A210" s="140"/>
      <c r="B210" s="265"/>
      <c r="C210" s="265"/>
      <c r="D210" s="265"/>
      <c r="E210" s="265"/>
      <c r="F210" s="265"/>
      <c r="G210" s="265"/>
      <c r="H210" s="265"/>
      <c r="I210" s="265"/>
      <c r="J210" s="265"/>
      <c r="K210" s="265"/>
      <c r="L210" s="265"/>
      <c r="M210" s="265"/>
      <c r="N210" s="265"/>
      <c r="O210" s="265"/>
      <c r="P210" s="265"/>
      <c r="Q210" s="265"/>
      <c r="R210" s="265"/>
      <c r="S210" s="141"/>
      <c r="T210" s="247"/>
    </row>
    <row r="211" spans="1:23" s="98" customFormat="1" ht="29.25" customHeight="1">
      <c r="A211" s="273" t="s">
        <v>128</v>
      </c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3" s="98" customFormat="1" ht="20" customHeight="1">
      <c r="A212" s="100" t="s">
        <v>83</v>
      </c>
      <c r="B212" s="101" t="s">
        <v>3</v>
      </c>
      <c r="C212" s="183"/>
      <c r="D212" s="183"/>
      <c r="E212" s="183"/>
      <c r="F212" s="183"/>
      <c r="G212" s="183"/>
      <c r="H212" s="183"/>
      <c r="I212" s="183"/>
      <c r="J212" s="184"/>
      <c r="K212" s="101" t="s">
        <v>4</v>
      </c>
      <c r="L212" s="183"/>
      <c r="M212" s="183"/>
      <c r="N212" s="183"/>
      <c r="O212" s="183"/>
      <c r="P212" s="183"/>
      <c r="Q212" s="183"/>
      <c r="R212" s="183"/>
      <c r="S212" s="183"/>
      <c r="T212" s="184"/>
    </row>
    <row r="213" spans="1:23" s="98" customFormat="1" ht="20" customHeight="1">
      <c r="A213" s="100" t="s">
        <v>52</v>
      </c>
      <c r="B213" s="104" t="s">
        <v>10</v>
      </c>
      <c r="C213" s="104" t="s">
        <v>53</v>
      </c>
      <c r="D213" s="104" t="s">
        <v>54</v>
      </c>
      <c r="E213" s="104" t="s">
        <v>55</v>
      </c>
      <c r="F213" s="104" t="s">
        <v>56</v>
      </c>
      <c r="G213" s="104" t="s">
        <v>15</v>
      </c>
      <c r="H213" s="104" t="s">
        <v>16</v>
      </c>
      <c r="I213" s="104" t="s">
        <v>17</v>
      </c>
      <c r="J213" s="104" t="s">
        <v>18</v>
      </c>
      <c r="K213" s="104" t="s">
        <v>10</v>
      </c>
      <c r="L213" s="104" t="s">
        <v>53</v>
      </c>
      <c r="M213" s="104" t="s">
        <v>54</v>
      </c>
      <c r="N213" s="104" t="s">
        <v>55</v>
      </c>
      <c r="O213" s="104" t="s">
        <v>56</v>
      </c>
      <c r="P213" s="104" t="s">
        <v>15</v>
      </c>
      <c r="Q213" s="104" t="s">
        <v>16</v>
      </c>
      <c r="R213" s="104" t="s">
        <v>17</v>
      </c>
      <c r="S213" s="104" t="s">
        <v>18</v>
      </c>
      <c r="T213" s="102" t="s">
        <v>84</v>
      </c>
    </row>
    <row r="214" spans="1:23" s="98" customFormat="1" ht="20" customHeight="1">
      <c r="A214" s="262" t="s">
        <v>23</v>
      </c>
      <c r="B214" s="107">
        <f>9-9+9-3-1-1+30</f>
        <v>34</v>
      </c>
      <c r="C214" s="107">
        <f>66-1-65+65+1-1-1-3-3-1-1-2-1</f>
        <v>53</v>
      </c>
      <c r="D214" s="107">
        <f>48-1-47+47-1-1-1-4-10-8-1+59-1-6-1</f>
        <v>72</v>
      </c>
      <c r="E214" s="107">
        <f>55-55+55-1-13-21-1-1-1-1-1+59-6</f>
        <v>68</v>
      </c>
      <c r="F214" s="107">
        <f>11-11+11-1-7-3+59-1-2</f>
        <v>56</v>
      </c>
      <c r="G214" s="107">
        <f>15-15+15-3-8-1-1-1+10</f>
        <v>11</v>
      </c>
      <c r="H214" s="107">
        <f>17-1-16+16-1-5-4-1+10</f>
        <v>15</v>
      </c>
      <c r="I214" s="107">
        <f>6-6</f>
        <v>0</v>
      </c>
      <c r="J214" s="107">
        <f>13-13+19</f>
        <v>19</v>
      </c>
      <c r="K214" s="107">
        <f>34-34+32-1-1-1-1+10</f>
        <v>38</v>
      </c>
      <c r="L214" s="107">
        <f>19-19+19-1-2-1-5-1-1-1+70</f>
        <v>77</v>
      </c>
      <c r="M214" s="107">
        <f>100-3-1-96+95-1-1+1-1-1-3-5-5-1-1-5-1-1-1-1-2-1-1-1-1+50-1-1</f>
        <v>110</v>
      </c>
      <c r="N214" s="107">
        <f>84-2-1-81+81-1-1-3-1-1-2-7-14-5-1-2-1+70-1-5</f>
        <v>106</v>
      </c>
      <c r="O214" s="107">
        <f>26-26+26-1-6-13-5-1+50</f>
        <v>50</v>
      </c>
      <c r="P214" s="107">
        <f>10-10+10-1-3-1-1-1+25-2</f>
        <v>26</v>
      </c>
      <c r="Q214" s="107">
        <f>20-20+19-2-11-1+25-3</f>
        <v>27</v>
      </c>
      <c r="R214" s="107">
        <f>16-16+16-2+10</f>
        <v>24</v>
      </c>
      <c r="S214" s="107">
        <f>10-10+10-1-2-1+10-1</f>
        <v>15</v>
      </c>
      <c r="T214" s="107">
        <f>SUM(B214:S214)</f>
        <v>801</v>
      </c>
      <c r="U214" s="141"/>
      <c r="V214" s="98">
        <v>500</v>
      </c>
      <c r="W214" s="98">
        <v>1000</v>
      </c>
    </row>
    <row r="215" spans="1:23" s="98" customFormat="1" ht="22.5" customHeight="1">
      <c r="A215" s="262" t="s">
        <v>129</v>
      </c>
      <c r="B215" s="107">
        <f>16-2-3-11+13-2-2-1-1+39</f>
        <v>46</v>
      </c>
      <c r="C215" s="107">
        <f>69+44-1-2-9-2+2-101+51-4+2-1-2-1-1-1-2+40-1-1</f>
        <v>79</v>
      </c>
      <c r="D215" s="107">
        <f>33-3+3-2-9-1+2-23+24-1-1-1-2-7-3-1-1-1+100</f>
        <v>106</v>
      </c>
      <c r="E215" s="107">
        <f>60-2-2-1-16+50+1-90+40-1-1-1-1-3-1-1-2+100-1-1-1</f>
        <v>126</v>
      </c>
      <c r="F215" s="107">
        <f>24-2-1-1+1-21+21-1-1-1-1-1-1-2-1-1-1-2+50</f>
        <v>58</v>
      </c>
      <c r="G215" s="107">
        <f>16+1-17+34-1-1-1-1</f>
        <v>30</v>
      </c>
      <c r="H215" s="107">
        <f>20-20+4-1-1-1+10</f>
        <v>11</v>
      </c>
      <c r="I215" s="107">
        <f>8-8+8-1</f>
        <v>7</v>
      </c>
      <c r="J215" s="107">
        <f>7-1+10-16+6</f>
        <v>6</v>
      </c>
      <c r="K215" s="107">
        <f>14-9-1-2-1-1+2-1-1+79</f>
        <v>79</v>
      </c>
      <c r="L215" s="107">
        <f>36-1-4-24-1-2-4+5-1-2-1-1+1-1+101-1</f>
        <v>100</v>
      </c>
      <c r="M215" s="107">
        <f>74+80-4-2-3+2-1-8-2-1+1+2-138+144-2-1-1-1-1-13-3-2-1-1-1-19-8-5-1-3-1-1-1-1-4-1-1-2+160-1-1</f>
        <v>227</v>
      </c>
      <c r="N215" s="107">
        <f>125-1-3-2+4-7-1-4-4+1+2-110+111-1-1-1-1-1-1-1-1-1-6-1-2-1+4-22-3-1-10-3-1-1-1-1-2-1-1-8-1-1-1-2+159-1-1-1</f>
        <v>192</v>
      </c>
      <c r="O215" s="107">
        <f>68-4-2-1-1-1-1-2-2-2-52+52-1-3-2-1-1+2-12-1-8-1-1-3-1+80-4-1-4</f>
        <v>90</v>
      </c>
      <c r="P215" s="107">
        <f>25-1-1-1-1-1-20+20-1-2-1-1-1-2-1-1+40-2</f>
        <v>48</v>
      </c>
      <c r="Q215" s="107">
        <f>20-3-17+17-1-1-1+9</f>
        <v>23</v>
      </c>
      <c r="R215" s="107">
        <f>11-1-10+5+10</f>
        <v>15</v>
      </c>
      <c r="S215" s="107">
        <f>6-6+11-1</f>
        <v>10</v>
      </c>
      <c r="T215" s="107">
        <f>SUM(B215:S215)</f>
        <v>1253</v>
      </c>
      <c r="U215" s="277" t="s">
        <v>130</v>
      </c>
      <c r="V215" s="98">
        <v>800</v>
      </c>
      <c r="W215" s="98">
        <v>1000</v>
      </c>
    </row>
    <row r="216" spans="1:23" s="98" customFormat="1" ht="20" customHeight="1">
      <c r="A216" s="278" t="s">
        <v>20</v>
      </c>
      <c r="B216" s="107">
        <f>15-1-1-3-1-1+1-1-2-1-1-1+30</f>
        <v>33</v>
      </c>
      <c r="C216" s="107">
        <f>41-1-1-1-9-3-26+27-1-1-1-4-2-2+1-1-2-1-1-1-2-1-1-1-1-5+80-18</f>
        <v>62</v>
      </c>
      <c r="D216" s="107">
        <f>81-4-2+3-1-1-1-9-1-4-61+65-1+1-1-1-4-4-1-11-2+1-3-3-1-1-2-6-1-1-9-1+110-8-21</f>
        <v>95</v>
      </c>
      <c r="E216" s="107">
        <f>77-1-1-1-1-16-1+1-57+132-1-1-4-2-1-25-2+1-1-1-5-1-1-3-2-1-2-1-3-1-8-1-1-1-2+112-18-7</f>
        <v>149</v>
      </c>
      <c r="F216" s="107">
        <f>36-1-1-1-1-1-1-1-13-3+1-1-1-2-7-1-2+60-12-11</f>
        <v>37</v>
      </c>
      <c r="G216" s="107">
        <f>14-1-1+1-2-1-4+1-1-6+30-6-1</f>
        <v>23</v>
      </c>
      <c r="H216" s="107">
        <f>8-1-1-1-1-4+13+1-1-3+1-4-2-1-1-1-1-1+15</f>
        <v>15</v>
      </c>
      <c r="I216" s="107">
        <f>26-1-1-24+10-1-3-2+10</f>
        <v>14</v>
      </c>
      <c r="J216" s="118">
        <f>0+18-8-2-2+10</f>
        <v>16</v>
      </c>
      <c r="K216" s="107">
        <f>72-3-2-67+5-1-1-1+1-2+2-1-1-1+60-2-2</f>
        <v>56</v>
      </c>
      <c r="L216" s="107">
        <f>70-15-1-1-1-24-5+1-1-2-1-1-1-1-5-2-5-2+1-1-3+80-5-32-4</f>
        <v>39</v>
      </c>
      <c r="M216" s="107">
        <f>73+60+60-8-4+3-1-8-1-1-1-172+111-2-3-1-1-1-1-1-2-5-1-17-1-1-23-8+1-1-1-1-1-1-1-5-1-2-19-8-3+160-12-2-1-4-1-12-1</f>
        <v>127</v>
      </c>
      <c r="N216" s="107">
        <f>43+50-18-4-7-1-1-62+120-1-1-2-1-1-3-1-1-1-5-9-1-19-4+1-1-1-1-5-22-1-1-15-1-6-2-14-1+160-22-4-5-29-4</f>
        <v>96</v>
      </c>
      <c r="O216" s="107">
        <f>61-8-5-1-1-1-1-1-1-3-2-5-1-7-4+1-2-4-5-2-2-6+80-38-4-10</f>
        <v>28</v>
      </c>
      <c r="P216" s="107">
        <f>45-1-1-43+38-2-1-2+1-1-1-1-12-1-4-1-5-2-6+30-18-1</f>
        <v>11</v>
      </c>
      <c r="Q216" s="107">
        <f>23-3-20+17+3-1-1-1-1-1+1-1-3-2-1-3-6+10-8-1-1</f>
        <v>0</v>
      </c>
      <c r="R216" s="107">
        <f>15-6-1-1-2-3-2+10</f>
        <v>10</v>
      </c>
      <c r="S216" s="107">
        <f>16-1-1-1-3-2-8+10</f>
        <v>10</v>
      </c>
      <c r="T216" s="107">
        <f>SUM(B216:S216)</f>
        <v>821</v>
      </c>
      <c r="U216" s="277" t="s">
        <v>130</v>
      </c>
      <c r="V216" s="98">
        <v>800</v>
      </c>
      <c r="W216" s="98">
        <v>1000</v>
      </c>
    </row>
    <row r="217" spans="1:23" ht="31">
      <c r="T217" s="279">
        <f>SUM(T214:T216)</f>
        <v>2875</v>
      </c>
    </row>
    <row r="221" spans="1:23" s="98" customFormat="1" ht="19.5" customHeight="1">
      <c r="A221" s="280" t="s">
        <v>131</v>
      </c>
      <c r="B221" s="280"/>
      <c r="C221" s="280"/>
      <c r="D221" s="280"/>
      <c r="E221" s="280"/>
      <c r="F221" s="280"/>
      <c r="G221" s="280"/>
      <c r="H221" s="280"/>
      <c r="I221" s="280"/>
      <c r="J221" s="280"/>
      <c r="K221" s="280"/>
      <c r="L221" s="280"/>
      <c r="M221" s="280"/>
      <c r="N221" s="280"/>
      <c r="O221" s="280"/>
      <c r="P221" s="280"/>
      <c r="Q221" s="280"/>
      <c r="R221" s="280"/>
      <c r="S221" s="280"/>
      <c r="T221" s="280"/>
      <c r="U221" s="280"/>
    </row>
    <row r="222" spans="1:23" s="98" customFormat="1" ht="50" customHeight="1">
      <c r="A222" s="280"/>
      <c r="B222" s="280"/>
      <c r="C222" s="280"/>
      <c r="D222" s="280"/>
      <c r="E222" s="280"/>
      <c r="F222" s="280"/>
      <c r="G222" s="280"/>
      <c r="H222" s="280"/>
      <c r="I222" s="280"/>
      <c r="J222" s="280"/>
      <c r="K222" s="280"/>
      <c r="L222" s="280"/>
      <c r="M222" s="280"/>
      <c r="N222" s="280"/>
      <c r="O222" s="280"/>
      <c r="P222" s="280"/>
      <c r="Q222" s="280"/>
      <c r="R222" s="280"/>
      <c r="S222" s="280"/>
      <c r="T222" s="280"/>
      <c r="U222" s="280"/>
    </row>
    <row r="223" spans="1:23" s="98" customFormat="1" ht="23.25" customHeight="1">
      <c r="A223" s="264"/>
      <c r="B223" s="265"/>
      <c r="C223" s="265"/>
      <c r="D223" s="265"/>
      <c r="E223" s="265"/>
      <c r="F223" s="265"/>
      <c r="G223" s="265"/>
      <c r="H223" s="265"/>
      <c r="I223" s="265"/>
      <c r="J223" s="265"/>
      <c r="K223" s="265"/>
      <c r="L223" s="265"/>
      <c r="M223" s="265"/>
      <c r="N223" s="265"/>
      <c r="O223" s="265"/>
      <c r="P223" s="265"/>
      <c r="Q223" s="265"/>
      <c r="R223" s="265"/>
      <c r="S223" s="141"/>
      <c r="T223" s="141"/>
      <c r="U223" s="125"/>
    </row>
    <row r="224" spans="1:23" ht="31">
      <c r="A224" s="281" t="s">
        <v>132</v>
      </c>
      <c r="B224" s="282"/>
      <c r="C224" s="282"/>
      <c r="D224" s="282"/>
      <c r="E224" s="282"/>
      <c r="F224" s="282"/>
      <c r="G224" s="282"/>
      <c r="H224" s="282"/>
      <c r="I224" s="282"/>
      <c r="J224" s="282"/>
      <c r="K224" s="283"/>
      <c r="T224"/>
    </row>
    <row r="225" spans="1:16383" s="288" customFormat="1" ht="39.75" customHeight="1">
      <c r="A225" s="100" t="s">
        <v>51</v>
      </c>
      <c r="B225" s="284" t="s">
        <v>48</v>
      </c>
      <c r="C225" s="285"/>
      <c r="D225" s="285"/>
      <c r="E225" s="285"/>
      <c r="F225" s="285"/>
      <c r="G225" s="285"/>
      <c r="H225" s="285"/>
      <c r="I225" s="285"/>
      <c r="J225" s="285"/>
      <c r="K225" s="286"/>
      <c r="L225" s="287"/>
      <c r="M225" s="287"/>
    </row>
    <row r="226" spans="1:16383" s="98" customFormat="1" ht="33.75" customHeight="1">
      <c r="A226" s="100" t="s">
        <v>52</v>
      </c>
      <c r="B226" s="104" t="s">
        <v>10</v>
      </c>
      <c r="C226" s="104" t="s">
        <v>53</v>
      </c>
      <c r="D226" s="104" t="s">
        <v>54</v>
      </c>
      <c r="E226" s="104" t="s">
        <v>55</v>
      </c>
      <c r="F226" s="104" t="s">
        <v>56</v>
      </c>
      <c r="G226" s="104" t="s">
        <v>15</v>
      </c>
      <c r="H226" s="104" t="s">
        <v>16</v>
      </c>
      <c r="I226" s="104" t="s">
        <v>17</v>
      </c>
      <c r="J226" s="104" t="s">
        <v>18</v>
      </c>
      <c r="K226" s="102" t="s">
        <v>84</v>
      </c>
    </row>
    <row r="227" spans="1:16383" s="98" customFormat="1" ht="46.5" customHeight="1">
      <c r="A227" s="289" t="s">
        <v>133</v>
      </c>
      <c r="B227" s="163">
        <f>2-2+55-1-1-53+11+40</f>
        <v>51</v>
      </c>
      <c r="C227" s="163">
        <f>26-2-3-2-12-1-1+5-6-4+1+110-1-1-3-1-1-1-1-102+27+30+40-1-1</f>
        <v>95</v>
      </c>
      <c r="D227" s="163">
        <f>52+8-2-2-3-4-4-4-3-2-1-30-1-6+2+55-3-3-1-1-1-4-1+1-1-1-1-1-1-1-1-4-1-1-29+11+15-1-4-3</f>
        <v>18</v>
      </c>
      <c r="E227" s="163">
        <f>59-1-1-2-4-1-1-1-1-1-9-30-1-1-2-2-1+130-2-1-3-1-9-1+1-1-1-1-1-1-1-5-1-1-101+8+40+50-1-1-3-1-1-1-1-1-2</f>
        <v>86</v>
      </c>
      <c r="F227" s="163">
        <f>30-1-3-1-1-6-1-2-15+65-1-1-2-3-4-1-1-1-1-50+16+35-1+1-2-2-10</f>
        <v>37</v>
      </c>
      <c r="G227" s="163">
        <f>21-1-2-1-6-9-1-1-1+1+35-1-1-1-1-31+31-2</f>
        <v>29</v>
      </c>
      <c r="H227" s="163">
        <f>8-1-2-1-1-1-1-1+20-1-2-17+17-1</f>
        <v>16</v>
      </c>
      <c r="I227" s="163">
        <f>9-1-1-1-1-1-1-2-1</f>
        <v>0</v>
      </c>
      <c r="J227" s="163"/>
      <c r="K227" s="290">
        <f>SUM(B227:J227)</f>
        <v>332</v>
      </c>
    </row>
    <row r="228" spans="1:16383" s="98" customFormat="1" ht="51" customHeight="1">
      <c r="A228" s="264"/>
      <c r="B228" s="265"/>
      <c r="C228" s="265"/>
      <c r="D228" s="265"/>
      <c r="E228" s="265"/>
      <c r="F228" s="265"/>
      <c r="G228" s="265"/>
      <c r="H228" s="265"/>
      <c r="I228" s="265"/>
      <c r="J228" s="265"/>
      <c r="K228" s="265"/>
      <c r="L228" s="265"/>
      <c r="M228" s="265"/>
      <c r="N228" s="265"/>
      <c r="O228" s="265"/>
      <c r="P228" s="265"/>
      <c r="Q228" s="265"/>
      <c r="R228" s="265"/>
      <c r="S228" s="141"/>
      <c r="T228" s="125"/>
    </row>
    <row r="229" spans="1:16383" s="98" customFormat="1" ht="49.5" customHeight="1">
      <c r="A229" s="291" t="s">
        <v>134</v>
      </c>
      <c r="B229" s="292"/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  <c r="Q229" s="292"/>
      <c r="R229" s="292"/>
      <c r="S229" s="292"/>
      <c r="T229" s="293"/>
    </row>
    <row r="230" spans="1:16383" s="98" customFormat="1" ht="20" customHeight="1">
      <c r="A230" s="100" t="s">
        <v>83</v>
      </c>
      <c r="B230" s="101" t="s">
        <v>3</v>
      </c>
      <c r="C230" s="183"/>
      <c r="D230" s="183"/>
      <c r="E230" s="183"/>
      <c r="F230" s="183"/>
      <c r="G230" s="183"/>
      <c r="H230" s="183"/>
      <c r="I230" s="183"/>
      <c r="J230" s="184"/>
      <c r="K230" s="101" t="s">
        <v>4</v>
      </c>
      <c r="L230" s="183"/>
      <c r="M230" s="183"/>
      <c r="N230" s="183"/>
      <c r="O230" s="183"/>
      <c r="P230" s="183"/>
      <c r="Q230" s="183"/>
      <c r="R230" s="183"/>
      <c r="S230" s="183"/>
      <c r="T230" s="184"/>
    </row>
    <row r="231" spans="1:16383" s="98" customFormat="1" ht="33.75" customHeight="1">
      <c r="A231" s="100" t="s">
        <v>52</v>
      </c>
      <c r="B231" s="104" t="s">
        <v>10</v>
      </c>
      <c r="C231" s="104" t="s">
        <v>53</v>
      </c>
      <c r="D231" s="104" t="s">
        <v>54</v>
      </c>
      <c r="E231" s="104" t="s">
        <v>55</v>
      </c>
      <c r="F231" s="104" t="s">
        <v>56</v>
      </c>
      <c r="G231" s="104" t="s">
        <v>15</v>
      </c>
      <c r="H231" s="104" t="s">
        <v>16</v>
      </c>
      <c r="I231" s="104" t="s">
        <v>17</v>
      </c>
      <c r="J231" s="104" t="s">
        <v>18</v>
      </c>
      <c r="K231" s="104" t="s">
        <v>10</v>
      </c>
      <c r="L231" s="104" t="s">
        <v>53</v>
      </c>
      <c r="M231" s="104" t="s">
        <v>54</v>
      </c>
      <c r="N231" s="104" t="s">
        <v>55</v>
      </c>
      <c r="O231" s="104" t="s">
        <v>56</v>
      </c>
      <c r="P231" s="104" t="s">
        <v>15</v>
      </c>
      <c r="Q231" s="104" t="s">
        <v>16</v>
      </c>
      <c r="R231" s="104" t="s">
        <v>17</v>
      </c>
      <c r="S231" s="104" t="s">
        <v>18</v>
      </c>
      <c r="T231" s="102" t="s">
        <v>57</v>
      </c>
    </row>
    <row r="232" spans="1:16383" s="98" customFormat="1" ht="45" customHeight="1">
      <c r="A232" s="294" t="s">
        <v>135</v>
      </c>
      <c r="B232" s="102">
        <f>15-15+13-2-5-1-5</f>
        <v>0</v>
      </c>
      <c r="C232" s="102">
        <f>40+3-1-5-1-1</f>
        <v>35</v>
      </c>
      <c r="D232" s="102">
        <f>55-55+43-1-2-1-10+30-1-1-2</f>
        <v>55</v>
      </c>
      <c r="E232" s="102">
        <f>55-1-4-10+27-1+3-10</f>
        <v>59</v>
      </c>
      <c r="F232" s="102">
        <f>41+5-5-1-10</f>
        <v>30</v>
      </c>
      <c r="G232" s="102">
        <f>43+1-5-1</f>
        <v>38</v>
      </c>
      <c r="H232" s="102">
        <f>39-5-1</f>
        <v>33</v>
      </c>
      <c r="I232" s="102">
        <f>15-1-5-1</f>
        <v>8</v>
      </c>
      <c r="J232" s="102">
        <f>18-1-5-1</f>
        <v>11</v>
      </c>
      <c r="K232" s="102">
        <f>28+1-1-2-10+16+1-16+10+16-2-2-1</f>
        <v>38</v>
      </c>
      <c r="L232" s="102">
        <f>44-1-8-12-23+27-1+100-1+1-20-1-5+31+44-31+34+30-2-2-1-1</f>
        <v>202</v>
      </c>
      <c r="M232" s="295">
        <f>3-6+3+6-6+230-1+2-52-1-3+1-7-1-2-1-20+89-2+119-89+78-1-1-1-1+73-2-1-2-2-4-1+11-1-2-1-18-2</f>
        <v>384</v>
      </c>
      <c r="N232" s="295">
        <f>0+243-1-48-1-7-5-1-5-3-1-1-1-20+1-2+140+79-1-5+54-2-2-2-2-11-2-1-1+1-1-1-2-1-2-48-1-2-10</f>
        <v>325</v>
      </c>
      <c r="O232" s="295">
        <f>0+2+6-8+118-16-1-1-1-5-5-1-2-1-20+75+28-75+10-1+77-7-2-2-2-11-1-1-2-1-5-4-27-2-10</f>
        <v>102</v>
      </c>
      <c r="P232" s="295">
        <f>1-1+56-8-5-20+57+1-57+60-2-2-2-1-1-24-2</f>
        <v>50</v>
      </c>
      <c r="Q232" s="295">
        <f>2-1-3+2+30-2-10+15-15+13-4-4+16-2-2-7-1+1-1</f>
        <v>27</v>
      </c>
      <c r="R232" s="295">
        <f>0+16-5+5-2-2-1</f>
        <v>11</v>
      </c>
      <c r="S232" s="295">
        <f>0+19-5-2-2-1</f>
        <v>9</v>
      </c>
      <c r="T232" s="102">
        <f>SUM(B232:S232)</f>
        <v>1417</v>
      </c>
      <c r="U232" s="175"/>
      <c r="V232" s="175"/>
      <c r="W232" s="175"/>
      <c r="X232" s="175"/>
      <c r="Y232" s="175"/>
      <c r="Z232" s="175"/>
      <c r="AA232" s="175"/>
      <c r="AB232" s="175"/>
      <c r="AC232" s="175"/>
      <c r="AD232" s="175" t="s">
        <v>124</v>
      </c>
      <c r="AE232" s="175" t="s">
        <v>124</v>
      </c>
      <c r="AF232" s="175" t="s">
        <v>124</v>
      </c>
      <c r="AG232" s="175" t="s">
        <v>124</v>
      </c>
      <c r="AH232" s="175" t="s">
        <v>124</v>
      </c>
      <c r="AI232" s="175" t="s">
        <v>124</v>
      </c>
      <c r="AJ232" s="175" t="s">
        <v>124</v>
      </c>
      <c r="AK232" s="175" t="s">
        <v>124</v>
      </c>
      <c r="AL232" s="175" t="s">
        <v>124</v>
      </c>
      <c r="AM232" s="175" t="s">
        <v>124</v>
      </c>
      <c r="AN232" s="175" t="s">
        <v>124</v>
      </c>
      <c r="AO232" s="296" t="s">
        <v>124</v>
      </c>
      <c r="AP232" s="297" t="s">
        <v>124</v>
      </c>
      <c r="AQ232" s="297" t="s">
        <v>124</v>
      </c>
      <c r="AR232" s="297" t="s">
        <v>124</v>
      </c>
      <c r="AS232" s="297" t="s">
        <v>124</v>
      </c>
      <c r="AT232" s="297" t="s">
        <v>124</v>
      </c>
      <c r="AU232" s="297" t="s">
        <v>124</v>
      </c>
      <c r="AV232" s="297" t="s">
        <v>124</v>
      </c>
      <c r="AW232" s="297" t="s">
        <v>124</v>
      </c>
      <c r="AX232" s="297" t="s">
        <v>124</v>
      </c>
      <c r="AY232" s="297" t="s">
        <v>124</v>
      </c>
      <c r="AZ232" s="297" t="s">
        <v>124</v>
      </c>
      <c r="BA232" s="297" t="s">
        <v>124</v>
      </c>
      <c r="BB232" s="297" t="s">
        <v>124</v>
      </c>
      <c r="BC232" s="297" t="s">
        <v>124</v>
      </c>
      <c r="BD232" s="297" t="s">
        <v>124</v>
      </c>
      <c r="BE232" s="297" t="s">
        <v>124</v>
      </c>
      <c r="BF232" s="297" t="s">
        <v>124</v>
      </c>
      <c r="BG232" s="297" t="s">
        <v>124</v>
      </c>
      <c r="BH232" s="297" t="s">
        <v>124</v>
      </c>
      <c r="BI232" s="297" t="s">
        <v>124</v>
      </c>
      <c r="BJ232" s="297" t="s">
        <v>124</v>
      </c>
      <c r="BK232" s="297" t="s">
        <v>124</v>
      </c>
      <c r="BL232" s="297" t="s">
        <v>124</v>
      </c>
      <c r="BM232" s="297" t="s">
        <v>124</v>
      </c>
      <c r="BN232" s="297" t="s">
        <v>124</v>
      </c>
      <c r="BO232" s="297" t="s">
        <v>124</v>
      </c>
      <c r="BP232" s="297" t="s">
        <v>124</v>
      </c>
      <c r="BQ232" s="297" t="s">
        <v>124</v>
      </c>
      <c r="BR232" s="297" t="s">
        <v>124</v>
      </c>
      <c r="BS232" s="297" t="s">
        <v>124</v>
      </c>
      <c r="BT232" s="297" t="s">
        <v>124</v>
      </c>
      <c r="BU232" s="297" t="s">
        <v>124</v>
      </c>
      <c r="BV232" s="297" t="s">
        <v>124</v>
      </c>
      <c r="BW232" s="297" t="s">
        <v>124</v>
      </c>
      <c r="BX232" s="297" t="s">
        <v>124</v>
      </c>
      <c r="BY232" s="297" t="s">
        <v>124</v>
      </c>
      <c r="BZ232" s="297" t="s">
        <v>124</v>
      </c>
      <c r="CA232" s="297" t="s">
        <v>124</v>
      </c>
      <c r="CB232" s="297" t="s">
        <v>124</v>
      </c>
      <c r="CC232" s="297" t="s">
        <v>124</v>
      </c>
      <c r="CD232" s="297" t="s">
        <v>124</v>
      </c>
      <c r="CE232" s="297" t="s">
        <v>124</v>
      </c>
      <c r="CF232" s="297" t="s">
        <v>124</v>
      </c>
      <c r="CG232" s="297" t="s">
        <v>124</v>
      </c>
      <c r="CH232" s="297" t="s">
        <v>124</v>
      </c>
      <c r="CI232" s="297" t="s">
        <v>124</v>
      </c>
      <c r="CJ232" s="297" t="s">
        <v>124</v>
      </c>
      <c r="CK232" s="297" t="s">
        <v>124</v>
      </c>
      <c r="CL232" s="297" t="s">
        <v>124</v>
      </c>
      <c r="CM232" s="297" t="s">
        <v>124</v>
      </c>
      <c r="CN232" s="297" t="s">
        <v>124</v>
      </c>
      <c r="CO232" s="297" t="s">
        <v>124</v>
      </c>
      <c r="CP232" s="297" t="s">
        <v>124</v>
      </c>
      <c r="CQ232" s="297" t="s">
        <v>124</v>
      </c>
      <c r="CR232" s="297" t="s">
        <v>124</v>
      </c>
      <c r="CS232" s="297" t="s">
        <v>124</v>
      </c>
      <c r="CT232" s="297" t="s">
        <v>124</v>
      </c>
      <c r="CU232" s="297" t="s">
        <v>124</v>
      </c>
      <c r="CV232" s="297" t="s">
        <v>124</v>
      </c>
      <c r="CW232" s="297" t="s">
        <v>124</v>
      </c>
      <c r="CX232" s="297" t="s">
        <v>124</v>
      </c>
      <c r="CY232" s="297" t="s">
        <v>124</v>
      </c>
      <c r="CZ232" s="297" t="s">
        <v>124</v>
      </c>
      <c r="DA232" s="297" t="s">
        <v>124</v>
      </c>
      <c r="DB232" s="297" t="s">
        <v>124</v>
      </c>
      <c r="DC232" s="297" t="s">
        <v>124</v>
      </c>
      <c r="DD232" s="297" t="s">
        <v>124</v>
      </c>
      <c r="DE232" s="297" t="s">
        <v>124</v>
      </c>
      <c r="DF232" s="297" t="s">
        <v>124</v>
      </c>
      <c r="DG232" s="297" t="s">
        <v>124</v>
      </c>
      <c r="DH232" s="297" t="s">
        <v>124</v>
      </c>
      <c r="DI232" s="297" t="s">
        <v>124</v>
      </c>
      <c r="DJ232" s="297" t="s">
        <v>124</v>
      </c>
      <c r="DK232" s="297" t="s">
        <v>124</v>
      </c>
      <c r="DL232" s="297" t="s">
        <v>124</v>
      </c>
      <c r="DM232" s="297" t="s">
        <v>124</v>
      </c>
      <c r="DN232" s="297" t="s">
        <v>124</v>
      </c>
      <c r="DO232" s="297" t="s">
        <v>124</v>
      </c>
      <c r="DP232" s="297" t="s">
        <v>124</v>
      </c>
      <c r="DQ232" s="297" t="s">
        <v>124</v>
      </c>
      <c r="DR232" s="297" t="s">
        <v>124</v>
      </c>
      <c r="DS232" s="297" t="s">
        <v>124</v>
      </c>
      <c r="DT232" s="297" t="s">
        <v>124</v>
      </c>
      <c r="DU232" s="297" t="s">
        <v>124</v>
      </c>
      <c r="DV232" s="297" t="s">
        <v>124</v>
      </c>
      <c r="DW232" s="297" t="s">
        <v>124</v>
      </c>
      <c r="DX232" s="297" t="s">
        <v>124</v>
      </c>
      <c r="DY232" s="297" t="s">
        <v>124</v>
      </c>
      <c r="DZ232" s="297" t="s">
        <v>124</v>
      </c>
      <c r="EA232" s="297" t="s">
        <v>124</v>
      </c>
      <c r="EB232" s="297" t="s">
        <v>124</v>
      </c>
      <c r="EC232" s="297" t="s">
        <v>124</v>
      </c>
      <c r="ED232" s="297" t="s">
        <v>124</v>
      </c>
      <c r="EE232" s="297" t="s">
        <v>124</v>
      </c>
      <c r="EF232" s="297" t="s">
        <v>124</v>
      </c>
      <c r="EG232" s="297" t="s">
        <v>124</v>
      </c>
      <c r="EH232" s="297" t="s">
        <v>124</v>
      </c>
      <c r="EI232" s="297" t="s">
        <v>124</v>
      </c>
      <c r="EJ232" s="297" t="s">
        <v>124</v>
      </c>
      <c r="EK232" s="297" t="s">
        <v>124</v>
      </c>
      <c r="EL232" s="297" t="s">
        <v>124</v>
      </c>
      <c r="EM232" s="297" t="s">
        <v>124</v>
      </c>
      <c r="EN232" s="297" t="s">
        <v>124</v>
      </c>
      <c r="EO232" s="297" t="s">
        <v>124</v>
      </c>
      <c r="EP232" s="297" t="s">
        <v>124</v>
      </c>
      <c r="EQ232" s="297" t="s">
        <v>124</v>
      </c>
      <c r="ER232" s="297" t="s">
        <v>124</v>
      </c>
      <c r="ES232" s="297" t="s">
        <v>124</v>
      </c>
      <c r="ET232" s="297" t="s">
        <v>124</v>
      </c>
      <c r="EU232" s="297" t="s">
        <v>124</v>
      </c>
      <c r="EV232" s="297" t="s">
        <v>124</v>
      </c>
      <c r="EW232" s="297" t="s">
        <v>124</v>
      </c>
      <c r="EX232" s="297" t="s">
        <v>124</v>
      </c>
      <c r="EY232" s="297" t="s">
        <v>124</v>
      </c>
      <c r="EZ232" s="297" t="s">
        <v>124</v>
      </c>
      <c r="FA232" s="297" t="s">
        <v>124</v>
      </c>
      <c r="FB232" s="297" t="s">
        <v>124</v>
      </c>
      <c r="FC232" s="297" t="s">
        <v>124</v>
      </c>
      <c r="FD232" s="297" t="s">
        <v>124</v>
      </c>
      <c r="FE232" s="297" t="s">
        <v>124</v>
      </c>
      <c r="FF232" s="297" t="s">
        <v>124</v>
      </c>
      <c r="FG232" s="297" t="s">
        <v>124</v>
      </c>
      <c r="FH232" s="297" t="s">
        <v>124</v>
      </c>
      <c r="FI232" s="297" t="s">
        <v>124</v>
      </c>
      <c r="FJ232" s="297" t="s">
        <v>124</v>
      </c>
      <c r="FK232" s="297" t="s">
        <v>124</v>
      </c>
      <c r="FL232" s="297" t="s">
        <v>124</v>
      </c>
      <c r="FM232" s="297" t="s">
        <v>124</v>
      </c>
      <c r="FN232" s="297" t="s">
        <v>124</v>
      </c>
      <c r="FO232" s="297" t="s">
        <v>124</v>
      </c>
      <c r="FP232" s="297" t="s">
        <v>124</v>
      </c>
      <c r="FQ232" s="297" t="s">
        <v>124</v>
      </c>
      <c r="FR232" s="297" t="s">
        <v>124</v>
      </c>
      <c r="FS232" s="297" t="s">
        <v>124</v>
      </c>
      <c r="FT232" s="297" t="s">
        <v>124</v>
      </c>
      <c r="FU232" s="297" t="s">
        <v>124</v>
      </c>
      <c r="FV232" s="297" t="s">
        <v>124</v>
      </c>
      <c r="FW232" s="297" t="s">
        <v>124</v>
      </c>
      <c r="FX232" s="297" t="s">
        <v>124</v>
      </c>
      <c r="FY232" s="297" t="s">
        <v>124</v>
      </c>
      <c r="FZ232" s="297" t="s">
        <v>124</v>
      </c>
      <c r="GA232" s="297" t="s">
        <v>124</v>
      </c>
      <c r="GB232" s="297" t="s">
        <v>124</v>
      </c>
      <c r="GC232" s="297" t="s">
        <v>124</v>
      </c>
      <c r="GD232" s="297" t="s">
        <v>124</v>
      </c>
      <c r="GE232" s="297" t="s">
        <v>124</v>
      </c>
      <c r="GF232" s="297" t="s">
        <v>124</v>
      </c>
      <c r="GG232" s="297" t="s">
        <v>124</v>
      </c>
      <c r="GH232" s="297" t="s">
        <v>124</v>
      </c>
      <c r="GI232" s="297" t="s">
        <v>124</v>
      </c>
      <c r="GJ232" s="297" t="s">
        <v>124</v>
      </c>
      <c r="GK232" s="297" t="s">
        <v>124</v>
      </c>
      <c r="GL232" s="297" t="s">
        <v>124</v>
      </c>
      <c r="GM232" s="297" t="s">
        <v>124</v>
      </c>
      <c r="GN232" s="297" t="s">
        <v>124</v>
      </c>
      <c r="GO232" s="297" t="s">
        <v>124</v>
      </c>
      <c r="GP232" s="297" t="s">
        <v>124</v>
      </c>
      <c r="GQ232" s="297" t="s">
        <v>124</v>
      </c>
      <c r="GR232" s="297" t="s">
        <v>124</v>
      </c>
      <c r="GS232" s="297" t="s">
        <v>124</v>
      </c>
      <c r="GT232" s="297" t="s">
        <v>124</v>
      </c>
      <c r="GU232" s="297" t="s">
        <v>124</v>
      </c>
      <c r="GV232" s="297" t="s">
        <v>124</v>
      </c>
      <c r="GW232" s="297" t="s">
        <v>124</v>
      </c>
      <c r="GX232" s="297" t="s">
        <v>124</v>
      </c>
      <c r="GY232" s="297" t="s">
        <v>124</v>
      </c>
      <c r="GZ232" s="297" t="s">
        <v>124</v>
      </c>
      <c r="HA232" s="297" t="s">
        <v>124</v>
      </c>
      <c r="HB232" s="297" t="s">
        <v>124</v>
      </c>
      <c r="HC232" s="297" t="s">
        <v>124</v>
      </c>
      <c r="HD232" s="297" t="s">
        <v>124</v>
      </c>
      <c r="HE232" s="297" t="s">
        <v>124</v>
      </c>
      <c r="HF232" s="297" t="s">
        <v>124</v>
      </c>
      <c r="HG232" s="297" t="s">
        <v>124</v>
      </c>
      <c r="HH232" s="297" t="s">
        <v>124</v>
      </c>
      <c r="HI232" s="297" t="s">
        <v>124</v>
      </c>
      <c r="HJ232" s="297" t="s">
        <v>124</v>
      </c>
      <c r="HK232" s="297" t="s">
        <v>124</v>
      </c>
      <c r="HL232" s="297" t="s">
        <v>124</v>
      </c>
      <c r="HM232" s="297" t="s">
        <v>124</v>
      </c>
      <c r="HN232" s="297" t="s">
        <v>124</v>
      </c>
      <c r="HO232" s="297" t="s">
        <v>124</v>
      </c>
      <c r="HP232" s="297" t="s">
        <v>124</v>
      </c>
      <c r="HQ232" s="297" t="s">
        <v>124</v>
      </c>
      <c r="HR232" s="297" t="s">
        <v>124</v>
      </c>
      <c r="HS232" s="297" t="s">
        <v>124</v>
      </c>
      <c r="HT232" s="297" t="s">
        <v>124</v>
      </c>
      <c r="HU232" s="297" t="s">
        <v>124</v>
      </c>
      <c r="HV232" s="297" t="s">
        <v>124</v>
      </c>
      <c r="HW232" s="297" t="s">
        <v>124</v>
      </c>
      <c r="HX232" s="297" t="s">
        <v>124</v>
      </c>
      <c r="HY232" s="297" t="s">
        <v>124</v>
      </c>
      <c r="HZ232" s="297" t="s">
        <v>124</v>
      </c>
      <c r="IA232" s="297" t="s">
        <v>124</v>
      </c>
      <c r="IB232" s="297" t="s">
        <v>124</v>
      </c>
      <c r="IC232" s="297" t="s">
        <v>124</v>
      </c>
      <c r="ID232" s="297" t="s">
        <v>124</v>
      </c>
      <c r="IE232" s="297" t="s">
        <v>124</v>
      </c>
      <c r="IF232" s="297" t="s">
        <v>124</v>
      </c>
      <c r="IG232" s="297" t="s">
        <v>124</v>
      </c>
      <c r="IH232" s="297" t="s">
        <v>124</v>
      </c>
      <c r="II232" s="297" t="s">
        <v>124</v>
      </c>
      <c r="IJ232" s="297" t="s">
        <v>124</v>
      </c>
      <c r="IK232" s="297" t="s">
        <v>124</v>
      </c>
      <c r="IL232" s="297" t="s">
        <v>124</v>
      </c>
      <c r="IM232" s="297" t="s">
        <v>124</v>
      </c>
      <c r="IN232" s="297" t="s">
        <v>124</v>
      </c>
      <c r="IO232" s="297" t="s">
        <v>124</v>
      </c>
      <c r="IP232" s="297" t="s">
        <v>124</v>
      </c>
      <c r="IQ232" s="297" t="s">
        <v>124</v>
      </c>
      <c r="IR232" s="297" t="s">
        <v>124</v>
      </c>
      <c r="IS232" s="297" t="s">
        <v>124</v>
      </c>
      <c r="IT232" s="297" t="s">
        <v>124</v>
      </c>
      <c r="IU232" s="297" t="s">
        <v>124</v>
      </c>
      <c r="IV232" s="297" t="s">
        <v>124</v>
      </c>
      <c r="IW232" s="297" t="s">
        <v>124</v>
      </c>
      <c r="IX232" s="297" t="s">
        <v>124</v>
      </c>
      <c r="IY232" s="297" t="s">
        <v>124</v>
      </c>
      <c r="IZ232" s="297" t="s">
        <v>124</v>
      </c>
      <c r="JA232" s="297" t="s">
        <v>124</v>
      </c>
      <c r="JB232" s="297" t="s">
        <v>124</v>
      </c>
      <c r="JC232" s="297" t="s">
        <v>124</v>
      </c>
      <c r="JD232" s="297" t="s">
        <v>124</v>
      </c>
      <c r="JE232" s="297" t="s">
        <v>124</v>
      </c>
      <c r="JF232" s="297" t="s">
        <v>124</v>
      </c>
      <c r="JG232" s="297" t="s">
        <v>124</v>
      </c>
      <c r="JH232" s="297" t="s">
        <v>124</v>
      </c>
      <c r="JI232" s="297" t="s">
        <v>124</v>
      </c>
      <c r="JJ232" s="297" t="s">
        <v>124</v>
      </c>
      <c r="JK232" s="297" t="s">
        <v>124</v>
      </c>
      <c r="JL232" s="297" t="s">
        <v>124</v>
      </c>
      <c r="JM232" s="297" t="s">
        <v>124</v>
      </c>
      <c r="JN232" s="297" t="s">
        <v>124</v>
      </c>
      <c r="JO232" s="297" t="s">
        <v>124</v>
      </c>
      <c r="JP232" s="297" t="s">
        <v>124</v>
      </c>
      <c r="JQ232" s="297" t="s">
        <v>124</v>
      </c>
      <c r="JR232" s="297" t="s">
        <v>124</v>
      </c>
      <c r="JS232" s="297" t="s">
        <v>124</v>
      </c>
      <c r="JT232" s="297" t="s">
        <v>124</v>
      </c>
      <c r="JU232" s="297" t="s">
        <v>124</v>
      </c>
      <c r="JV232" s="297" t="s">
        <v>124</v>
      </c>
      <c r="JW232" s="297" t="s">
        <v>124</v>
      </c>
      <c r="JX232" s="297" t="s">
        <v>124</v>
      </c>
      <c r="JY232" s="297" t="s">
        <v>124</v>
      </c>
      <c r="JZ232" s="297" t="s">
        <v>124</v>
      </c>
      <c r="KA232" s="297" t="s">
        <v>124</v>
      </c>
      <c r="KB232" s="297" t="s">
        <v>124</v>
      </c>
      <c r="KC232" s="297" t="s">
        <v>124</v>
      </c>
      <c r="KD232" s="297" t="s">
        <v>124</v>
      </c>
      <c r="KE232" s="297" t="s">
        <v>124</v>
      </c>
      <c r="KF232" s="297" t="s">
        <v>124</v>
      </c>
      <c r="KG232" s="297" t="s">
        <v>124</v>
      </c>
      <c r="KH232" s="297" t="s">
        <v>124</v>
      </c>
      <c r="KI232" s="297" t="s">
        <v>124</v>
      </c>
      <c r="KJ232" s="297" t="s">
        <v>124</v>
      </c>
      <c r="KK232" s="297" t="s">
        <v>124</v>
      </c>
      <c r="KL232" s="297" t="s">
        <v>124</v>
      </c>
      <c r="KM232" s="297" t="s">
        <v>124</v>
      </c>
      <c r="KN232" s="297" t="s">
        <v>124</v>
      </c>
      <c r="KO232" s="297" t="s">
        <v>124</v>
      </c>
      <c r="KP232" s="297" t="s">
        <v>124</v>
      </c>
      <c r="KQ232" s="297" t="s">
        <v>124</v>
      </c>
      <c r="KR232" s="297" t="s">
        <v>124</v>
      </c>
      <c r="KS232" s="297" t="s">
        <v>124</v>
      </c>
      <c r="KT232" s="297" t="s">
        <v>124</v>
      </c>
      <c r="KU232" s="297" t="s">
        <v>124</v>
      </c>
      <c r="KV232" s="297" t="s">
        <v>124</v>
      </c>
      <c r="KW232" s="297" t="s">
        <v>124</v>
      </c>
      <c r="KX232" s="297" t="s">
        <v>124</v>
      </c>
      <c r="KY232" s="297" t="s">
        <v>124</v>
      </c>
      <c r="KZ232" s="297" t="s">
        <v>124</v>
      </c>
      <c r="LA232" s="297" t="s">
        <v>124</v>
      </c>
      <c r="LB232" s="297" t="s">
        <v>124</v>
      </c>
      <c r="LC232" s="297" t="s">
        <v>124</v>
      </c>
      <c r="LD232" s="297" t="s">
        <v>124</v>
      </c>
      <c r="LE232" s="297" t="s">
        <v>124</v>
      </c>
      <c r="LF232" s="297" t="s">
        <v>124</v>
      </c>
      <c r="LG232" s="297" t="s">
        <v>124</v>
      </c>
      <c r="LH232" s="297" t="s">
        <v>124</v>
      </c>
      <c r="LI232" s="297" t="s">
        <v>124</v>
      </c>
      <c r="LJ232" s="297" t="s">
        <v>124</v>
      </c>
      <c r="LK232" s="297" t="s">
        <v>124</v>
      </c>
      <c r="LL232" s="297" t="s">
        <v>124</v>
      </c>
      <c r="LM232" s="297" t="s">
        <v>124</v>
      </c>
      <c r="LN232" s="297" t="s">
        <v>124</v>
      </c>
      <c r="LO232" s="297" t="s">
        <v>124</v>
      </c>
      <c r="LP232" s="297" t="s">
        <v>124</v>
      </c>
      <c r="LQ232" s="297" t="s">
        <v>124</v>
      </c>
      <c r="LR232" s="297" t="s">
        <v>124</v>
      </c>
      <c r="LS232" s="297" t="s">
        <v>124</v>
      </c>
      <c r="LT232" s="297" t="s">
        <v>124</v>
      </c>
      <c r="LU232" s="297" t="s">
        <v>124</v>
      </c>
      <c r="LV232" s="297" t="s">
        <v>124</v>
      </c>
      <c r="LW232" s="297" t="s">
        <v>124</v>
      </c>
      <c r="LX232" s="297" t="s">
        <v>124</v>
      </c>
      <c r="LY232" s="297" t="s">
        <v>124</v>
      </c>
      <c r="LZ232" s="297" t="s">
        <v>124</v>
      </c>
      <c r="MA232" s="297" t="s">
        <v>124</v>
      </c>
      <c r="MB232" s="297" t="s">
        <v>124</v>
      </c>
      <c r="MC232" s="297" t="s">
        <v>124</v>
      </c>
      <c r="MD232" s="297" t="s">
        <v>124</v>
      </c>
      <c r="ME232" s="297" t="s">
        <v>124</v>
      </c>
      <c r="MF232" s="297" t="s">
        <v>124</v>
      </c>
      <c r="MG232" s="297" t="s">
        <v>124</v>
      </c>
      <c r="MH232" s="297" t="s">
        <v>124</v>
      </c>
      <c r="MI232" s="297" t="s">
        <v>124</v>
      </c>
      <c r="MJ232" s="297" t="s">
        <v>124</v>
      </c>
      <c r="MK232" s="297" t="s">
        <v>124</v>
      </c>
      <c r="ML232" s="297" t="s">
        <v>124</v>
      </c>
      <c r="MM232" s="297" t="s">
        <v>124</v>
      </c>
      <c r="MN232" s="297" t="s">
        <v>124</v>
      </c>
      <c r="MO232" s="297" t="s">
        <v>124</v>
      </c>
      <c r="MP232" s="297" t="s">
        <v>124</v>
      </c>
      <c r="MQ232" s="297" t="s">
        <v>124</v>
      </c>
      <c r="MR232" s="297" t="s">
        <v>124</v>
      </c>
      <c r="MS232" s="297" t="s">
        <v>124</v>
      </c>
      <c r="MT232" s="297" t="s">
        <v>124</v>
      </c>
      <c r="MU232" s="297" t="s">
        <v>124</v>
      </c>
      <c r="MV232" s="297" t="s">
        <v>124</v>
      </c>
      <c r="MW232" s="297" t="s">
        <v>124</v>
      </c>
      <c r="MX232" s="297" t="s">
        <v>124</v>
      </c>
      <c r="MY232" s="297" t="s">
        <v>124</v>
      </c>
      <c r="MZ232" s="297" t="s">
        <v>124</v>
      </c>
      <c r="NA232" s="297" t="s">
        <v>124</v>
      </c>
      <c r="NB232" s="297" t="s">
        <v>124</v>
      </c>
      <c r="NC232" s="297" t="s">
        <v>124</v>
      </c>
      <c r="ND232" s="297" t="s">
        <v>124</v>
      </c>
      <c r="NE232" s="297" t="s">
        <v>124</v>
      </c>
      <c r="NF232" s="297" t="s">
        <v>124</v>
      </c>
      <c r="NG232" s="297" t="s">
        <v>124</v>
      </c>
      <c r="NH232" s="297" t="s">
        <v>124</v>
      </c>
      <c r="NI232" s="297" t="s">
        <v>124</v>
      </c>
      <c r="NJ232" s="297" t="s">
        <v>124</v>
      </c>
      <c r="NK232" s="297" t="s">
        <v>124</v>
      </c>
      <c r="NL232" s="297" t="s">
        <v>124</v>
      </c>
      <c r="NM232" s="297" t="s">
        <v>124</v>
      </c>
      <c r="NN232" s="297" t="s">
        <v>124</v>
      </c>
      <c r="NO232" s="297" t="s">
        <v>124</v>
      </c>
      <c r="NP232" s="297" t="s">
        <v>124</v>
      </c>
      <c r="NQ232" s="297" t="s">
        <v>124</v>
      </c>
      <c r="NR232" s="297" t="s">
        <v>124</v>
      </c>
      <c r="NS232" s="297" t="s">
        <v>124</v>
      </c>
      <c r="NT232" s="297" t="s">
        <v>124</v>
      </c>
      <c r="NU232" s="297" t="s">
        <v>124</v>
      </c>
      <c r="NV232" s="297" t="s">
        <v>124</v>
      </c>
      <c r="NW232" s="297" t="s">
        <v>124</v>
      </c>
      <c r="NX232" s="297" t="s">
        <v>124</v>
      </c>
      <c r="NY232" s="297" t="s">
        <v>124</v>
      </c>
      <c r="NZ232" s="297" t="s">
        <v>124</v>
      </c>
      <c r="OA232" s="297" t="s">
        <v>124</v>
      </c>
      <c r="OB232" s="297" t="s">
        <v>124</v>
      </c>
      <c r="OC232" s="297" t="s">
        <v>124</v>
      </c>
      <c r="OD232" s="297" t="s">
        <v>124</v>
      </c>
      <c r="OE232" s="297" t="s">
        <v>124</v>
      </c>
      <c r="OF232" s="297" t="s">
        <v>124</v>
      </c>
      <c r="OG232" s="297" t="s">
        <v>124</v>
      </c>
      <c r="OH232" s="297" t="s">
        <v>124</v>
      </c>
      <c r="OI232" s="297" t="s">
        <v>124</v>
      </c>
      <c r="OJ232" s="297" t="s">
        <v>124</v>
      </c>
      <c r="OK232" s="297" t="s">
        <v>124</v>
      </c>
      <c r="OL232" s="297" t="s">
        <v>124</v>
      </c>
      <c r="OM232" s="297" t="s">
        <v>124</v>
      </c>
      <c r="ON232" s="297" t="s">
        <v>124</v>
      </c>
      <c r="OO232" s="297" t="s">
        <v>124</v>
      </c>
      <c r="OP232" s="297" t="s">
        <v>124</v>
      </c>
      <c r="OQ232" s="297" t="s">
        <v>124</v>
      </c>
      <c r="OR232" s="297" t="s">
        <v>124</v>
      </c>
      <c r="OS232" s="297" t="s">
        <v>124</v>
      </c>
      <c r="OT232" s="297" t="s">
        <v>124</v>
      </c>
      <c r="OU232" s="297" t="s">
        <v>124</v>
      </c>
      <c r="OV232" s="297" t="s">
        <v>124</v>
      </c>
      <c r="OW232" s="297" t="s">
        <v>124</v>
      </c>
      <c r="OX232" s="297" t="s">
        <v>124</v>
      </c>
      <c r="OY232" s="297" t="s">
        <v>124</v>
      </c>
      <c r="OZ232" s="297" t="s">
        <v>124</v>
      </c>
      <c r="PA232" s="297" t="s">
        <v>124</v>
      </c>
      <c r="PB232" s="297" t="s">
        <v>124</v>
      </c>
      <c r="PC232" s="297" t="s">
        <v>124</v>
      </c>
      <c r="PD232" s="297" t="s">
        <v>124</v>
      </c>
      <c r="PE232" s="297" t="s">
        <v>124</v>
      </c>
      <c r="PF232" s="297" t="s">
        <v>124</v>
      </c>
      <c r="PG232" s="297" t="s">
        <v>124</v>
      </c>
      <c r="PH232" s="297" t="s">
        <v>124</v>
      </c>
      <c r="PI232" s="297" t="s">
        <v>124</v>
      </c>
      <c r="PJ232" s="297" t="s">
        <v>124</v>
      </c>
      <c r="PK232" s="297" t="s">
        <v>124</v>
      </c>
      <c r="PL232" s="297" t="s">
        <v>124</v>
      </c>
      <c r="PM232" s="297" t="s">
        <v>124</v>
      </c>
      <c r="PN232" s="297" t="s">
        <v>124</v>
      </c>
      <c r="PO232" s="297" t="s">
        <v>124</v>
      </c>
      <c r="PP232" s="297" t="s">
        <v>124</v>
      </c>
      <c r="PQ232" s="297" t="s">
        <v>124</v>
      </c>
      <c r="PR232" s="297" t="s">
        <v>124</v>
      </c>
      <c r="PS232" s="297" t="s">
        <v>124</v>
      </c>
      <c r="PT232" s="297" t="s">
        <v>124</v>
      </c>
      <c r="PU232" s="297" t="s">
        <v>124</v>
      </c>
      <c r="PV232" s="297" t="s">
        <v>124</v>
      </c>
      <c r="PW232" s="297" t="s">
        <v>124</v>
      </c>
      <c r="PX232" s="297" t="s">
        <v>124</v>
      </c>
      <c r="PY232" s="297" t="s">
        <v>124</v>
      </c>
      <c r="PZ232" s="297" t="s">
        <v>124</v>
      </c>
      <c r="QA232" s="297" t="s">
        <v>124</v>
      </c>
      <c r="QB232" s="297" t="s">
        <v>124</v>
      </c>
      <c r="QC232" s="297" t="s">
        <v>124</v>
      </c>
      <c r="QD232" s="297" t="s">
        <v>124</v>
      </c>
      <c r="QE232" s="297" t="s">
        <v>124</v>
      </c>
      <c r="QF232" s="297" t="s">
        <v>124</v>
      </c>
      <c r="QG232" s="297" t="s">
        <v>124</v>
      </c>
      <c r="QH232" s="297" t="s">
        <v>124</v>
      </c>
      <c r="QI232" s="297" t="s">
        <v>124</v>
      </c>
      <c r="QJ232" s="297" t="s">
        <v>124</v>
      </c>
      <c r="QK232" s="297" t="s">
        <v>124</v>
      </c>
      <c r="QL232" s="297" t="s">
        <v>124</v>
      </c>
      <c r="QM232" s="297" t="s">
        <v>124</v>
      </c>
      <c r="QN232" s="297" t="s">
        <v>124</v>
      </c>
      <c r="QO232" s="297" t="s">
        <v>124</v>
      </c>
      <c r="QP232" s="297" t="s">
        <v>124</v>
      </c>
      <c r="QQ232" s="297" t="s">
        <v>124</v>
      </c>
      <c r="QR232" s="297" t="s">
        <v>124</v>
      </c>
      <c r="QS232" s="297" t="s">
        <v>124</v>
      </c>
      <c r="QT232" s="297" t="s">
        <v>124</v>
      </c>
      <c r="QU232" s="297" t="s">
        <v>124</v>
      </c>
      <c r="QV232" s="297" t="s">
        <v>124</v>
      </c>
      <c r="QW232" s="297" t="s">
        <v>124</v>
      </c>
      <c r="QX232" s="297" t="s">
        <v>124</v>
      </c>
      <c r="QY232" s="297" t="s">
        <v>124</v>
      </c>
      <c r="QZ232" s="297" t="s">
        <v>124</v>
      </c>
      <c r="RA232" s="297" t="s">
        <v>124</v>
      </c>
      <c r="RB232" s="297" t="s">
        <v>124</v>
      </c>
      <c r="RC232" s="297" t="s">
        <v>124</v>
      </c>
      <c r="RD232" s="297" t="s">
        <v>124</v>
      </c>
      <c r="RE232" s="297" t="s">
        <v>124</v>
      </c>
      <c r="RF232" s="297" t="s">
        <v>124</v>
      </c>
      <c r="RG232" s="297" t="s">
        <v>124</v>
      </c>
      <c r="RH232" s="297" t="s">
        <v>124</v>
      </c>
      <c r="RI232" s="297" t="s">
        <v>124</v>
      </c>
      <c r="RJ232" s="297" t="s">
        <v>124</v>
      </c>
      <c r="RK232" s="297" t="s">
        <v>124</v>
      </c>
      <c r="RL232" s="297" t="s">
        <v>124</v>
      </c>
      <c r="RM232" s="297" t="s">
        <v>124</v>
      </c>
      <c r="RN232" s="297" t="s">
        <v>124</v>
      </c>
      <c r="RO232" s="297" t="s">
        <v>124</v>
      </c>
      <c r="RP232" s="297" t="s">
        <v>124</v>
      </c>
      <c r="RQ232" s="297" t="s">
        <v>124</v>
      </c>
      <c r="RR232" s="297" t="s">
        <v>124</v>
      </c>
      <c r="RS232" s="297" t="s">
        <v>124</v>
      </c>
      <c r="RT232" s="297" t="s">
        <v>124</v>
      </c>
      <c r="RU232" s="297" t="s">
        <v>124</v>
      </c>
      <c r="RV232" s="297" t="s">
        <v>124</v>
      </c>
      <c r="RW232" s="297" t="s">
        <v>124</v>
      </c>
      <c r="RX232" s="297" t="s">
        <v>124</v>
      </c>
      <c r="RY232" s="297" t="s">
        <v>124</v>
      </c>
      <c r="RZ232" s="297" t="s">
        <v>124</v>
      </c>
      <c r="SA232" s="297" t="s">
        <v>124</v>
      </c>
      <c r="SB232" s="297" t="s">
        <v>124</v>
      </c>
      <c r="SC232" s="297" t="s">
        <v>124</v>
      </c>
      <c r="SD232" s="297" t="s">
        <v>124</v>
      </c>
      <c r="SE232" s="297" t="s">
        <v>124</v>
      </c>
      <c r="SF232" s="297" t="s">
        <v>124</v>
      </c>
      <c r="SG232" s="297" t="s">
        <v>124</v>
      </c>
      <c r="SH232" s="297" t="s">
        <v>124</v>
      </c>
      <c r="SI232" s="297" t="s">
        <v>124</v>
      </c>
      <c r="SJ232" s="297" t="s">
        <v>124</v>
      </c>
      <c r="SK232" s="297" t="s">
        <v>124</v>
      </c>
      <c r="SL232" s="297" t="s">
        <v>124</v>
      </c>
      <c r="SM232" s="297" t="s">
        <v>124</v>
      </c>
      <c r="SN232" s="297" t="s">
        <v>124</v>
      </c>
      <c r="SO232" s="297" t="s">
        <v>124</v>
      </c>
      <c r="SP232" s="297" t="s">
        <v>124</v>
      </c>
      <c r="SQ232" s="297" t="s">
        <v>124</v>
      </c>
      <c r="SR232" s="297" t="s">
        <v>124</v>
      </c>
      <c r="SS232" s="297" t="s">
        <v>124</v>
      </c>
      <c r="ST232" s="297" t="s">
        <v>124</v>
      </c>
      <c r="SU232" s="297" t="s">
        <v>124</v>
      </c>
      <c r="SV232" s="297" t="s">
        <v>124</v>
      </c>
      <c r="SW232" s="297" t="s">
        <v>124</v>
      </c>
      <c r="SX232" s="297" t="s">
        <v>124</v>
      </c>
      <c r="SY232" s="297" t="s">
        <v>124</v>
      </c>
      <c r="SZ232" s="297" t="s">
        <v>124</v>
      </c>
      <c r="TA232" s="297" t="s">
        <v>124</v>
      </c>
      <c r="TB232" s="297" t="s">
        <v>124</v>
      </c>
      <c r="TC232" s="297" t="s">
        <v>124</v>
      </c>
      <c r="TD232" s="297" t="s">
        <v>124</v>
      </c>
      <c r="TE232" s="297" t="s">
        <v>124</v>
      </c>
      <c r="TF232" s="297" t="s">
        <v>124</v>
      </c>
      <c r="TG232" s="297" t="s">
        <v>124</v>
      </c>
      <c r="TH232" s="297" t="s">
        <v>124</v>
      </c>
      <c r="TI232" s="297" t="s">
        <v>124</v>
      </c>
      <c r="TJ232" s="297" t="s">
        <v>124</v>
      </c>
      <c r="TK232" s="297" t="s">
        <v>124</v>
      </c>
      <c r="TL232" s="297" t="s">
        <v>124</v>
      </c>
      <c r="TM232" s="297" t="s">
        <v>124</v>
      </c>
      <c r="TN232" s="297" t="s">
        <v>124</v>
      </c>
      <c r="TO232" s="297" t="s">
        <v>124</v>
      </c>
      <c r="TP232" s="297" t="s">
        <v>124</v>
      </c>
      <c r="TQ232" s="297" t="s">
        <v>124</v>
      </c>
      <c r="TR232" s="297" t="s">
        <v>124</v>
      </c>
      <c r="TS232" s="297" t="s">
        <v>124</v>
      </c>
      <c r="TT232" s="297" t="s">
        <v>124</v>
      </c>
      <c r="TU232" s="297" t="s">
        <v>124</v>
      </c>
      <c r="TV232" s="297" t="s">
        <v>124</v>
      </c>
      <c r="TW232" s="297" t="s">
        <v>124</v>
      </c>
      <c r="TX232" s="297" t="s">
        <v>124</v>
      </c>
      <c r="TY232" s="297" t="s">
        <v>124</v>
      </c>
      <c r="TZ232" s="297" t="s">
        <v>124</v>
      </c>
      <c r="UA232" s="297" t="s">
        <v>124</v>
      </c>
      <c r="UB232" s="297" t="s">
        <v>124</v>
      </c>
      <c r="UC232" s="297" t="s">
        <v>124</v>
      </c>
      <c r="UD232" s="297" t="s">
        <v>124</v>
      </c>
      <c r="UE232" s="297" t="s">
        <v>124</v>
      </c>
      <c r="UF232" s="297" t="s">
        <v>124</v>
      </c>
      <c r="UG232" s="297" t="s">
        <v>124</v>
      </c>
      <c r="UH232" s="297" t="s">
        <v>124</v>
      </c>
      <c r="UI232" s="297" t="s">
        <v>124</v>
      </c>
      <c r="UJ232" s="297" t="s">
        <v>124</v>
      </c>
      <c r="UK232" s="297" t="s">
        <v>124</v>
      </c>
      <c r="UL232" s="297" t="s">
        <v>124</v>
      </c>
      <c r="UM232" s="297" t="s">
        <v>124</v>
      </c>
      <c r="UN232" s="297" t="s">
        <v>124</v>
      </c>
      <c r="UO232" s="297" t="s">
        <v>124</v>
      </c>
      <c r="UP232" s="297" t="s">
        <v>124</v>
      </c>
      <c r="UQ232" s="297" t="s">
        <v>124</v>
      </c>
      <c r="UR232" s="297" t="s">
        <v>124</v>
      </c>
      <c r="US232" s="297" t="s">
        <v>124</v>
      </c>
      <c r="UT232" s="297" t="s">
        <v>124</v>
      </c>
      <c r="UU232" s="297" t="s">
        <v>124</v>
      </c>
      <c r="UV232" s="297" t="s">
        <v>124</v>
      </c>
      <c r="UW232" s="297" t="s">
        <v>124</v>
      </c>
      <c r="UX232" s="297" t="s">
        <v>124</v>
      </c>
      <c r="UY232" s="297" t="s">
        <v>124</v>
      </c>
      <c r="UZ232" s="297" t="s">
        <v>124</v>
      </c>
      <c r="VA232" s="297" t="s">
        <v>124</v>
      </c>
      <c r="VB232" s="297" t="s">
        <v>124</v>
      </c>
      <c r="VC232" s="297" t="s">
        <v>124</v>
      </c>
      <c r="VD232" s="297" t="s">
        <v>124</v>
      </c>
      <c r="VE232" s="297" t="s">
        <v>124</v>
      </c>
      <c r="VF232" s="297" t="s">
        <v>124</v>
      </c>
      <c r="VG232" s="297" t="s">
        <v>124</v>
      </c>
      <c r="VH232" s="297" t="s">
        <v>124</v>
      </c>
      <c r="VI232" s="297" t="s">
        <v>124</v>
      </c>
      <c r="VJ232" s="297" t="s">
        <v>124</v>
      </c>
      <c r="VK232" s="297" t="s">
        <v>124</v>
      </c>
      <c r="VL232" s="297" t="s">
        <v>124</v>
      </c>
      <c r="VM232" s="297" t="s">
        <v>124</v>
      </c>
      <c r="VN232" s="297" t="s">
        <v>124</v>
      </c>
      <c r="VO232" s="297" t="s">
        <v>124</v>
      </c>
      <c r="VP232" s="297" t="s">
        <v>124</v>
      </c>
      <c r="VQ232" s="297" t="s">
        <v>124</v>
      </c>
      <c r="VR232" s="297" t="s">
        <v>124</v>
      </c>
      <c r="VS232" s="297" t="s">
        <v>124</v>
      </c>
      <c r="VT232" s="297" t="s">
        <v>124</v>
      </c>
      <c r="VU232" s="297" t="s">
        <v>124</v>
      </c>
      <c r="VV232" s="297" t="s">
        <v>124</v>
      </c>
      <c r="VW232" s="297" t="s">
        <v>124</v>
      </c>
      <c r="VX232" s="297" t="s">
        <v>124</v>
      </c>
      <c r="VY232" s="297" t="s">
        <v>124</v>
      </c>
      <c r="VZ232" s="297" t="s">
        <v>124</v>
      </c>
      <c r="WA232" s="297" t="s">
        <v>124</v>
      </c>
      <c r="WB232" s="297" t="s">
        <v>124</v>
      </c>
      <c r="WC232" s="297" t="s">
        <v>124</v>
      </c>
      <c r="WD232" s="297" t="s">
        <v>124</v>
      </c>
      <c r="WE232" s="297" t="s">
        <v>124</v>
      </c>
      <c r="WF232" s="297" t="s">
        <v>124</v>
      </c>
      <c r="WG232" s="297" t="s">
        <v>124</v>
      </c>
      <c r="WH232" s="297" t="s">
        <v>124</v>
      </c>
      <c r="WI232" s="297" t="s">
        <v>124</v>
      </c>
      <c r="WJ232" s="297" t="s">
        <v>124</v>
      </c>
      <c r="WK232" s="297" t="s">
        <v>124</v>
      </c>
      <c r="WL232" s="297" t="s">
        <v>124</v>
      </c>
      <c r="WM232" s="297" t="s">
        <v>124</v>
      </c>
      <c r="WN232" s="297" t="s">
        <v>124</v>
      </c>
      <c r="WO232" s="297" t="s">
        <v>124</v>
      </c>
      <c r="WP232" s="297" t="s">
        <v>124</v>
      </c>
      <c r="WQ232" s="297" t="s">
        <v>124</v>
      </c>
      <c r="WR232" s="297" t="s">
        <v>124</v>
      </c>
      <c r="WS232" s="297" t="s">
        <v>124</v>
      </c>
      <c r="WT232" s="297" t="s">
        <v>124</v>
      </c>
      <c r="WU232" s="297" t="s">
        <v>124</v>
      </c>
      <c r="WV232" s="297" t="s">
        <v>124</v>
      </c>
      <c r="WW232" s="297" t="s">
        <v>124</v>
      </c>
      <c r="WX232" s="297" t="s">
        <v>124</v>
      </c>
      <c r="WY232" s="297" t="s">
        <v>124</v>
      </c>
      <c r="WZ232" s="297" t="s">
        <v>124</v>
      </c>
      <c r="XA232" s="297" t="s">
        <v>124</v>
      </c>
      <c r="XB232" s="297" t="s">
        <v>124</v>
      </c>
      <c r="XC232" s="297" t="s">
        <v>124</v>
      </c>
      <c r="XD232" s="297" t="s">
        <v>124</v>
      </c>
      <c r="XE232" s="297" t="s">
        <v>124</v>
      </c>
      <c r="XF232" s="297" t="s">
        <v>124</v>
      </c>
      <c r="XG232" s="297" t="s">
        <v>124</v>
      </c>
      <c r="XH232" s="297" t="s">
        <v>124</v>
      </c>
      <c r="XI232" s="297" t="s">
        <v>124</v>
      </c>
      <c r="XJ232" s="297" t="s">
        <v>124</v>
      </c>
      <c r="XK232" s="297" t="s">
        <v>124</v>
      </c>
      <c r="XL232" s="297" t="s">
        <v>124</v>
      </c>
      <c r="XM232" s="297" t="s">
        <v>124</v>
      </c>
      <c r="XN232" s="297" t="s">
        <v>124</v>
      </c>
      <c r="XO232" s="297" t="s">
        <v>124</v>
      </c>
      <c r="XP232" s="297" t="s">
        <v>124</v>
      </c>
      <c r="XQ232" s="297" t="s">
        <v>124</v>
      </c>
      <c r="XR232" s="297" t="s">
        <v>124</v>
      </c>
      <c r="XS232" s="297" t="s">
        <v>124</v>
      </c>
      <c r="XT232" s="297" t="s">
        <v>124</v>
      </c>
      <c r="XU232" s="297" t="s">
        <v>124</v>
      </c>
      <c r="XV232" s="297" t="s">
        <v>124</v>
      </c>
      <c r="XW232" s="297" t="s">
        <v>124</v>
      </c>
      <c r="XX232" s="297" t="s">
        <v>124</v>
      </c>
      <c r="XY232" s="297" t="s">
        <v>124</v>
      </c>
      <c r="XZ232" s="297" t="s">
        <v>124</v>
      </c>
      <c r="YA232" s="297" t="s">
        <v>124</v>
      </c>
      <c r="YB232" s="297" t="s">
        <v>124</v>
      </c>
      <c r="YC232" s="297" t="s">
        <v>124</v>
      </c>
      <c r="YD232" s="297" t="s">
        <v>124</v>
      </c>
      <c r="YE232" s="297" t="s">
        <v>124</v>
      </c>
      <c r="YF232" s="297" t="s">
        <v>124</v>
      </c>
      <c r="YG232" s="297" t="s">
        <v>124</v>
      </c>
      <c r="YH232" s="297" t="s">
        <v>124</v>
      </c>
      <c r="YI232" s="297" t="s">
        <v>124</v>
      </c>
      <c r="YJ232" s="297" t="s">
        <v>124</v>
      </c>
      <c r="YK232" s="297" t="s">
        <v>124</v>
      </c>
      <c r="YL232" s="297" t="s">
        <v>124</v>
      </c>
      <c r="YM232" s="297" t="s">
        <v>124</v>
      </c>
      <c r="YN232" s="297" t="s">
        <v>124</v>
      </c>
      <c r="YO232" s="297" t="s">
        <v>124</v>
      </c>
      <c r="YP232" s="297" t="s">
        <v>124</v>
      </c>
      <c r="YQ232" s="297" t="s">
        <v>124</v>
      </c>
      <c r="YR232" s="297" t="s">
        <v>124</v>
      </c>
      <c r="YS232" s="297" t="s">
        <v>124</v>
      </c>
      <c r="YT232" s="297" t="s">
        <v>124</v>
      </c>
      <c r="YU232" s="297" t="s">
        <v>124</v>
      </c>
      <c r="YV232" s="297" t="s">
        <v>124</v>
      </c>
      <c r="YW232" s="297" t="s">
        <v>124</v>
      </c>
      <c r="YX232" s="297" t="s">
        <v>124</v>
      </c>
      <c r="YY232" s="297" t="s">
        <v>124</v>
      </c>
      <c r="YZ232" s="297" t="s">
        <v>124</v>
      </c>
      <c r="ZA232" s="297" t="s">
        <v>124</v>
      </c>
      <c r="ZB232" s="297" t="s">
        <v>124</v>
      </c>
      <c r="ZC232" s="297" t="s">
        <v>124</v>
      </c>
      <c r="ZD232" s="297" t="s">
        <v>124</v>
      </c>
      <c r="ZE232" s="297" t="s">
        <v>124</v>
      </c>
      <c r="ZF232" s="297" t="s">
        <v>124</v>
      </c>
      <c r="ZG232" s="297" t="s">
        <v>124</v>
      </c>
      <c r="ZH232" s="297" t="s">
        <v>124</v>
      </c>
      <c r="ZI232" s="297" t="s">
        <v>124</v>
      </c>
      <c r="ZJ232" s="297" t="s">
        <v>124</v>
      </c>
      <c r="ZK232" s="297" t="s">
        <v>124</v>
      </c>
      <c r="ZL232" s="297" t="s">
        <v>124</v>
      </c>
      <c r="ZM232" s="297" t="s">
        <v>124</v>
      </c>
      <c r="ZN232" s="297" t="s">
        <v>124</v>
      </c>
      <c r="ZO232" s="297" t="s">
        <v>124</v>
      </c>
      <c r="ZP232" s="297" t="s">
        <v>124</v>
      </c>
      <c r="ZQ232" s="297" t="s">
        <v>124</v>
      </c>
      <c r="ZR232" s="297" t="s">
        <v>124</v>
      </c>
      <c r="ZS232" s="297" t="s">
        <v>124</v>
      </c>
      <c r="ZT232" s="297" t="s">
        <v>124</v>
      </c>
      <c r="ZU232" s="297" t="s">
        <v>124</v>
      </c>
      <c r="ZV232" s="297" t="s">
        <v>124</v>
      </c>
      <c r="ZW232" s="297" t="s">
        <v>124</v>
      </c>
      <c r="ZX232" s="297" t="s">
        <v>124</v>
      </c>
      <c r="ZY232" s="297" t="s">
        <v>124</v>
      </c>
      <c r="ZZ232" s="297" t="s">
        <v>124</v>
      </c>
      <c r="AAA232" s="297" t="s">
        <v>124</v>
      </c>
      <c r="AAB232" s="297" t="s">
        <v>124</v>
      </c>
      <c r="AAC232" s="297" t="s">
        <v>124</v>
      </c>
      <c r="AAD232" s="297" t="s">
        <v>124</v>
      </c>
      <c r="AAE232" s="297" t="s">
        <v>124</v>
      </c>
      <c r="AAF232" s="297" t="s">
        <v>124</v>
      </c>
      <c r="AAG232" s="297" t="s">
        <v>124</v>
      </c>
      <c r="AAH232" s="297" t="s">
        <v>124</v>
      </c>
      <c r="AAI232" s="297" t="s">
        <v>124</v>
      </c>
      <c r="AAJ232" s="297" t="s">
        <v>124</v>
      </c>
      <c r="AAK232" s="297" t="s">
        <v>124</v>
      </c>
      <c r="AAL232" s="297" t="s">
        <v>124</v>
      </c>
      <c r="AAM232" s="297" t="s">
        <v>124</v>
      </c>
      <c r="AAN232" s="297" t="s">
        <v>124</v>
      </c>
      <c r="AAO232" s="297" t="s">
        <v>124</v>
      </c>
      <c r="AAP232" s="297" t="s">
        <v>124</v>
      </c>
      <c r="AAQ232" s="297" t="s">
        <v>124</v>
      </c>
      <c r="AAR232" s="297" t="s">
        <v>124</v>
      </c>
      <c r="AAS232" s="297" t="s">
        <v>124</v>
      </c>
      <c r="AAT232" s="297" t="s">
        <v>124</v>
      </c>
      <c r="AAU232" s="297" t="s">
        <v>124</v>
      </c>
      <c r="AAV232" s="297" t="s">
        <v>124</v>
      </c>
      <c r="AAW232" s="297" t="s">
        <v>124</v>
      </c>
      <c r="AAX232" s="297" t="s">
        <v>124</v>
      </c>
      <c r="AAY232" s="297" t="s">
        <v>124</v>
      </c>
      <c r="AAZ232" s="297" t="s">
        <v>124</v>
      </c>
      <c r="ABA232" s="297" t="s">
        <v>124</v>
      </c>
      <c r="ABB232" s="297" t="s">
        <v>124</v>
      </c>
      <c r="ABC232" s="297" t="s">
        <v>124</v>
      </c>
      <c r="ABD232" s="297" t="s">
        <v>124</v>
      </c>
      <c r="ABE232" s="297" t="s">
        <v>124</v>
      </c>
      <c r="ABF232" s="297" t="s">
        <v>124</v>
      </c>
      <c r="ABG232" s="297" t="s">
        <v>124</v>
      </c>
      <c r="ABH232" s="297" t="s">
        <v>124</v>
      </c>
      <c r="ABI232" s="297" t="s">
        <v>124</v>
      </c>
      <c r="ABJ232" s="297" t="s">
        <v>124</v>
      </c>
      <c r="ABK232" s="297" t="s">
        <v>124</v>
      </c>
      <c r="ABL232" s="297" t="s">
        <v>124</v>
      </c>
      <c r="ABM232" s="297" t="s">
        <v>124</v>
      </c>
      <c r="ABN232" s="297" t="s">
        <v>124</v>
      </c>
      <c r="ABO232" s="297" t="s">
        <v>124</v>
      </c>
      <c r="ABP232" s="297" t="s">
        <v>124</v>
      </c>
      <c r="ABQ232" s="297" t="s">
        <v>124</v>
      </c>
      <c r="ABR232" s="297" t="s">
        <v>124</v>
      </c>
      <c r="ABS232" s="297" t="s">
        <v>124</v>
      </c>
      <c r="ABT232" s="297" t="s">
        <v>124</v>
      </c>
      <c r="ABU232" s="297" t="s">
        <v>124</v>
      </c>
      <c r="ABV232" s="297" t="s">
        <v>124</v>
      </c>
      <c r="ABW232" s="297" t="s">
        <v>124</v>
      </c>
      <c r="ABX232" s="297" t="s">
        <v>124</v>
      </c>
      <c r="ABY232" s="297" t="s">
        <v>124</v>
      </c>
      <c r="ABZ232" s="297" t="s">
        <v>124</v>
      </c>
      <c r="ACA232" s="297" t="s">
        <v>124</v>
      </c>
      <c r="ACB232" s="297" t="s">
        <v>124</v>
      </c>
      <c r="ACC232" s="297" t="s">
        <v>124</v>
      </c>
      <c r="ACD232" s="297" t="s">
        <v>124</v>
      </c>
      <c r="ACE232" s="297" t="s">
        <v>124</v>
      </c>
      <c r="ACF232" s="297" t="s">
        <v>124</v>
      </c>
      <c r="ACG232" s="297" t="s">
        <v>124</v>
      </c>
      <c r="ACH232" s="297" t="s">
        <v>124</v>
      </c>
      <c r="ACI232" s="297" t="s">
        <v>124</v>
      </c>
      <c r="ACJ232" s="297" t="s">
        <v>124</v>
      </c>
      <c r="ACK232" s="297" t="s">
        <v>124</v>
      </c>
      <c r="ACL232" s="297" t="s">
        <v>124</v>
      </c>
      <c r="ACM232" s="297" t="s">
        <v>124</v>
      </c>
      <c r="ACN232" s="297" t="s">
        <v>124</v>
      </c>
      <c r="ACO232" s="297" t="s">
        <v>124</v>
      </c>
      <c r="ACP232" s="297" t="s">
        <v>124</v>
      </c>
      <c r="ACQ232" s="297" t="s">
        <v>124</v>
      </c>
      <c r="ACR232" s="297" t="s">
        <v>124</v>
      </c>
      <c r="ACS232" s="297" t="s">
        <v>124</v>
      </c>
      <c r="ACT232" s="297" t="s">
        <v>124</v>
      </c>
      <c r="ACU232" s="297" t="s">
        <v>124</v>
      </c>
      <c r="ACV232" s="297" t="s">
        <v>124</v>
      </c>
      <c r="ACW232" s="297" t="s">
        <v>124</v>
      </c>
      <c r="ACX232" s="297" t="s">
        <v>124</v>
      </c>
      <c r="ACY232" s="297" t="s">
        <v>124</v>
      </c>
      <c r="ACZ232" s="297" t="s">
        <v>124</v>
      </c>
      <c r="ADA232" s="297" t="s">
        <v>124</v>
      </c>
      <c r="ADB232" s="297" t="s">
        <v>124</v>
      </c>
      <c r="ADC232" s="297" t="s">
        <v>124</v>
      </c>
      <c r="ADD232" s="297" t="s">
        <v>124</v>
      </c>
      <c r="ADE232" s="297" t="s">
        <v>124</v>
      </c>
      <c r="ADF232" s="297" t="s">
        <v>124</v>
      </c>
      <c r="ADG232" s="297" t="s">
        <v>124</v>
      </c>
      <c r="ADH232" s="297" t="s">
        <v>124</v>
      </c>
      <c r="ADI232" s="297" t="s">
        <v>124</v>
      </c>
      <c r="ADJ232" s="297" t="s">
        <v>124</v>
      </c>
      <c r="ADK232" s="297" t="s">
        <v>124</v>
      </c>
      <c r="ADL232" s="297" t="s">
        <v>124</v>
      </c>
      <c r="ADM232" s="297" t="s">
        <v>124</v>
      </c>
      <c r="ADN232" s="297" t="s">
        <v>124</v>
      </c>
      <c r="ADO232" s="297" t="s">
        <v>124</v>
      </c>
      <c r="ADP232" s="297" t="s">
        <v>124</v>
      </c>
      <c r="ADQ232" s="297" t="s">
        <v>124</v>
      </c>
      <c r="ADR232" s="297" t="s">
        <v>124</v>
      </c>
      <c r="ADS232" s="297" t="s">
        <v>124</v>
      </c>
      <c r="ADT232" s="297" t="s">
        <v>124</v>
      </c>
      <c r="ADU232" s="297" t="s">
        <v>124</v>
      </c>
      <c r="ADV232" s="297" t="s">
        <v>124</v>
      </c>
      <c r="ADW232" s="297" t="s">
        <v>124</v>
      </c>
      <c r="ADX232" s="297" t="s">
        <v>124</v>
      </c>
      <c r="ADY232" s="297" t="s">
        <v>124</v>
      </c>
      <c r="ADZ232" s="297" t="s">
        <v>124</v>
      </c>
      <c r="AEA232" s="297" t="s">
        <v>124</v>
      </c>
      <c r="AEB232" s="297" t="s">
        <v>124</v>
      </c>
      <c r="AEC232" s="297" t="s">
        <v>124</v>
      </c>
      <c r="AED232" s="297" t="s">
        <v>124</v>
      </c>
      <c r="AEE232" s="297" t="s">
        <v>124</v>
      </c>
      <c r="AEF232" s="297" t="s">
        <v>124</v>
      </c>
      <c r="AEG232" s="297" t="s">
        <v>124</v>
      </c>
      <c r="AEH232" s="297" t="s">
        <v>124</v>
      </c>
      <c r="AEI232" s="297" t="s">
        <v>124</v>
      </c>
      <c r="AEJ232" s="297" t="s">
        <v>124</v>
      </c>
      <c r="AEK232" s="297" t="s">
        <v>124</v>
      </c>
      <c r="AEL232" s="297" t="s">
        <v>124</v>
      </c>
      <c r="AEM232" s="297" t="s">
        <v>124</v>
      </c>
      <c r="AEN232" s="297" t="s">
        <v>124</v>
      </c>
      <c r="AEO232" s="297" t="s">
        <v>124</v>
      </c>
      <c r="AEP232" s="297" t="s">
        <v>124</v>
      </c>
      <c r="AEQ232" s="297" t="s">
        <v>124</v>
      </c>
      <c r="AER232" s="297" t="s">
        <v>124</v>
      </c>
      <c r="AES232" s="297" t="s">
        <v>124</v>
      </c>
      <c r="AET232" s="297" t="s">
        <v>124</v>
      </c>
      <c r="AEU232" s="297" t="s">
        <v>124</v>
      </c>
      <c r="AEV232" s="297" t="s">
        <v>124</v>
      </c>
      <c r="AEW232" s="297" t="s">
        <v>124</v>
      </c>
      <c r="AEX232" s="297" t="s">
        <v>124</v>
      </c>
      <c r="AEY232" s="297" t="s">
        <v>124</v>
      </c>
      <c r="AEZ232" s="297" t="s">
        <v>124</v>
      </c>
      <c r="AFA232" s="297" t="s">
        <v>124</v>
      </c>
      <c r="AFB232" s="297" t="s">
        <v>124</v>
      </c>
      <c r="AFC232" s="297" t="s">
        <v>124</v>
      </c>
      <c r="AFD232" s="297" t="s">
        <v>124</v>
      </c>
      <c r="AFE232" s="297" t="s">
        <v>124</v>
      </c>
      <c r="AFF232" s="297" t="s">
        <v>124</v>
      </c>
      <c r="AFG232" s="297" t="s">
        <v>124</v>
      </c>
      <c r="AFH232" s="297" t="s">
        <v>124</v>
      </c>
      <c r="AFI232" s="297" t="s">
        <v>124</v>
      </c>
      <c r="AFJ232" s="297" t="s">
        <v>124</v>
      </c>
      <c r="AFK232" s="297" t="s">
        <v>124</v>
      </c>
      <c r="AFL232" s="297" t="s">
        <v>124</v>
      </c>
      <c r="AFM232" s="297" t="s">
        <v>124</v>
      </c>
      <c r="AFN232" s="297" t="s">
        <v>124</v>
      </c>
      <c r="AFO232" s="297" t="s">
        <v>124</v>
      </c>
      <c r="AFP232" s="297" t="s">
        <v>124</v>
      </c>
      <c r="AFQ232" s="297" t="s">
        <v>124</v>
      </c>
      <c r="AFR232" s="297" t="s">
        <v>124</v>
      </c>
      <c r="AFS232" s="297" t="s">
        <v>124</v>
      </c>
      <c r="AFT232" s="297" t="s">
        <v>124</v>
      </c>
      <c r="AFU232" s="297" t="s">
        <v>124</v>
      </c>
      <c r="AFV232" s="297" t="s">
        <v>124</v>
      </c>
      <c r="AFW232" s="297" t="s">
        <v>124</v>
      </c>
      <c r="AFX232" s="297" t="s">
        <v>124</v>
      </c>
      <c r="AFY232" s="297" t="s">
        <v>124</v>
      </c>
      <c r="AFZ232" s="297" t="s">
        <v>124</v>
      </c>
      <c r="AGA232" s="297" t="s">
        <v>124</v>
      </c>
      <c r="AGB232" s="297" t="s">
        <v>124</v>
      </c>
      <c r="AGC232" s="297" t="s">
        <v>124</v>
      </c>
      <c r="AGD232" s="297" t="s">
        <v>124</v>
      </c>
      <c r="AGE232" s="297" t="s">
        <v>124</v>
      </c>
      <c r="AGF232" s="297" t="s">
        <v>124</v>
      </c>
      <c r="AGG232" s="297" t="s">
        <v>124</v>
      </c>
      <c r="AGH232" s="297" t="s">
        <v>124</v>
      </c>
      <c r="AGI232" s="297" t="s">
        <v>124</v>
      </c>
      <c r="AGJ232" s="297" t="s">
        <v>124</v>
      </c>
      <c r="AGK232" s="297" t="s">
        <v>124</v>
      </c>
      <c r="AGL232" s="297" t="s">
        <v>124</v>
      </c>
      <c r="AGM232" s="297" t="s">
        <v>124</v>
      </c>
      <c r="AGN232" s="297" t="s">
        <v>124</v>
      </c>
      <c r="AGO232" s="297" t="s">
        <v>124</v>
      </c>
      <c r="AGP232" s="297" t="s">
        <v>124</v>
      </c>
      <c r="AGQ232" s="297" t="s">
        <v>124</v>
      </c>
      <c r="AGR232" s="297" t="s">
        <v>124</v>
      </c>
      <c r="AGS232" s="297" t="s">
        <v>124</v>
      </c>
      <c r="AGT232" s="297" t="s">
        <v>124</v>
      </c>
      <c r="AGU232" s="297" t="s">
        <v>124</v>
      </c>
      <c r="AGV232" s="297" t="s">
        <v>124</v>
      </c>
      <c r="AGW232" s="297" t="s">
        <v>124</v>
      </c>
      <c r="AGX232" s="297" t="s">
        <v>124</v>
      </c>
      <c r="AGY232" s="297" t="s">
        <v>124</v>
      </c>
      <c r="AGZ232" s="297" t="s">
        <v>124</v>
      </c>
      <c r="AHA232" s="297" t="s">
        <v>124</v>
      </c>
      <c r="AHB232" s="297" t="s">
        <v>124</v>
      </c>
      <c r="AHC232" s="297" t="s">
        <v>124</v>
      </c>
      <c r="AHD232" s="297" t="s">
        <v>124</v>
      </c>
      <c r="AHE232" s="297" t="s">
        <v>124</v>
      </c>
      <c r="AHF232" s="297" t="s">
        <v>124</v>
      </c>
      <c r="AHG232" s="297" t="s">
        <v>124</v>
      </c>
      <c r="AHH232" s="297" t="s">
        <v>124</v>
      </c>
      <c r="AHI232" s="297" t="s">
        <v>124</v>
      </c>
      <c r="AHJ232" s="297" t="s">
        <v>124</v>
      </c>
      <c r="AHK232" s="297" t="s">
        <v>124</v>
      </c>
      <c r="AHL232" s="297" t="s">
        <v>124</v>
      </c>
      <c r="AHM232" s="297" t="s">
        <v>124</v>
      </c>
      <c r="AHN232" s="297" t="s">
        <v>124</v>
      </c>
      <c r="AHO232" s="297" t="s">
        <v>124</v>
      </c>
      <c r="AHP232" s="297" t="s">
        <v>124</v>
      </c>
      <c r="AHQ232" s="297" t="s">
        <v>124</v>
      </c>
      <c r="AHR232" s="297" t="s">
        <v>124</v>
      </c>
      <c r="AHS232" s="297" t="s">
        <v>124</v>
      </c>
      <c r="AHT232" s="297" t="s">
        <v>124</v>
      </c>
      <c r="AHU232" s="297" t="s">
        <v>124</v>
      </c>
      <c r="AHV232" s="297" t="s">
        <v>124</v>
      </c>
      <c r="AHW232" s="297" t="s">
        <v>124</v>
      </c>
      <c r="AHX232" s="297" t="s">
        <v>124</v>
      </c>
      <c r="AHY232" s="297" t="s">
        <v>124</v>
      </c>
      <c r="AHZ232" s="297" t="s">
        <v>124</v>
      </c>
      <c r="AIA232" s="297" t="s">
        <v>124</v>
      </c>
      <c r="AIB232" s="297" t="s">
        <v>124</v>
      </c>
      <c r="AIC232" s="297" t="s">
        <v>124</v>
      </c>
      <c r="AID232" s="297" t="s">
        <v>124</v>
      </c>
      <c r="AIE232" s="297" t="s">
        <v>124</v>
      </c>
      <c r="AIF232" s="297" t="s">
        <v>124</v>
      </c>
      <c r="AIG232" s="297" t="s">
        <v>124</v>
      </c>
      <c r="AIH232" s="297" t="s">
        <v>124</v>
      </c>
      <c r="AII232" s="297" t="s">
        <v>124</v>
      </c>
      <c r="AIJ232" s="297" t="s">
        <v>124</v>
      </c>
      <c r="AIK232" s="297" t="s">
        <v>124</v>
      </c>
      <c r="AIL232" s="297" t="s">
        <v>124</v>
      </c>
      <c r="AIM232" s="297" t="s">
        <v>124</v>
      </c>
      <c r="AIN232" s="297" t="s">
        <v>124</v>
      </c>
      <c r="AIO232" s="297" t="s">
        <v>124</v>
      </c>
      <c r="AIP232" s="297" t="s">
        <v>124</v>
      </c>
      <c r="AIQ232" s="297" t="s">
        <v>124</v>
      </c>
      <c r="AIR232" s="297" t="s">
        <v>124</v>
      </c>
      <c r="AIS232" s="297" t="s">
        <v>124</v>
      </c>
      <c r="AIT232" s="297" t="s">
        <v>124</v>
      </c>
      <c r="AIU232" s="297" t="s">
        <v>124</v>
      </c>
      <c r="AIV232" s="297" t="s">
        <v>124</v>
      </c>
      <c r="AIW232" s="297" t="s">
        <v>124</v>
      </c>
      <c r="AIX232" s="297" t="s">
        <v>124</v>
      </c>
      <c r="AIY232" s="297" t="s">
        <v>124</v>
      </c>
      <c r="AIZ232" s="297" t="s">
        <v>124</v>
      </c>
      <c r="AJA232" s="297" t="s">
        <v>124</v>
      </c>
      <c r="AJB232" s="297" t="s">
        <v>124</v>
      </c>
      <c r="AJC232" s="297" t="s">
        <v>124</v>
      </c>
      <c r="AJD232" s="297" t="s">
        <v>124</v>
      </c>
      <c r="AJE232" s="297" t="s">
        <v>124</v>
      </c>
      <c r="AJF232" s="297" t="s">
        <v>124</v>
      </c>
      <c r="AJG232" s="297" t="s">
        <v>124</v>
      </c>
      <c r="AJH232" s="297" t="s">
        <v>124</v>
      </c>
      <c r="AJI232" s="297" t="s">
        <v>124</v>
      </c>
      <c r="AJJ232" s="297" t="s">
        <v>124</v>
      </c>
      <c r="AJK232" s="297" t="s">
        <v>124</v>
      </c>
      <c r="AJL232" s="297" t="s">
        <v>124</v>
      </c>
      <c r="AJM232" s="297" t="s">
        <v>124</v>
      </c>
      <c r="AJN232" s="297" t="s">
        <v>124</v>
      </c>
      <c r="AJO232" s="297" t="s">
        <v>124</v>
      </c>
      <c r="AJP232" s="297" t="s">
        <v>124</v>
      </c>
      <c r="AJQ232" s="297" t="s">
        <v>124</v>
      </c>
      <c r="AJR232" s="297" t="s">
        <v>124</v>
      </c>
      <c r="AJS232" s="297" t="s">
        <v>124</v>
      </c>
      <c r="AJT232" s="297" t="s">
        <v>124</v>
      </c>
      <c r="AJU232" s="297" t="s">
        <v>124</v>
      </c>
      <c r="AJV232" s="297" t="s">
        <v>124</v>
      </c>
      <c r="AJW232" s="297" t="s">
        <v>124</v>
      </c>
      <c r="AJX232" s="297" t="s">
        <v>124</v>
      </c>
      <c r="AJY232" s="297" t="s">
        <v>124</v>
      </c>
      <c r="AJZ232" s="297" t="s">
        <v>124</v>
      </c>
      <c r="AKA232" s="297" t="s">
        <v>124</v>
      </c>
      <c r="AKB232" s="297" t="s">
        <v>124</v>
      </c>
      <c r="AKC232" s="297" t="s">
        <v>124</v>
      </c>
      <c r="AKD232" s="297" t="s">
        <v>124</v>
      </c>
      <c r="AKE232" s="297" t="s">
        <v>124</v>
      </c>
      <c r="AKF232" s="297" t="s">
        <v>124</v>
      </c>
      <c r="AKG232" s="297" t="s">
        <v>124</v>
      </c>
      <c r="AKH232" s="297" t="s">
        <v>124</v>
      </c>
      <c r="AKI232" s="297" t="s">
        <v>124</v>
      </c>
      <c r="AKJ232" s="297" t="s">
        <v>124</v>
      </c>
      <c r="AKK232" s="297" t="s">
        <v>124</v>
      </c>
      <c r="AKL232" s="297" t="s">
        <v>124</v>
      </c>
      <c r="AKM232" s="297" t="s">
        <v>124</v>
      </c>
      <c r="AKN232" s="297" t="s">
        <v>124</v>
      </c>
      <c r="AKO232" s="297" t="s">
        <v>124</v>
      </c>
      <c r="AKP232" s="297" t="s">
        <v>124</v>
      </c>
      <c r="AKQ232" s="297" t="s">
        <v>124</v>
      </c>
      <c r="AKR232" s="297" t="s">
        <v>124</v>
      </c>
      <c r="AKS232" s="297" t="s">
        <v>124</v>
      </c>
      <c r="AKT232" s="297" t="s">
        <v>124</v>
      </c>
      <c r="AKU232" s="297" t="s">
        <v>124</v>
      </c>
      <c r="AKV232" s="297" t="s">
        <v>124</v>
      </c>
      <c r="AKW232" s="297" t="s">
        <v>124</v>
      </c>
      <c r="AKX232" s="297" t="s">
        <v>124</v>
      </c>
      <c r="AKY232" s="297" t="s">
        <v>124</v>
      </c>
      <c r="AKZ232" s="297" t="s">
        <v>124</v>
      </c>
      <c r="ALA232" s="297" t="s">
        <v>124</v>
      </c>
      <c r="ALB232" s="297" t="s">
        <v>124</v>
      </c>
      <c r="ALC232" s="297" t="s">
        <v>124</v>
      </c>
      <c r="ALD232" s="297" t="s">
        <v>124</v>
      </c>
      <c r="ALE232" s="297" t="s">
        <v>124</v>
      </c>
      <c r="ALF232" s="297" t="s">
        <v>124</v>
      </c>
      <c r="ALG232" s="297" t="s">
        <v>124</v>
      </c>
      <c r="ALH232" s="297" t="s">
        <v>124</v>
      </c>
      <c r="ALI232" s="297" t="s">
        <v>124</v>
      </c>
      <c r="ALJ232" s="297" t="s">
        <v>124</v>
      </c>
      <c r="ALK232" s="297" t="s">
        <v>124</v>
      </c>
      <c r="ALL232" s="297" t="s">
        <v>124</v>
      </c>
      <c r="ALM232" s="297" t="s">
        <v>124</v>
      </c>
      <c r="ALN232" s="297" t="s">
        <v>124</v>
      </c>
      <c r="ALO232" s="297" t="s">
        <v>124</v>
      </c>
      <c r="ALP232" s="297" t="s">
        <v>124</v>
      </c>
      <c r="ALQ232" s="297" t="s">
        <v>124</v>
      </c>
      <c r="ALR232" s="297" t="s">
        <v>124</v>
      </c>
      <c r="ALS232" s="297" t="s">
        <v>124</v>
      </c>
      <c r="ALT232" s="297" t="s">
        <v>124</v>
      </c>
      <c r="ALU232" s="297" t="s">
        <v>124</v>
      </c>
      <c r="ALV232" s="297" t="s">
        <v>124</v>
      </c>
      <c r="ALW232" s="297" t="s">
        <v>124</v>
      </c>
      <c r="ALX232" s="297" t="s">
        <v>124</v>
      </c>
      <c r="ALY232" s="297" t="s">
        <v>124</v>
      </c>
      <c r="ALZ232" s="297" t="s">
        <v>124</v>
      </c>
      <c r="AMA232" s="297" t="s">
        <v>124</v>
      </c>
      <c r="AMB232" s="297" t="s">
        <v>124</v>
      </c>
      <c r="AMC232" s="297" t="s">
        <v>124</v>
      </c>
      <c r="AMD232" s="297" t="s">
        <v>124</v>
      </c>
      <c r="AME232" s="297" t="s">
        <v>124</v>
      </c>
      <c r="AMF232" s="297" t="s">
        <v>124</v>
      </c>
      <c r="AMG232" s="297" t="s">
        <v>124</v>
      </c>
      <c r="AMH232" s="297" t="s">
        <v>124</v>
      </c>
      <c r="AMI232" s="297" t="s">
        <v>124</v>
      </c>
      <c r="AMJ232" s="297" t="s">
        <v>124</v>
      </c>
      <c r="AMK232" s="297" t="s">
        <v>124</v>
      </c>
      <c r="AML232" s="297" t="s">
        <v>124</v>
      </c>
      <c r="AMM232" s="297" t="s">
        <v>124</v>
      </c>
      <c r="AMN232" s="297" t="s">
        <v>124</v>
      </c>
      <c r="AMO232" s="297" t="s">
        <v>124</v>
      </c>
      <c r="AMP232" s="297" t="s">
        <v>124</v>
      </c>
      <c r="AMQ232" s="297" t="s">
        <v>124</v>
      </c>
      <c r="AMR232" s="297" t="s">
        <v>124</v>
      </c>
      <c r="AMS232" s="297" t="s">
        <v>124</v>
      </c>
      <c r="AMT232" s="297" t="s">
        <v>124</v>
      </c>
      <c r="AMU232" s="297" t="s">
        <v>124</v>
      </c>
      <c r="AMV232" s="297" t="s">
        <v>124</v>
      </c>
      <c r="AMW232" s="297" t="s">
        <v>124</v>
      </c>
      <c r="AMX232" s="297" t="s">
        <v>124</v>
      </c>
      <c r="AMY232" s="297" t="s">
        <v>124</v>
      </c>
      <c r="AMZ232" s="297" t="s">
        <v>124</v>
      </c>
      <c r="ANA232" s="297" t="s">
        <v>124</v>
      </c>
      <c r="ANB232" s="297" t="s">
        <v>124</v>
      </c>
      <c r="ANC232" s="297" t="s">
        <v>124</v>
      </c>
      <c r="AND232" s="297" t="s">
        <v>124</v>
      </c>
      <c r="ANE232" s="297" t="s">
        <v>124</v>
      </c>
      <c r="ANF232" s="297" t="s">
        <v>124</v>
      </c>
      <c r="ANG232" s="297" t="s">
        <v>124</v>
      </c>
      <c r="ANH232" s="297" t="s">
        <v>124</v>
      </c>
      <c r="ANI232" s="297" t="s">
        <v>124</v>
      </c>
      <c r="ANJ232" s="297" t="s">
        <v>124</v>
      </c>
      <c r="ANK232" s="297" t="s">
        <v>124</v>
      </c>
      <c r="ANL232" s="297" t="s">
        <v>124</v>
      </c>
      <c r="ANM232" s="297" t="s">
        <v>124</v>
      </c>
      <c r="ANN232" s="297" t="s">
        <v>124</v>
      </c>
      <c r="ANO232" s="297" t="s">
        <v>124</v>
      </c>
      <c r="ANP232" s="297" t="s">
        <v>124</v>
      </c>
      <c r="ANQ232" s="297" t="s">
        <v>124</v>
      </c>
      <c r="ANR232" s="297" t="s">
        <v>124</v>
      </c>
      <c r="ANS232" s="297" t="s">
        <v>124</v>
      </c>
      <c r="ANT232" s="297" t="s">
        <v>124</v>
      </c>
      <c r="ANU232" s="297" t="s">
        <v>124</v>
      </c>
      <c r="ANV232" s="297" t="s">
        <v>124</v>
      </c>
      <c r="ANW232" s="297" t="s">
        <v>124</v>
      </c>
      <c r="ANX232" s="297" t="s">
        <v>124</v>
      </c>
      <c r="ANY232" s="297" t="s">
        <v>124</v>
      </c>
      <c r="ANZ232" s="297" t="s">
        <v>124</v>
      </c>
      <c r="AOA232" s="297" t="s">
        <v>124</v>
      </c>
      <c r="AOB232" s="297" t="s">
        <v>124</v>
      </c>
      <c r="AOC232" s="297" t="s">
        <v>124</v>
      </c>
      <c r="AOD232" s="297" t="s">
        <v>124</v>
      </c>
      <c r="AOE232" s="297" t="s">
        <v>124</v>
      </c>
      <c r="AOF232" s="297" t="s">
        <v>124</v>
      </c>
      <c r="AOG232" s="297" t="s">
        <v>124</v>
      </c>
      <c r="AOH232" s="297" t="s">
        <v>124</v>
      </c>
      <c r="AOI232" s="297" t="s">
        <v>124</v>
      </c>
      <c r="AOJ232" s="297" t="s">
        <v>124</v>
      </c>
      <c r="AOK232" s="297" t="s">
        <v>124</v>
      </c>
      <c r="AOL232" s="297" t="s">
        <v>124</v>
      </c>
      <c r="AOM232" s="297" t="s">
        <v>124</v>
      </c>
      <c r="AON232" s="297" t="s">
        <v>124</v>
      </c>
      <c r="AOO232" s="297" t="s">
        <v>124</v>
      </c>
      <c r="AOP232" s="297" t="s">
        <v>124</v>
      </c>
      <c r="AOQ232" s="297" t="s">
        <v>124</v>
      </c>
      <c r="AOR232" s="297" t="s">
        <v>124</v>
      </c>
      <c r="AOS232" s="297" t="s">
        <v>124</v>
      </c>
      <c r="AOT232" s="297" t="s">
        <v>124</v>
      </c>
      <c r="AOU232" s="297" t="s">
        <v>124</v>
      </c>
      <c r="AOV232" s="297" t="s">
        <v>124</v>
      </c>
      <c r="AOW232" s="297" t="s">
        <v>124</v>
      </c>
      <c r="AOX232" s="297" t="s">
        <v>124</v>
      </c>
      <c r="AOY232" s="297" t="s">
        <v>124</v>
      </c>
      <c r="AOZ232" s="297" t="s">
        <v>124</v>
      </c>
      <c r="APA232" s="297" t="s">
        <v>124</v>
      </c>
      <c r="APB232" s="297" t="s">
        <v>124</v>
      </c>
      <c r="APC232" s="297" t="s">
        <v>124</v>
      </c>
      <c r="APD232" s="297" t="s">
        <v>124</v>
      </c>
      <c r="APE232" s="297" t="s">
        <v>124</v>
      </c>
      <c r="APF232" s="297" t="s">
        <v>124</v>
      </c>
      <c r="APG232" s="297" t="s">
        <v>124</v>
      </c>
      <c r="APH232" s="297" t="s">
        <v>124</v>
      </c>
      <c r="API232" s="297" t="s">
        <v>124</v>
      </c>
      <c r="APJ232" s="297" t="s">
        <v>124</v>
      </c>
      <c r="APK232" s="297" t="s">
        <v>124</v>
      </c>
      <c r="APL232" s="297" t="s">
        <v>124</v>
      </c>
      <c r="APM232" s="297" t="s">
        <v>124</v>
      </c>
      <c r="APN232" s="297" t="s">
        <v>124</v>
      </c>
      <c r="APO232" s="297" t="s">
        <v>124</v>
      </c>
      <c r="APP232" s="297" t="s">
        <v>124</v>
      </c>
      <c r="APQ232" s="297" t="s">
        <v>124</v>
      </c>
      <c r="APR232" s="297" t="s">
        <v>124</v>
      </c>
      <c r="APS232" s="297" t="s">
        <v>124</v>
      </c>
      <c r="APT232" s="297" t="s">
        <v>124</v>
      </c>
      <c r="APU232" s="297" t="s">
        <v>124</v>
      </c>
      <c r="APV232" s="297" t="s">
        <v>124</v>
      </c>
      <c r="APW232" s="297" t="s">
        <v>124</v>
      </c>
      <c r="APX232" s="297" t="s">
        <v>124</v>
      </c>
      <c r="APY232" s="297" t="s">
        <v>124</v>
      </c>
      <c r="APZ232" s="297" t="s">
        <v>124</v>
      </c>
      <c r="AQA232" s="297" t="s">
        <v>124</v>
      </c>
      <c r="AQB232" s="297" t="s">
        <v>124</v>
      </c>
      <c r="AQC232" s="297" t="s">
        <v>124</v>
      </c>
      <c r="AQD232" s="297" t="s">
        <v>124</v>
      </c>
      <c r="AQE232" s="297" t="s">
        <v>124</v>
      </c>
      <c r="AQF232" s="297" t="s">
        <v>124</v>
      </c>
      <c r="AQG232" s="297" t="s">
        <v>124</v>
      </c>
      <c r="AQH232" s="297" t="s">
        <v>124</v>
      </c>
      <c r="AQI232" s="297" t="s">
        <v>124</v>
      </c>
      <c r="AQJ232" s="297" t="s">
        <v>124</v>
      </c>
      <c r="AQK232" s="297" t="s">
        <v>124</v>
      </c>
      <c r="AQL232" s="297" t="s">
        <v>124</v>
      </c>
      <c r="AQM232" s="297" t="s">
        <v>124</v>
      </c>
      <c r="AQN232" s="297" t="s">
        <v>124</v>
      </c>
      <c r="AQO232" s="297" t="s">
        <v>124</v>
      </c>
      <c r="AQP232" s="297" t="s">
        <v>124</v>
      </c>
      <c r="AQQ232" s="297" t="s">
        <v>124</v>
      </c>
      <c r="AQR232" s="297" t="s">
        <v>124</v>
      </c>
      <c r="AQS232" s="297" t="s">
        <v>124</v>
      </c>
      <c r="AQT232" s="297" t="s">
        <v>124</v>
      </c>
      <c r="AQU232" s="297" t="s">
        <v>124</v>
      </c>
      <c r="AQV232" s="297" t="s">
        <v>124</v>
      </c>
      <c r="AQW232" s="297" t="s">
        <v>124</v>
      </c>
      <c r="AQX232" s="297" t="s">
        <v>124</v>
      </c>
      <c r="AQY232" s="297" t="s">
        <v>124</v>
      </c>
      <c r="AQZ232" s="297" t="s">
        <v>124</v>
      </c>
      <c r="ARA232" s="297" t="s">
        <v>124</v>
      </c>
      <c r="ARB232" s="297" t="s">
        <v>124</v>
      </c>
      <c r="ARC232" s="297" t="s">
        <v>124</v>
      </c>
      <c r="ARD232" s="297" t="s">
        <v>124</v>
      </c>
      <c r="ARE232" s="297" t="s">
        <v>124</v>
      </c>
      <c r="ARF232" s="297" t="s">
        <v>124</v>
      </c>
      <c r="ARG232" s="297" t="s">
        <v>124</v>
      </c>
      <c r="ARH232" s="297" t="s">
        <v>124</v>
      </c>
      <c r="ARI232" s="297" t="s">
        <v>124</v>
      </c>
      <c r="ARJ232" s="297" t="s">
        <v>124</v>
      </c>
      <c r="ARK232" s="297" t="s">
        <v>124</v>
      </c>
      <c r="ARL232" s="297" t="s">
        <v>124</v>
      </c>
      <c r="ARM232" s="297" t="s">
        <v>124</v>
      </c>
      <c r="ARN232" s="297" t="s">
        <v>124</v>
      </c>
      <c r="ARO232" s="297" t="s">
        <v>124</v>
      </c>
      <c r="ARP232" s="297" t="s">
        <v>124</v>
      </c>
      <c r="ARQ232" s="297" t="s">
        <v>124</v>
      </c>
      <c r="ARR232" s="297" t="s">
        <v>124</v>
      </c>
      <c r="ARS232" s="297" t="s">
        <v>124</v>
      </c>
      <c r="ART232" s="297" t="s">
        <v>124</v>
      </c>
      <c r="ARU232" s="297" t="s">
        <v>124</v>
      </c>
      <c r="ARV232" s="297" t="s">
        <v>124</v>
      </c>
      <c r="ARW232" s="297" t="s">
        <v>124</v>
      </c>
      <c r="ARX232" s="297" t="s">
        <v>124</v>
      </c>
      <c r="ARY232" s="297" t="s">
        <v>124</v>
      </c>
      <c r="ARZ232" s="297" t="s">
        <v>124</v>
      </c>
      <c r="ASA232" s="297" t="s">
        <v>124</v>
      </c>
      <c r="ASB232" s="297" t="s">
        <v>124</v>
      </c>
      <c r="ASC232" s="297" t="s">
        <v>124</v>
      </c>
      <c r="ASD232" s="297" t="s">
        <v>124</v>
      </c>
      <c r="ASE232" s="297" t="s">
        <v>124</v>
      </c>
      <c r="ASF232" s="297" t="s">
        <v>124</v>
      </c>
      <c r="ASG232" s="297" t="s">
        <v>124</v>
      </c>
      <c r="ASH232" s="297" t="s">
        <v>124</v>
      </c>
      <c r="ASI232" s="297" t="s">
        <v>124</v>
      </c>
      <c r="ASJ232" s="297" t="s">
        <v>124</v>
      </c>
      <c r="ASK232" s="297" t="s">
        <v>124</v>
      </c>
      <c r="ASL232" s="297" t="s">
        <v>124</v>
      </c>
      <c r="ASM232" s="297" t="s">
        <v>124</v>
      </c>
      <c r="ASN232" s="297" t="s">
        <v>124</v>
      </c>
      <c r="ASO232" s="297" t="s">
        <v>124</v>
      </c>
      <c r="ASP232" s="297" t="s">
        <v>124</v>
      </c>
      <c r="ASQ232" s="297" t="s">
        <v>124</v>
      </c>
      <c r="ASR232" s="297" t="s">
        <v>124</v>
      </c>
      <c r="ASS232" s="297" t="s">
        <v>124</v>
      </c>
      <c r="AST232" s="297" t="s">
        <v>124</v>
      </c>
      <c r="ASU232" s="297" t="s">
        <v>124</v>
      </c>
      <c r="ASV232" s="297" t="s">
        <v>124</v>
      </c>
      <c r="ASW232" s="297" t="s">
        <v>124</v>
      </c>
      <c r="ASX232" s="297" t="s">
        <v>124</v>
      </c>
      <c r="ASY232" s="297" t="s">
        <v>124</v>
      </c>
      <c r="ASZ232" s="297" t="s">
        <v>124</v>
      </c>
      <c r="ATA232" s="297" t="s">
        <v>124</v>
      </c>
      <c r="ATB232" s="297" t="s">
        <v>124</v>
      </c>
      <c r="ATC232" s="297" t="s">
        <v>124</v>
      </c>
      <c r="ATD232" s="297" t="s">
        <v>124</v>
      </c>
      <c r="ATE232" s="297" t="s">
        <v>124</v>
      </c>
      <c r="ATF232" s="297" t="s">
        <v>124</v>
      </c>
      <c r="ATG232" s="297" t="s">
        <v>124</v>
      </c>
      <c r="ATH232" s="297" t="s">
        <v>124</v>
      </c>
      <c r="ATI232" s="297" t="s">
        <v>124</v>
      </c>
      <c r="ATJ232" s="297" t="s">
        <v>124</v>
      </c>
      <c r="ATK232" s="297" t="s">
        <v>124</v>
      </c>
      <c r="ATL232" s="297" t="s">
        <v>124</v>
      </c>
      <c r="ATM232" s="297" t="s">
        <v>124</v>
      </c>
      <c r="ATN232" s="297" t="s">
        <v>124</v>
      </c>
      <c r="ATO232" s="297" t="s">
        <v>124</v>
      </c>
      <c r="ATP232" s="297" t="s">
        <v>124</v>
      </c>
      <c r="ATQ232" s="297" t="s">
        <v>124</v>
      </c>
      <c r="ATR232" s="297" t="s">
        <v>124</v>
      </c>
      <c r="ATS232" s="297" t="s">
        <v>124</v>
      </c>
      <c r="ATT232" s="297" t="s">
        <v>124</v>
      </c>
      <c r="ATU232" s="297" t="s">
        <v>124</v>
      </c>
      <c r="ATV232" s="297" t="s">
        <v>124</v>
      </c>
      <c r="ATW232" s="297" t="s">
        <v>124</v>
      </c>
      <c r="ATX232" s="297" t="s">
        <v>124</v>
      </c>
      <c r="ATY232" s="297" t="s">
        <v>124</v>
      </c>
      <c r="ATZ232" s="297" t="s">
        <v>124</v>
      </c>
      <c r="AUA232" s="297" t="s">
        <v>124</v>
      </c>
      <c r="AUB232" s="297" t="s">
        <v>124</v>
      </c>
      <c r="AUC232" s="297" t="s">
        <v>124</v>
      </c>
      <c r="AUD232" s="297" t="s">
        <v>124</v>
      </c>
      <c r="AUE232" s="297" t="s">
        <v>124</v>
      </c>
      <c r="AUF232" s="297" t="s">
        <v>124</v>
      </c>
      <c r="AUG232" s="297" t="s">
        <v>124</v>
      </c>
      <c r="AUH232" s="297" t="s">
        <v>124</v>
      </c>
      <c r="AUI232" s="297" t="s">
        <v>124</v>
      </c>
      <c r="AUJ232" s="297" t="s">
        <v>124</v>
      </c>
      <c r="AUK232" s="297" t="s">
        <v>124</v>
      </c>
      <c r="AUL232" s="297" t="s">
        <v>124</v>
      </c>
      <c r="AUM232" s="297" t="s">
        <v>124</v>
      </c>
      <c r="AUN232" s="297" t="s">
        <v>124</v>
      </c>
      <c r="AUO232" s="297" t="s">
        <v>124</v>
      </c>
      <c r="AUP232" s="297" t="s">
        <v>124</v>
      </c>
      <c r="AUQ232" s="297" t="s">
        <v>124</v>
      </c>
      <c r="AUR232" s="297" t="s">
        <v>124</v>
      </c>
      <c r="AUS232" s="297" t="s">
        <v>124</v>
      </c>
      <c r="AUT232" s="297" t="s">
        <v>124</v>
      </c>
      <c r="AUU232" s="297" t="s">
        <v>124</v>
      </c>
      <c r="AUV232" s="297" t="s">
        <v>124</v>
      </c>
      <c r="AUW232" s="297" t="s">
        <v>124</v>
      </c>
      <c r="AUX232" s="297" t="s">
        <v>124</v>
      </c>
      <c r="AUY232" s="297" t="s">
        <v>124</v>
      </c>
      <c r="AUZ232" s="297" t="s">
        <v>124</v>
      </c>
      <c r="AVA232" s="297" t="s">
        <v>124</v>
      </c>
      <c r="AVB232" s="297" t="s">
        <v>124</v>
      </c>
      <c r="AVC232" s="297" t="s">
        <v>124</v>
      </c>
      <c r="AVD232" s="297" t="s">
        <v>124</v>
      </c>
      <c r="AVE232" s="297" t="s">
        <v>124</v>
      </c>
      <c r="AVF232" s="297" t="s">
        <v>124</v>
      </c>
      <c r="AVG232" s="297" t="s">
        <v>124</v>
      </c>
      <c r="AVH232" s="297" t="s">
        <v>124</v>
      </c>
      <c r="AVI232" s="297" t="s">
        <v>124</v>
      </c>
      <c r="AVJ232" s="297" t="s">
        <v>124</v>
      </c>
      <c r="AVK232" s="297" t="s">
        <v>124</v>
      </c>
      <c r="AVL232" s="297" t="s">
        <v>124</v>
      </c>
      <c r="AVM232" s="297" t="s">
        <v>124</v>
      </c>
      <c r="AVN232" s="297" t="s">
        <v>124</v>
      </c>
      <c r="AVO232" s="297" t="s">
        <v>124</v>
      </c>
      <c r="AVP232" s="297" t="s">
        <v>124</v>
      </c>
      <c r="AVQ232" s="297" t="s">
        <v>124</v>
      </c>
      <c r="AVR232" s="297" t="s">
        <v>124</v>
      </c>
      <c r="AVS232" s="297" t="s">
        <v>124</v>
      </c>
      <c r="AVT232" s="297" t="s">
        <v>124</v>
      </c>
      <c r="AVU232" s="297" t="s">
        <v>124</v>
      </c>
      <c r="AVV232" s="297" t="s">
        <v>124</v>
      </c>
      <c r="AVW232" s="297" t="s">
        <v>124</v>
      </c>
      <c r="AVX232" s="297" t="s">
        <v>124</v>
      </c>
      <c r="AVY232" s="297" t="s">
        <v>124</v>
      </c>
      <c r="AVZ232" s="297" t="s">
        <v>124</v>
      </c>
      <c r="AWA232" s="297" t="s">
        <v>124</v>
      </c>
      <c r="AWB232" s="297" t="s">
        <v>124</v>
      </c>
      <c r="AWC232" s="297" t="s">
        <v>124</v>
      </c>
      <c r="AWD232" s="297" t="s">
        <v>124</v>
      </c>
      <c r="AWE232" s="297" t="s">
        <v>124</v>
      </c>
      <c r="AWF232" s="297" t="s">
        <v>124</v>
      </c>
      <c r="AWG232" s="297" t="s">
        <v>124</v>
      </c>
      <c r="AWH232" s="297" t="s">
        <v>124</v>
      </c>
      <c r="AWI232" s="297" t="s">
        <v>124</v>
      </c>
      <c r="AWJ232" s="297" t="s">
        <v>124</v>
      </c>
      <c r="AWK232" s="297" t="s">
        <v>124</v>
      </c>
      <c r="AWL232" s="297" t="s">
        <v>124</v>
      </c>
      <c r="AWM232" s="297" t="s">
        <v>124</v>
      </c>
      <c r="AWN232" s="297" t="s">
        <v>124</v>
      </c>
      <c r="AWO232" s="297" t="s">
        <v>124</v>
      </c>
      <c r="AWP232" s="297" t="s">
        <v>124</v>
      </c>
      <c r="AWQ232" s="297" t="s">
        <v>124</v>
      </c>
      <c r="AWR232" s="297" t="s">
        <v>124</v>
      </c>
      <c r="AWS232" s="297" t="s">
        <v>124</v>
      </c>
      <c r="AWT232" s="297" t="s">
        <v>124</v>
      </c>
      <c r="AWU232" s="297" t="s">
        <v>124</v>
      </c>
      <c r="AWV232" s="297" t="s">
        <v>124</v>
      </c>
      <c r="AWW232" s="297" t="s">
        <v>124</v>
      </c>
      <c r="AWX232" s="297" t="s">
        <v>124</v>
      </c>
      <c r="AWY232" s="297" t="s">
        <v>124</v>
      </c>
      <c r="AWZ232" s="297" t="s">
        <v>124</v>
      </c>
      <c r="AXA232" s="297" t="s">
        <v>124</v>
      </c>
      <c r="AXB232" s="297" t="s">
        <v>124</v>
      </c>
      <c r="AXC232" s="297" t="s">
        <v>124</v>
      </c>
      <c r="AXD232" s="297" t="s">
        <v>124</v>
      </c>
      <c r="AXE232" s="297" t="s">
        <v>124</v>
      </c>
      <c r="AXF232" s="297" t="s">
        <v>124</v>
      </c>
      <c r="AXG232" s="297" t="s">
        <v>124</v>
      </c>
      <c r="AXH232" s="297" t="s">
        <v>124</v>
      </c>
      <c r="AXI232" s="297" t="s">
        <v>124</v>
      </c>
      <c r="AXJ232" s="297" t="s">
        <v>124</v>
      </c>
      <c r="AXK232" s="297" t="s">
        <v>124</v>
      </c>
      <c r="AXL232" s="297" t="s">
        <v>124</v>
      </c>
      <c r="AXM232" s="297" t="s">
        <v>124</v>
      </c>
      <c r="AXN232" s="297" t="s">
        <v>124</v>
      </c>
      <c r="AXO232" s="297" t="s">
        <v>124</v>
      </c>
      <c r="AXP232" s="297" t="s">
        <v>124</v>
      </c>
      <c r="AXQ232" s="297" t="s">
        <v>124</v>
      </c>
      <c r="AXR232" s="297" t="s">
        <v>124</v>
      </c>
      <c r="AXS232" s="297" t="s">
        <v>124</v>
      </c>
      <c r="AXT232" s="297" t="s">
        <v>124</v>
      </c>
      <c r="AXU232" s="297" t="s">
        <v>124</v>
      </c>
      <c r="AXV232" s="297" t="s">
        <v>124</v>
      </c>
      <c r="AXW232" s="297" t="s">
        <v>124</v>
      </c>
      <c r="AXX232" s="297" t="s">
        <v>124</v>
      </c>
      <c r="AXY232" s="297" t="s">
        <v>124</v>
      </c>
      <c r="AXZ232" s="297" t="s">
        <v>124</v>
      </c>
      <c r="AYA232" s="297" t="s">
        <v>124</v>
      </c>
      <c r="AYB232" s="297" t="s">
        <v>124</v>
      </c>
      <c r="AYC232" s="297" t="s">
        <v>124</v>
      </c>
      <c r="AYD232" s="297" t="s">
        <v>124</v>
      </c>
      <c r="AYE232" s="297" t="s">
        <v>124</v>
      </c>
      <c r="AYF232" s="297" t="s">
        <v>124</v>
      </c>
      <c r="AYG232" s="297" t="s">
        <v>124</v>
      </c>
      <c r="AYH232" s="297" t="s">
        <v>124</v>
      </c>
      <c r="AYI232" s="297" t="s">
        <v>124</v>
      </c>
      <c r="AYJ232" s="297" t="s">
        <v>124</v>
      </c>
      <c r="AYK232" s="297" t="s">
        <v>124</v>
      </c>
      <c r="AYL232" s="297" t="s">
        <v>124</v>
      </c>
      <c r="AYM232" s="297" t="s">
        <v>124</v>
      </c>
      <c r="AYN232" s="297" t="s">
        <v>124</v>
      </c>
      <c r="AYO232" s="297" t="s">
        <v>124</v>
      </c>
      <c r="AYP232" s="297" t="s">
        <v>124</v>
      </c>
      <c r="AYQ232" s="297" t="s">
        <v>124</v>
      </c>
      <c r="AYR232" s="297" t="s">
        <v>124</v>
      </c>
      <c r="AYS232" s="297" t="s">
        <v>124</v>
      </c>
      <c r="AYT232" s="297" t="s">
        <v>124</v>
      </c>
      <c r="AYU232" s="297" t="s">
        <v>124</v>
      </c>
      <c r="AYV232" s="297" t="s">
        <v>124</v>
      </c>
      <c r="AYW232" s="297" t="s">
        <v>124</v>
      </c>
      <c r="AYX232" s="297" t="s">
        <v>124</v>
      </c>
      <c r="AYY232" s="297" t="s">
        <v>124</v>
      </c>
      <c r="AYZ232" s="297" t="s">
        <v>124</v>
      </c>
      <c r="AZA232" s="297" t="s">
        <v>124</v>
      </c>
      <c r="AZB232" s="297" t="s">
        <v>124</v>
      </c>
      <c r="AZC232" s="297" t="s">
        <v>124</v>
      </c>
      <c r="AZD232" s="297" t="s">
        <v>124</v>
      </c>
      <c r="AZE232" s="297" t="s">
        <v>124</v>
      </c>
      <c r="AZF232" s="297" t="s">
        <v>124</v>
      </c>
      <c r="AZG232" s="297" t="s">
        <v>124</v>
      </c>
      <c r="AZH232" s="297" t="s">
        <v>124</v>
      </c>
      <c r="AZI232" s="297" t="s">
        <v>124</v>
      </c>
      <c r="AZJ232" s="297" t="s">
        <v>124</v>
      </c>
      <c r="AZK232" s="297" t="s">
        <v>124</v>
      </c>
      <c r="AZL232" s="297" t="s">
        <v>124</v>
      </c>
      <c r="AZM232" s="297" t="s">
        <v>124</v>
      </c>
      <c r="AZN232" s="297" t="s">
        <v>124</v>
      </c>
      <c r="AZO232" s="297" t="s">
        <v>124</v>
      </c>
      <c r="AZP232" s="297" t="s">
        <v>124</v>
      </c>
      <c r="AZQ232" s="297" t="s">
        <v>124</v>
      </c>
      <c r="AZR232" s="297" t="s">
        <v>124</v>
      </c>
      <c r="AZS232" s="297" t="s">
        <v>124</v>
      </c>
      <c r="AZT232" s="297" t="s">
        <v>124</v>
      </c>
      <c r="AZU232" s="297" t="s">
        <v>124</v>
      </c>
      <c r="AZV232" s="297" t="s">
        <v>124</v>
      </c>
      <c r="AZW232" s="297" t="s">
        <v>124</v>
      </c>
      <c r="AZX232" s="297" t="s">
        <v>124</v>
      </c>
      <c r="AZY232" s="297" t="s">
        <v>124</v>
      </c>
      <c r="AZZ232" s="297" t="s">
        <v>124</v>
      </c>
      <c r="BAA232" s="297" t="s">
        <v>124</v>
      </c>
      <c r="BAB232" s="297" t="s">
        <v>124</v>
      </c>
      <c r="BAC232" s="297" t="s">
        <v>124</v>
      </c>
      <c r="BAD232" s="297" t="s">
        <v>124</v>
      </c>
      <c r="BAE232" s="297" t="s">
        <v>124</v>
      </c>
      <c r="BAF232" s="297" t="s">
        <v>124</v>
      </c>
      <c r="BAG232" s="297" t="s">
        <v>124</v>
      </c>
      <c r="BAH232" s="297" t="s">
        <v>124</v>
      </c>
      <c r="BAI232" s="297" t="s">
        <v>124</v>
      </c>
      <c r="BAJ232" s="297" t="s">
        <v>124</v>
      </c>
      <c r="BAK232" s="297" t="s">
        <v>124</v>
      </c>
      <c r="BAL232" s="297" t="s">
        <v>124</v>
      </c>
      <c r="BAM232" s="297" t="s">
        <v>124</v>
      </c>
      <c r="BAN232" s="297" t="s">
        <v>124</v>
      </c>
      <c r="BAO232" s="297" t="s">
        <v>124</v>
      </c>
      <c r="BAP232" s="297" t="s">
        <v>124</v>
      </c>
      <c r="BAQ232" s="297" t="s">
        <v>124</v>
      </c>
      <c r="BAR232" s="297" t="s">
        <v>124</v>
      </c>
      <c r="BAS232" s="297" t="s">
        <v>124</v>
      </c>
      <c r="BAT232" s="297" t="s">
        <v>124</v>
      </c>
      <c r="BAU232" s="297" t="s">
        <v>124</v>
      </c>
      <c r="BAV232" s="297" t="s">
        <v>124</v>
      </c>
      <c r="BAW232" s="297" t="s">
        <v>124</v>
      </c>
      <c r="BAX232" s="297" t="s">
        <v>124</v>
      </c>
      <c r="BAY232" s="297" t="s">
        <v>124</v>
      </c>
      <c r="BAZ232" s="297" t="s">
        <v>124</v>
      </c>
      <c r="BBA232" s="297" t="s">
        <v>124</v>
      </c>
      <c r="BBB232" s="297" t="s">
        <v>124</v>
      </c>
      <c r="BBC232" s="297" t="s">
        <v>124</v>
      </c>
      <c r="BBD232" s="297" t="s">
        <v>124</v>
      </c>
      <c r="BBE232" s="297" t="s">
        <v>124</v>
      </c>
      <c r="BBF232" s="297" t="s">
        <v>124</v>
      </c>
      <c r="BBG232" s="297" t="s">
        <v>124</v>
      </c>
      <c r="BBH232" s="297" t="s">
        <v>124</v>
      </c>
      <c r="BBI232" s="297" t="s">
        <v>124</v>
      </c>
      <c r="BBJ232" s="297" t="s">
        <v>124</v>
      </c>
      <c r="BBK232" s="297" t="s">
        <v>124</v>
      </c>
      <c r="BBL232" s="297" t="s">
        <v>124</v>
      </c>
      <c r="BBM232" s="297" t="s">
        <v>124</v>
      </c>
      <c r="BBN232" s="297" t="s">
        <v>124</v>
      </c>
      <c r="BBO232" s="297" t="s">
        <v>124</v>
      </c>
      <c r="BBP232" s="297" t="s">
        <v>124</v>
      </c>
      <c r="BBQ232" s="297" t="s">
        <v>124</v>
      </c>
      <c r="BBR232" s="297" t="s">
        <v>124</v>
      </c>
      <c r="BBS232" s="297" t="s">
        <v>124</v>
      </c>
      <c r="BBT232" s="297" t="s">
        <v>124</v>
      </c>
      <c r="BBU232" s="297" t="s">
        <v>124</v>
      </c>
      <c r="BBV232" s="297" t="s">
        <v>124</v>
      </c>
      <c r="BBW232" s="297" t="s">
        <v>124</v>
      </c>
      <c r="BBX232" s="297" t="s">
        <v>124</v>
      </c>
      <c r="BBY232" s="297" t="s">
        <v>124</v>
      </c>
      <c r="BBZ232" s="297" t="s">
        <v>124</v>
      </c>
      <c r="BCA232" s="297" t="s">
        <v>124</v>
      </c>
      <c r="BCB232" s="297" t="s">
        <v>124</v>
      </c>
      <c r="BCC232" s="297" t="s">
        <v>124</v>
      </c>
      <c r="BCD232" s="297" t="s">
        <v>124</v>
      </c>
      <c r="BCE232" s="297" t="s">
        <v>124</v>
      </c>
      <c r="BCF232" s="297" t="s">
        <v>124</v>
      </c>
      <c r="BCG232" s="297" t="s">
        <v>124</v>
      </c>
      <c r="BCH232" s="297" t="s">
        <v>124</v>
      </c>
      <c r="BCI232" s="297" t="s">
        <v>124</v>
      </c>
      <c r="BCJ232" s="297" t="s">
        <v>124</v>
      </c>
      <c r="BCK232" s="297" t="s">
        <v>124</v>
      </c>
      <c r="BCL232" s="297" t="s">
        <v>124</v>
      </c>
      <c r="BCM232" s="297" t="s">
        <v>124</v>
      </c>
      <c r="BCN232" s="297" t="s">
        <v>124</v>
      </c>
      <c r="BCO232" s="297" t="s">
        <v>124</v>
      </c>
      <c r="BCP232" s="297" t="s">
        <v>124</v>
      </c>
      <c r="BCQ232" s="297" t="s">
        <v>124</v>
      </c>
      <c r="BCR232" s="297" t="s">
        <v>124</v>
      </c>
      <c r="BCS232" s="297" t="s">
        <v>124</v>
      </c>
      <c r="BCT232" s="297" t="s">
        <v>124</v>
      </c>
      <c r="BCU232" s="297" t="s">
        <v>124</v>
      </c>
      <c r="BCV232" s="297" t="s">
        <v>124</v>
      </c>
      <c r="BCW232" s="297" t="s">
        <v>124</v>
      </c>
      <c r="BCX232" s="297" t="s">
        <v>124</v>
      </c>
      <c r="BCY232" s="297" t="s">
        <v>124</v>
      </c>
      <c r="BCZ232" s="297" t="s">
        <v>124</v>
      </c>
      <c r="BDA232" s="297" t="s">
        <v>124</v>
      </c>
      <c r="BDB232" s="297" t="s">
        <v>124</v>
      </c>
      <c r="BDC232" s="297" t="s">
        <v>124</v>
      </c>
      <c r="BDD232" s="297" t="s">
        <v>124</v>
      </c>
      <c r="BDE232" s="297" t="s">
        <v>124</v>
      </c>
      <c r="BDF232" s="297" t="s">
        <v>124</v>
      </c>
      <c r="BDG232" s="297" t="s">
        <v>124</v>
      </c>
      <c r="BDH232" s="297" t="s">
        <v>124</v>
      </c>
      <c r="BDI232" s="297" t="s">
        <v>124</v>
      </c>
      <c r="BDJ232" s="297" t="s">
        <v>124</v>
      </c>
      <c r="BDK232" s="297" t="s">
        <v>124</v>
      </c>
      <c r="BDL232" s="297" t="s">
        <v>124</v>
      </c>
      <c r="BDM232" s="297" t="s">
        <v>124</v>
      </c>
      <c r="BDN232" s="297" t="s">
        <v>124</v>
      </c>
      <c r="BDO232" s="297" t="s">
        <v>124</v>
      </c>
      <c r="BDP232" s="297" t="s">
        <v>124</v>
      </c>
      <c r="BDQ232" s="297" t="s">
        <v>124</v>
      </c>
      <c r="BDR232" s="297" t="s">
        <v>124</v>
      </c>
      <c r="BDS232" s="297" t="s">
        <v>124</v>
      </c>
      <c r="BDT232" s="297" t="s">
        <v>124</v>
      </c>
      <c r="BDU232" s="297" t="s">
        <v>124</v>
      </c>
      <c r="BDV232" s="297" t="s">
        <v>124</v>
      </c>
      <c r="BDW232" s="297" t="s">
        <v>124</v>
      </c>
      <c r="BDX232" s="297" t="s">
        <v>124</v>
      </c>
      <c r="BDY232" s="297" t="s">
        <v>124</v>
      </c>
      <c r="BDZ232" s="297" t="s">
        <v>124</v>
      </c>
      <c r="BEA232" s="297" t="s">
        <v>124</v>
      </c>
      <c r="BEB232" s="297" t="s">
        <v>124</v>
      </c>
      <c r="BEC232" s="297" t="s">
        <v>124</v>
      </c>
      <c r="BED232" s="297" t="s">
        <v>124</v>
      </c>
      <c r="BEE232" s="297" t="s">
        <v>124</v>
      </c>
      <c r="BEF232" s="297" t="s">
        <v>124</v>
      </c>
      <c r="BEG232" s="297" t="s">
        <v>124</v>
      </c>
      <c r="BEH232" s="297" t="s">
        <v>124</v>
      </c>
      <c r="BEI232" s="297" t="s">
        <v>124</v>
      </c>
      <c r="BEJ232" s="297" t="s">
        <v>124</v>
      </c>
      <c r="BEK232" s="297" t="s">
        <v>124</v>
      </c>
      <c r="BEL232" s="297" t="s">
        <v>124</v>
      </c>
      <c r="BEM232" s="297" t="s">
        <v>124</v>
      </c>
      <c r="BEN232" s="297" t="s">
        <v>124</v>
      </c>
      <c r="BEO232" s="297" t="s">
        <v>124</v>
      </c>
      <c r="BEP232" s="297" t="s">
        <v>124</v>
      </c>
      <c r="BEQ232" s="297" t="s">
        <v>124</v>
      </c>
      <c r="BER232" s="297" t="s">
        <v>124</v>
      </c>
      <c r="BES232" s="297" t="s">
        <v>124</v>
      </c>
      <c r="BET232" s="297" t="s">
        <v>124</v>
      </c>
      <c r="BEU232" s="297" t="s">
        <v>124</v>
      </c>
      <c r="BEV232" s="297" t="s">
        <v>124</v>
      </c>
      <c r="BEW232" s="297" t="s">
        <v>124</v>
      </c>
      <c r="BEX232" s="297" t="s">
        <v>124</v>
      </c>
      <c r="BEY232" s="297" t="s">
        <v>124</v>
      </c>
      <c r="BEZ232" s="297" t="s">
        <v>124</v>
      </c>
      <c r="BFA232" s="297" t="s">
        <v>124</v>
      </c>
      <c r="BFB232" s="297" t="s">
        <v>124</v>
      </c>
      <c r="BFC232" s="297" t="s">
        <v>124</v>
      </c>
      <c r="BFD232" s="297" t="s">
        <v>124</v>
      </c>
      <c r="BFE232" s="297" t="s">
        <v>124</v>
      </c>
      <c r="BFF232" s="297" t="s">
        <v>124</v>
      </c>
      <c r="BFG232" s="297" t="s">
        <v>124</v>
      </c>
      <c r="BFH232" s="297" t="s">
        <v>124</v>
      </c>
      <c r="BFI232" s="297" t="s">
        <v>124</v>
      </c>
      <c r="BFJ232" s="297" t="s">
        <v>124</v>
      </c>
      <c r="BFK232" s="297" t="s">
        <v>124</v>
      </c>
      <c r="BFL232" s="297" t="s">
        <v>124</v>
      </c>
      <c r="BFM232" s="297" t="s">
        <v>124</v>
      </c>
      <c r="BFN232" s="297" t="s">
        <v>124</v>
      </c>
      <c r="BFO232" s="297" t="s">
        <v>124</v>
      </c>
      <c r="BFP232" s="297" t="s">
        <v>124</v>
      </c>
      <c r="BFQ232" s="297" t="s">
        <v>124</v>
      </c>
      <c r="BFR232" s="297" t="s">
        <v>124</v>
      </c>
      <c r="BFS232" s="297" t="s">
        <v>124</v>
      </c>
      <c r="BFT232" s="297" t="s">
        <v>124</v>
      </c>
      <c r="BFU232" s="297" t="s">
        <v>124</v>
      </c>
      <c r="BFV232" s="297" t="s">
        <v>124</v>
      </c>
      <c r="BFW232" s="297" t="s">
        <v>124</v>
      </c>
      <c r="BFX232" s="297" t="s">
        <v>124</v>
      </c>
      <c r="BFY232" s="297" t="s">
        <v>124</v>
      </c>
      <c r="BFZ232" s="297" t="s">
        <v>124</v>
      </c>
      <c r="BGA232" s="297" t="s">
        <v>124</v>
      </c>
      <c r="BGB232" s="297" t="s">
        <v>124</v>
      </c>
      <c r="BGC232" s="297" t="s">
        <v>124</v>
      </c>
      <c r="BGD232" s="297" t="s">
        <v>124</v>
      </c>
      <c r="BGE232" s="297" t="s">
        <v>124</v>
      </c>
      <c r="BGF232" s="297" t="s">
        <v>124</v>
      </c>
      <c r="BGG232" s="297" t="s">
        <v>124</v>
      </c>
      <c r="BGH232" s="297" t="s">
        <v>124</v>
      </c>
      <c r="BGI232" s="297" t="s">
        <v>124</v>
      </c>
      <c r="BGJ232" s="297" t="s">
        <v>124</v>
      </c>
      <c r="BGK232" s="297" t="s">
        <v>124</v>
      </c>
      <c r="BGL232" s="297" t="s">
        <v>124</v>
      </c>
      <c r="BGM232" s="297" t="s">
        <v>124</v>
      </c>
      <c r="BGN232" s="297" t="s">
        <v>124</v>
      </c>
      <c r="BGO232" s="297" t="s">
        <v>124</v>
      </c>
      <c r="BGP232" s="297" t="s">
        <v>124</v>
      </c>
      <c r="BGQ232" s="297" t="s">
        <v>124</v>
      </c>
      <c r="BGR232" s="297" t="s">
        <v>124</v>
      </c>
      <c r="BGS232" s="297" t="s">
        <v>124</v>
      </c>
      <c r="BGT232" s="297" t="s">
        <v>124</v>
      </c>
      <c r="BGU232" s="297" t="s">
        <v>124</v>
      </c>
      <c r="BGV232" s="297" t="s">
        <v>124</v>
      </c>
      <c r="BGW232" s="297" t="s">
        <v>124</v>
      </c>
      <c r="BGX232" s="297" t="s">
        <v>124</v>
      </c>
      <c r="BGY232" s="297" t="s">
        <v>124</v>
      </c>
      <c r="BGZ232" s="297" t="s">
        <v>124</v>
      </c>
      <c r="BHA232" s="297" t="s">
        <v>124</v>
      </c>
      <c r="BHB232" s="297" t="s">
        <v>124</v>
      </c>
      <c r="BHC232" s="297" t="s">
        <v>124</v>
      </c>
      <c r="BHD232" s="297" t="s">
        <v>124</v>
      </c>
      <c r="BHE232" s="297" t="s">
        <v>124</v>
      </c>
      <c r="BHF232" s="297" t="s">
        <v>124</v>
      </c>
      <c r="BHG232" s="297" t="s">
        <v>124</v>
      </c>
      <c r="BHH232" s="297" t="s">
        <v>124</v>
      </c>
      <c r="BHI232" s="297" t="s">
        <v>124</v>
      </c>
      <c r="BHJ232" s="297" t="s">
        <v>124</v>
      </c>
      <c r="BHK232" s="297" t="s">
        <v>124</v>
      </c>
      <c r="BHL232" s="297" t="s">
        <v>124</v>
      </c>
      <c r="BHM232" s="297" t="s">
        <v>124</v>
      </c>
      <c r="BHN232" s="297" t="s">
        <v>124</v>
      </c>
      <c r="BHO232" s="297" t="s">
        <v>124</v>
      </c>
      <c r="BHP232" s="297" t="s">
        <v>124</v>
      </c>
      <c r="BHQ232" s="297" t="s">
        <v>124</v>
      </c>
      <c r="BHR232" s="297" t="s">
        <v>124</v>
      </c>
      <c r="BHS232" s="297" t="s">
        <v>124</v>
      </c>
      <c r="BHT232" s="297" t="s">
        <v>124</v>
      </c>
      <c r="BHU232" s="297" t="s">
        <v>124</v>
      </c>
      <c r="BHV232" s="297" t="s">
        <v>124</v>
      </c>
      <c r="BHW232" s="297" t="s">
        <v>124</v>
      </c>
      <c r="BHX232" s="297" t="s">
        <v>124</v>
      </c>
      <c r="BHY232" s="297" t="s">
        <v>124</v>
      </c>
      <c r="BHZ232" s="297" t="s">
        <v>124</v>
      </c>
      <c r="BIA232" s="297" t="s">
        <v>124</v>
      </c>
      <c r="BIB232" s="297" t="s">
        <v>124</v>
      </c>
      <c r="BIC232" s="297" t="s">
        <v>124</v>
      </c>
      <c r="BID232" s="297" t="s">
        <v>124</v>
      </c>
      <c r="BIE232" s="297" t="s">
        <v>124</v>
      </c>
      <c r="BIF232" s="297" t="s">
        <v>124</v>
      </c>
      <c r="BIG232" s="297" t="s">
        <v>124</v>
      </c>
      <c r="BIH232" s="297" t="s">
        <v>124</v>
      </c>
      <c r="BII232" s="297" t="s">
        <v>124</v>
      </c>
      <c r="BIJ232" s="297" t="s">
        <v>124</v>
      </c>
      <c r="BIK232" s="297" t="s">
        <v>124</v>
      </c>
      <c r="BIL232" s="297" t="s">
        <v>124</v>
      </c>
      <c r="BIM232" s="297" t="s">
        <v>124</v>
      </c>
      <c r="BIN232" s="297" t="s">
        <v>124</v>
      </c>
      <c r="BIO232" s="297" t="s">
        <v>124</v>
      </c>
      <c r="BIP232" s="297" t="s">
        <v>124</v>
      </c>
      <c r="BIQ232" s="297" t="s">
        <v>124</v>
      </c>
      <c r="BIR232" s="297" t="s">
        <v>124</v>
      </c>
      <c r="BIS232" s="297" t="s">
        <v>124</v>
      </c>
      <c r="BIT232" s="297" t="s">
        <v>124</v>
      </c>
      <c r="BIU232" s="297" t="s">
        <v>124</v>
      </c>
      <c r="BIV232" s="297" t="s">
        <v>124</v>
      </c>
      <c r="BIW232" s="297" t="s">
        <v>124</v>
      </c>
      <c r="BIX232" s="297" t="s">
        <v>124</v>
      </c>
      <c r="BIY232" s="297" t="s">
        <v>124</v>
      </c>
      <c r="BIZ232" s="297" t="s">
        <v>124</v>
      </c>
      <c r="BJA232" s="297" t="s">
        <v>124</v>
      </c>
      <c r="BJB232" s="297" t="s">
        <v>124</v>
      </c>
      <c r="BJC232" s="297" t="s">
        <v>124</v>
      </c>
      <c r="BJD232" s="297" t="s">
        <v>124</v>
      </c>
      <c r="BJE232" s="297" t="s">
        <v>124</v>
      </c>
      <c r="BJF232" s="297" t="s">
        <v>124</v>
      </c>
      <c r="BJG232" s="297" t="s">
        <v>124</v>
      </c>
      <c r="BJH232" s="297" t="s">
        <v>124</v>
      </c>
      <c r="BJI232" s="297" t="s">
        <v>124</v>
      </c>
      <c r="BJJ232" s="297" t="s">
        <v>124</v>
      </c>
      <c r="BJK232" s="297" t="s">
        <v>124</v>
      </c>
      <c r="BJL232" s="297" t="s">
        <v>124</v>
      </c>
      <c r="BJM232" s="297" t="s">
        <v>124</v>
      </c>
      <c r="BJN232" s="297" t="s">
        <v>124</v>
      </c>
      <c r="BJO232" s="297" t="s">
        <v>124</v>
      </c>
      <c r="BJP232" s="297" t="s">
        <v>124</v>
      </c>
      <c r="BJQ232" s="297" t="s">
        <v>124</v>
      </c>
      <c r="BJR232" s="297" t="s">
        <v>124</v>
      </c>
      <c r="BJS232" s="297" t="s">
        <v>124</v>
      </c>
      <c r="BJT232" s="297" t="s">
        <v>124</v>
      </c>
      <c r="BJU232" s="297" t="s">
        <v>124</v>
      </c>
      <c r="BJV232" s="297" t="s">
        <v>124</v>
      </c>
      <c r="BJW232" s="297" t="s">
        <v>124</v>
      </c>
      <c r="BJX232" s="297" t="s">
        <v>124</v>
      </c>
      <c r="BJY232" s="297" t="s">
        <v>124</v>
      </c>
      <c r="BJZ232" s="297" t="s">
        <v>124</v>
      </c>
      <c r="BKA232" s="297" t="s">
        <v>124</v>
      </c>
      <c r="BKB232" s="297" t="s">
        <v>124</v>
      </c>
      <c r="BKC232" s="297" t="s">
        <v>124</v>
      </c>
      <c r="BKD232" s="297" t="s">
        <v>124</v>
      </c>
      <c r="BKE232" s="297" t="s">
        <v>124</v>
      </c>
      <c r="BKF232" s="297" t="s">
        <v>124</v>
      </c>
      <c r="BKG232" s="297" t="s">
        <v>124</v>
      </c>
      <c r="BKH232" s="297" t="s">
        <v>124</v>
      </c>
      <c r="BKI232" s="297" t="s">
        <v>124</v>
      </c>
      <c r="BKJ232" s="297" t="s">
        <v>124</v>
      </c>
      <c r="BKK232" s="297" t="s">
        <v>124</v>
      </c>
      <c r="BKL232" s="297" t="s">
        <v>124</v>
      </c>
      <c r="BKM232" s="297" t="s">
        <v>124</v>
      </c>
      <c r="BKN232" s="297" t="s">
        <v>124</v>
      </c>
      <c r="BKO232" s="297" t="s">
        <v>124</v>
      </c>
      <c r="BKP232" s="297" t="s">
        <v>124</v>
      </c>
      <c r="BKQ232" s="297" t="s">
        <v>124</v>
      </c>
      <c r="BKR232" s="297" t="s">
        <v>124</v>
      </c>
      <c r="BKS232" s="297" t="s">
        <v>124</v>
      </c>
      <c r="BKT232" s="297" t="s">
        <v>124</v>
      </c>
      <c r="BKU232" s="297" t="s">
        <v>124</v>
      </c>
      <c r="BKV232" s="297" t="s">
        <v>124</v>
      </c>
      <c r="BKW232" s="297" t="s">
        <v>124</v>
      </c>
      <c r="BKX232" s="297" t="s">
        <v>124</v>
      </c>
      <c r="BKY232" s="297" t="s">
        <v>124</v>
      </c>
      <c r="BKZ232" s="297" t="s">
        <v>124</v>
      </c>
      <c r="BLA232" s="297" t="s">
        <v>124</v>
      </c>
      <c r="BLB232" s="297" t="s">
        <v>124</v>
      </c>
      <c r="BLC232" s="297" t="s">
        <v>124</v>
      </c>
      <c r="BLD232" s="297" t="s">
        <v>124</v>
      </c>
      <c r="BLE232" s="297" t="s">
        <v>124</v>
      </c>
      <c r="BLF232" s="297" t="s">
        <v>124</v>
      </c>
      <c r="BLG232" s="297" t="s">
        <v>124</v>
      </c>
      <c r="BLH232" s="297" t="s">
        <v>124</v>
      </c>
      <c r="BLI232" s="297" t="s">
        <v>124</v>
      </c>
      <c r="BLJ232" s="297" t="s">
        <v>124</v>
      </c>
      <c r="BLK232" s="297" t="s">
        <v>124</v>
      </c>
      <c r="BLL232" s="297" t="s">
        <v>124</v>
      </c>
      <c r="BLM232" s="297" t="s">
        <v>124</v>
      </c>
      <c r="BLN232" s="297" t="s">
        <v>124</v>
      </c>
      <c r="BLO232" s="297" t="s">
        <v>124</v>
      </c>
      <c r="BLP232" s="297" t="s">
        <v>124</v>
      </c>
      <c r="BLQ232" s="297" t="s">
        <v>124</v>
      </c>
      <c r="BLR232" s="297" t="s">
        <v>124</v>
      </c>
      <c r="BLS232" s="297" t="s">
        <v>124</v>
      </c>
      <c r="BLT232" s="297" t="s">
        <v>124</v>
      </c>
      <c r="BLU232" s="297" t="s">
        <v>124</v>
      </c>
      <c r="BLV232" s="297" t="s">
        <v>124</v>
      </c>
      <c r="BLW232" s="297" t="s">
        <v>124</v>
      </c>
      <c r="BLX232" s="297" t="s">
        <v>124</v>
      </c>
      <c r="BLY232" s="297" t="s">
        <v>124</v>
      </c>
      <c r="BLZ232" s="297" t="s">
        <v>124</v>
      </c>
      <c r="BMA232" s="297" t="s">
        <v>124</v>
      </c>
      <c r="BMB232" s="297" t="s">
        <v>124</v>
      </c>
      <c r="BMC232" s="297" t="s">
        <v>124</v>
      </c>
      <c r="BMD232" s="297" t="s">
        <v>124</v>
      </c>
      <c r="BME232" s="297" t="s">
        <v>124</v>
      </c>
      <c r="BMF232" s="297" t="s">
        <v>124</v>
      </c>
      <c r="BMG232" s="297" t="s">
        <v>124</v>
      </c>
      <c r="BMH232" s="297" t="s">
        <v>124</v>
      </c>
      <c r="BMI232" s="297" t="s">
        <v>124</v>
      </c>
      <c r="BMJ232" s="297" t="s">
        <v>124</v>
      </c>
      <c r="BMK232" s="297" t="s">
        <v>124</v>
      </c>
      <c r="BML232" s="297" t="s">
        <v>124</v>
      </c>
      <c r="BMM232" s="297" t="s">
        <v>124</v>
      </c>
      <c r="BMN232" s="297" t="s">
        <v>124</v>
      </c>
      <c r="BMO232" s="297" t="s">
        <v>124</v>
      </c>
      <c r="BMP232" s="297" t="s">
        <v>124</v>
      </c>
      <c r="BMQ232" s="297" t="s">
        <v>124</v>
      </c>
      <c r="BMR232" s="297" t="s">
        <v>124</v>
      </c>
      <c r="BMS232" s="297" t="s">
        <v>124</v>
      </c>
      <c r="BMT232" s="297" t="s">
        <v>124</v>
      </c>
      <c r="BMU232" s="297" t="s">
        <v>124</v>
      </c>
      <c r="BMV232" s="297" t="s">
        <v>124</v>
      </c>
      <c r="BMW232" s="297" t="s">
        <v>124</v>
      </c>
      <c r="BMX232" s="297" t="s">
        <v>124</v>
      </c>
      <c r="BMY232" s="297" t="s">
        <v>124</v>
      </c>
      <c r="BMZ232" s="297" t="s">
        <v>124</v>
      </c>
      <c r="BNA232" s="297" t="s">
        <v>124</v>
      </c>
      <c r="BNB232" s="297" t="s">
        <v>124</v>
      </c>
      <c r="BNC232" s="297" t="s">
        <v>124</v>
      </c>
      <c r="BND232" s="297" t="s">
        <v>124</v>
      </c>
      <c r="BNE232" s="297" t="s">
        <v>124</v>
      </c>
      <c r="BNF232" s="297" t="s">
        <v>124</v>
      </c>
      <c r="BNG232" s="297" t="s">
        <v>124</v>
      </c>
      <c r="BNH232" s="297" t="s">
        <v>124</v>
      </c>
      <c r="BNI232" s="297" t="s">
        <v>124</v>
      </c>
      <c r="BNJ232" s="297" t="s">
        <v>124</v>
      </c>
      <c r="BNK232" s="297" t="s">
        <v>124</v>
      </c>
      <c r="BNL232" s="297" t="s">
        <v>124</v>
      </c>
      <c r="BNM232" s="297" t="s">
        <v>124</v>
      </c>
      <c r="BNN232" s="297" t="s">
        <v>124</v>
      </c>
      <c r="BNO232" s="297" t="s">
        <v>124</v>
      </c>
      <c r="BNP232" s="297" t="s">
        <v>124</v>
      </c>
      <c r="BNQ232" s="297" t="s">
        <v>124</v>
      </c>
      <c r="BNR232" s="297" t="s">
        <v>124</v>
      </c>
      <c r="BNS232" s="297" t="s">
        <v>124</v>
      </c>
      <c r="BNT232" s="297" t="s">
        <v>124</v>
      </c>
      <c r="BNU232" s="297" t="s">
        <v>124</v>
      </c>
      <c r="BNV232" s="297" t="s">
        <v>124</v>
      </c>
      <c r="BNW232" s="297" t="s">
        <v>124</v>
      </c>
      <c r="BNX232" s="297" t="s">
        <v>124</v>
      </c>
      <c r="BNY232" s="297" t="s">
        <v>124</v>
      </c>
      <c r="BNZ232" s="297" t="s">
        <v>124</v>
      </c>
      <c r="BOA232" s="297" t="s">
        <v>124</v>
      </c>
      <c r="BOB232" s="297" t="s">
        <v>124</v>
      </c>
      <c r="BOC232" s="297" t="s">
        <v>124</v>
      </c>
      <c r="BOD232" s="297" t="s">
        <v>124</v>
      </c>
      <c r="BOE232" s="297" t="s">
        <v>124</v>
      </c>
      <c r="BOF232" s="297" t="s">
        <v>124</v>
      </c>
      <c r="BOG232" s="297" t="s">
        <v>124</v>
      </c>
      <c r="BOH232" s="297" t="s">
        <v>124</v>
      </c>
      <c r="BOI232" s="297" t="s">
        <v>124</v>
      </c>
      <c r="BOJ232" s="297" t="s">
        <v>124</v>
      </c>
      <c r="BOK232" s="297" t="s">
        <v>124</v>
      </c>
      <c r="BOL232" s="297" t="s">
        <v>124</v>
      </c>
      <c r="BOM232" s="297" t="s">
        <v>124</v>
      </c>
      <c r="BON232" s="297" t="s">
        <v>124</v>
      </c>
      <c r="BOO232" s="297" t="s">
        <v>124</v>
      </c>
      <c r="BOP232" s="297" t="s">
        <v>124</v>
      </c>
      <c r="BOQ232" s="297" t="s">
        <v>124</v>
      </c>
      <c r="BOR232" s="297" t="s">
        <v>124</v>
      </c>
      <c r="BOS232" s="297" t="s">
        <v>124</v>
      </c>
      <c r="BOT232" s="297" t="s">
        <v>124</v>
      </c>
      <c r="BOU232" s="297" t="s">
        <v>124</v>
      </c>
      <c r="BOV232" s="297" t="s">
        <v>124</v>
      </c>
      <c r="BOW232" s="297" t="s">
        <v>124</v>
      </c>
      <c r="BOX232" s="297" t="s">
        <v>124</v>
      </c>
      <c r="BOY232" s="297" t="s">
        <v>124</v>
      </c>
      <c r="BOZ232" s="297" t="s">
        <v>124</v>
      </c>
      <c r="BPA232" s="297" t="s">
        <v>124</v>
      </c>
      <c r="BPB232" s="297" t="s">
        <v>124</v>
      </c>
      <c r="BPC232" s="297" t="s">
        <v>124</v>
      </c>
      <c r="BPD232" s="297" t="s">
        <v>124</v>
      </c>
      <c r="BPE232" s="297" t="s">
        <v>124</v>
      </c>
      <c r="BPF232" s="297" t="s">
        <v>124</v>
      </c>
      <c r="BPG232" s="297" t="s">
        <v>124</v>
      </c>
      <c r="BPH232" s="297" t="s">
        <v>124</v>
      </c>
      <c r="BPI232" s="297" t="s">
        <v>124</v>
      </c>
      <c r="BPJ232" s="297" t="s">
        <v>124</v>
      </c>
      <c r="BPK232" s="297" t="s">
        <v>124</v>
      </c>
      <c r="BPL232" s="297" t="s">
        <v>124</v>
      </c>
      <c r="BPM232" s="297" t="s">
        <v>124</v>
      </c>
      <c r="BPN232" s="297" t="s">
        <v>124</v>
      </c>
      <c r="BPO232" s="297" t="s">
        <v>124</v>
      </c>
      <c r="BPP232" s="297" t="s">
        <v>124</v>
      </c>
      <c r="BPQ232" s="297" t="s">
        <v>124</v>
      </c>
      <c r="BPR232" s="297" t="s">
        <v>124</v>
      </c>
      <c r="BPS232" s="297" t="s">
        <v>124</v>
      </c>
      <c r="BPT232" s="297" t="s">
        <v>124</v>
      </c>
      <c r="BPU232" s="297" t="s">
        <v>124</v>
      </c>
      <c r="BPV232" s="297" t="s">
        <v>124</v>
      </c>
      <c r="BPW232" s="297" t="s">
        <v>124</v>
      </c>
      <c r="BPX232" s="297" t="s">
        <v>124</v>
      </c>
      <c r="BPY232" s="297" t="s">
        <v>124</v>
      </c>
      <c r="BPZ232" s="297" t="s">
        <v>124</v>
      </c>
      <c r="BQA232" s="297" t="s">
        <v>124</v>
      </c>
      <c r="BQB232" s="297" t="s">
        <v>124</v>
      </c>
      <c r="BQC232" s="297" t="s">
        <v>124</v>
      </c>
      <c r="BQD232" s="297" t="s">
        <v>124</v>
      </c>
      <c r="BQE232" s="297" t="s">
        <v>124</v>
      </c>
      <c r="BQF232" s="297" t="s">
        <v>124</v>
      </c>
      <c r="BQG232" s="297" t="s">
        <v>124</v>
      </c>
      <c r="BQH232" s="297" t="s">
        <v>124</v>
      </c>
      <c r="BQI232" s="297" t="s">
        <v>124</v>
      </c>
      <c r="BQJ232" s="297" t="s">
        <v>124</v>
      </c>
      <c r="BQK232" s="297" t="s">
        <v>124</v>
      </c>
      <c r="BQL232" s="297" t="s">
        <v>124</v>
      </c>
      <c r="BQM232" s="297" t="s">
        <v>124</v>
      </c>
      <c r="BQN232" s="297" t="s">
        <v>124</v>
      </c>
      <c r="BQO232" s="297" t="s">
        <v>124</v>
      </c>
      <c r="BQP232" s="297" t="s">
        <v>124</v>
      </c>
      <c r="BQQ232" s="297" t="s">
        <v>124</v>
      </c>
      <c r="BQR232" s="297" t="s">
        <v>124</v>
      </c>
      <c r="BQS232" s="297" t="s">
        <v>124</v>
      </c>
      <c r="BQT232" s="297" t="s">
        <v>124</v>
      </c>
      <c r="BQU232" s="297" t="s">
        <v>124</v>
      </c>
      <c r="BQV232" s="297" t="s">
        <v>124</v>
      </c>
      <c r="BQW232" s="297" t="s">
        <v>124</v>
      </c>
      <c r="BQX232" s="297" t="s">
        <v>124</v>
      </c>
      <c r="BQY232" s="297" t="s">
        <v>124</v>
      </c>
      <c r="BQZ232" s="297" t="s">
        <v>124</v>
      </c>
      <c r="BRA232" s="297" t="s">
        <v>124</v>
      </c>
      <c r="BRB232" s="297" t="s">
        <v>124</v>
      </c>
      <c r="BRC232" s="297" t="s">
        <v>124</v>
      </c>
      <c r="BRD232" s="297" t="s">
        <v>124</v>
      </c>
      <c r="BRE232" s="297" t="s">
        <v>124</v>
      </c>
      <c r="BRF232" s="297" t="s">
        <v>124</v>
      </c>
      <c r="BRG232" s="297" t="s">
        <v>124</v>
      </c>
      <c r="BRH232" s="297" t="s">
        <v>124</v>
      </c>
      <c r="BRI232" s="297" t="s">
        <v>124</v>
      </c>
      <c r="BRJ232" s="297" t="s">
        <v>124</v>
      </c>
      <c r="BRK232" s="297" t="s">
        <v>124</v>
      </c>
      <c r="BRL232" s="297" t="s">
        <v>124</v>
      </c>
      <c r="BRM232" s="297" t="s">
        <v>124</v>
      </c>
      <c r="BRN232" s="297" t="s">
        <v>124</v>
      </c>
      <c r="BRO232" s="297" t="s">
        <v>124</v>
      </c>
      <c r="BRP232" s="297" t="s">
        <v>124</v>
      </c>
      <c r="BRQ232" s="297" t="s">
        <v>124</v>
      </c>
      <c r="BRR232" s="297" t="s">
        <v>124</v>
      </c>
      <c r="BRS232" s="297" t="s">
        <v>124</v>
      </c>
      <c r="BRT232" s="297" t="s">
        <v>124</v>
      </c>
      <c r="BRU232" s="297" t="s">
        <v>124</v>
      </c>
      <c r="BRV232" s="297" t="s">
        <v>124</v>
      </c>
      <c r="BRW232" s="297" t="s">
        <v>124</v>
      </c>
      <c r="BRX232" s="297" t="s">
        <v>124</v>
      </c>
      <c r="BRY232" s="297" t="s">
        <v>124</v>
      </c>
      <c r="BRZ232" s="297" t="s">
        <v>124</v>
      </c>
      <c r="BSA232" s="297" t="s">
        <v>124</v>
      </c>
      <c r="BSB232" s="297" t="s">
        <v>124</v>
      </c>
      <c r="BSC232" s="297" t="s">
        <v>124</v>
      </c>
      <c r="BSD232" s="297" t="s">
        <v>124</v>
      </c>
      <c r="BSE232" s="297" t="s">
        <v>124</v>
      </c>
      <c r="BSF232" s="297" t="s">
        <v>124</v>
      </c>
      <c r="BSG232" s="297" t="s">
        <v>124</v>
      </c>
      <c r="BSH232" s="297" t="s">
        <v>124</v>
      </c>
      <c r="BSI232" s="297" t="s">
        <v>124</v>
      </c>
      <c r="BSJ232" s="297" t="s">
        <v>124</v>
      </c>
      <c r="BSK232" s="297" t="s">
        <v>124</v>
      </c>
      <c r="BSL232" s="297" t="s">
        <v>124</v>
      </c>
      <c r="BSM232" s="297" t="s">
        <v>124</v>
      </c>
      <c r="BSN232" s="297" t="s">
        <v>124</v>
      </c>
      <c r="BSO232" s="297" t="s">
        <v>124</v>
      </c>
      <c r="BSP232" s="297" t="s">
        <v>124</v>
      </c>
      <c r="BSQ232" s="297" t="s">
        <v>124</v>
      </c>
      <c r="BSR232" s="297" t="s">
        <v>124</v>
      </c>
      <c r="BSS232" s="297" t="s">
        <v>124</v>
      </c>
      <c r="BST232" s="297" t="s">
        <v>124</v>
      </c>
      <c r="BSU232" s="297" t="s">
        <v>124</v>
      </c>
      <c r="BSV232" s="297" t="s">
        <v>124</v>
      </c>
      <c r="BSW232" s="297" t="s">
        <v>124</v>
      </c>
      <c r="BSX232" s="297" t="s">
        <v>124</v>
      </c>
      <c r="BSY232" s="297" t="s">
        <v>124</v>
      </c>
      <c r="BSZ232" s="297" t="s">
        <v>124</v>
      </c>
      <c r="BTA232" s="297" t="s">
        <v>124</v>
      </c>
      <c r="BTB232" s="297" t="s">
        <v>124</v>
      </c>
      <c r="BTC232" s="297" t="s">
        <v>124</v>
      </c>
      <c r="BTD232" s="297" t="s">
        <v>124</v>
      </c>
      <c r="BTE232" s="297" t="s">
        <v>124</v>
      </c>
      <c r="BTF232" s="297" t="s">
        <v>124</v>
      </c>
      <c r="BTG232" s="297" t="s">
        <v>124</v>
      </c>
      <c r="BTH232" s="297" t="s">
        <v>124</v>
      </c>
      <c r="BTI232" s="297" t="s">
        <v>124</v>
      </c>
      <c r="BTJ232" s="297" t="s">
        <v>124</v>
      </c>
      <c r="BTK232" s="297" t="s">
        <v>124</v>
      </c>
      <c r="BTL232" s="297" t="s">
        <v>124</v>
      </c>
      <c r="BTM232" s="297" t="s">
        <v>124</v>
      </c>
      <c r="BTN232" s="297" t="s">
        <v>124</v>
      </c>
      <c r="BTO232" s="297" t="s">
        <v>124</v>
      </c>
      <c r="BTP232" s="297" t="s">
        <v>124</v>
      </c>
      <c r="BTQ232" s="297" t="s">
        <v>124</v>
      </c>
      <c r="BTR232" s="297" t="s">
        <v>124</v>
      </c>
      <c r="BTS232" s="297" t="s">
        <v>124</v>
      </c>
      <c r="BTT232" s="297" t="s">
        <v>124</v>
      </c>
      <c r="BTU232" s="297" t="s">
        <v>124</v>
      </c>
      <c r="BTV232" s="297" t="s">
        <v>124</v>
      </c>
      <c r="BTW232" s="297" t="s">
        <v>124</v>
      </c>
      <c r="BTX232" s="297" t="s">
        <v>124</v>
      </c>
      <c r="BTY232" s="297" t="s">
        <v>124</v>
      </c>
      <c r="BTZ232" s="297" t="s">
        <v>124</v>
      </c>
      <c r="BUA232" s="297" t="s">
        <v>124</v>
      </c>
      <c r="BUB232" s="297" t="s">
        <v>124</v>
      </c>
      <c r="BUC232" s="297" t="s">
        <v>124</v>
      </c>
      <c r="BUD232" s="297" t="s">
        <v>124</v>
      </c>
      <c r="BUE232" s="297" t="s">
        <v>124</v>
      </c>
      <c r="BUF232" s="297" t="s">
        <v>124</v>
      </c>
      <c r="BUG232" s="297" t="s">
        <v>124</v>
      </c>
      <c r="BUH232" s="297" t="s">
        <v>124</v>
      </c>
      <c r="BUI232" s="297" t="s">
        <v>124</v>
      </c>
      <c r="BUJ232" s="297" t="s">
        <v>124</v>
      </c>
      <c r="BUK232" s="297" t="s">
        <v>124</v>
      </c>
      <c r="BUL232" s="297" t="s">
        <v>124</v>
      </c>
      <c r="BUM232" s="297" t="s">
        <v>124</v>
      </c>
      <c r="BUN232" s="297" t="s">
        <v>124</v>
      </c>
      <c r="BUO232" s="297" t="s">
        <v>124</v>
      </c>
      <c r="BUP232" s="297" t="s">
        <v>124</v>
      </c>
      <c r="BUQ232" s="297" t="s">
        <v>124</v>
      </c>
      <c r="BUR232" s="297" t="s">
        <v>124</v>
      </c>
      <c r="BUS232" s="297" t="s">
        <v>124</v>
      </c>
      <c r="BUT232" s="297" t="s">
        <v>124</v>
      </c>
      <c r="BUU232" s="297" t="s">
        <v>124</v>
      </c>
      <c r="BUV232" s="297" t="s">
        <v>124</v>
      </c>
      <c r="BUW232" s="297" t="s">
        <v>124</v>
      </c>
      <c r="BUX232" s="297" t="s">
        <v>124</v>
      </c>
      <c r="BUY232" s="297" t="s">
        <v>124</v>
      </c>
      <c r="BUZ232" s="297" t="s">
        <v>124</v>
      </c>
      <c r="BVA232" s="297" t="s">
        <v>124</v>
      </c>
      <c r="BVB232" s="297" t="s">
        <v>124</v>
      </c>
      <c r="BVC232" s="297" t="s">
        <v>124</v>
      </c>
      <c r="BVD232" s="297" t="s">
        <v>124</v>
      </c>
      <c r="BVE232" s="297" t="s">
        <v>124</v>
      </c>
      <c r="BVF232" s="297" t="s">
        <v>124</v>
      </c>
      <c r="BVG232" s="297" t="s">
        <v>124</v>
      </c>
      <c r="BVH232" s="297" t="s">
        <v>124</v>
      </c>
      <c r="BVI232" s="297" t="s">
        <v>124</v>
      </c>
      <c r="BVJ232" s="297" t="s">
        <v>124</v>
      </c>
      <c r="BVK232" s="297" t="s">
        <v>124</v>
      </c>
      <c r="BVL232" s="297" t="s">
        <v>124</v>
      </c>
      <c r="BVM232" s="297" t="s">
        <v>124</v>
      </c>
      <c r="BVN232" s="297" t="s">
        <v>124</v>
      </c>
      <c r="BVO232" s="297" t="s">
        <v>124</v>
      </c>
      <c r="BVP232" s="297" t="s">
        <v>124</v>
      </c>
      <c r="BVQ232" s="297" t="s">
        <v>124</v>
      </c>
      <c r="BVR232" s="297" t="s">
        <v>124</v>
      </c>
      <c r="BVS232" s="297" t="s">
        <v>124</v>
      </c>
      <c r="BVT232" s="297" t="s">
        <v>124</v>
      </c>
      <c r="BVU232" s="297" t="s">
        <v>124</v>
      </c>
      <c r="BVV232" s="297" t="s">
        <v>124</v>
      </c>
      <c r="BVW232" s="297" t="s">
        <v>124</v>
      </c>
      <c r="BVX232" s="297" t="s">
        <v>124</v>
      </c>
      <c r="BVY232" s="297" t="s">
        <v>124</v>
      </c>
      <c r="BVZ232" s="297" t="s">
        <v>124</v>
      </c>
      <c r="BWA232" s="297" t="s">
        <v>124</v>
      </c>
      <c r="BWB232" s="297" t="s">
        <v>124</v>
      </c>
      <c r="BWC232" s="297" t="s">
        <v>124</v>
      </c>
      <c r="BWD232" s="297" t="s">
        <v>124</v>
      </c>
      <c r="BWE232" s="297" t="s">
        <v>124</v>
      </c>
      <c r="BWF232" s="297" t="s">
        <v>124</v>
      </c>
      <c r="BWG232" s="297" t="s">
        <v>124</v>
      </c>
      <c r="BWH232" s="297" t="s">
        <v>124</v>
      </c>
      <c r="BWI232" s="297" t="s">
        <v>124</v>
      </c>
      <c r="BWJ232" s="297" t="s">
        <v>124</v>
      </c>
      <c r="BWK232" s="297" t="s">
        <v>124</v>
      </c>
      <c r="BWL232" s="297" t="s">
        <v>124</v>
      </c>
      <c r="BWM232" s="297" t="s">
        <v>124</v>
      </c>
      <c r="BWN232" s="297" t="s">
        <v>124</v>
      </c>
      <c r="BWO232" s="297" t="s">
        <v>124</v>
      </c>
      <c r="BWP232" s="297" t="s">
        <v>124</v>
      </c>
      <c r="BWQ232" s="297" t="s">
        <v>124</v>
      </c>
      <c r="BWR232" s="297" t="s">
        <v>124</v>
      </c>
      <c r="BWS232" s="297" t="s">
        <v>124</v>
      </c>
      <c r="BWT232" s="297" t="s">
        <v>124</v>
      </c>
      <c r="BWU232" s="297" t="s">
        <v>124</v>
      </c>
      <c r="BWV232" s="297" t="s">
        <v>124</v>
      </c>
      <c r="BWW232" s="297" t="s">
        <v>124</v>
      </c>
      <c r="BWX232" s="297" t="s">
        <v>124</v>
      </c>
      <c r="BWY232" s="297" t="s">
        <v>124</v>
      </c>
      <c r="BWZ232" s="297" t="s">
        <v>124</v>
      </c>
      <c r="BXA232" s="297" t="s">
        <v>124</v>
      </c>
      <c r="BXB232" s="297" t="s">
        <v>124</v>
      </c>
      <c r="BXC232" s="297" t="s">
        <v>124</v>
      </c>
      <c r="BXD232" s="297" t="s">
        <v>124</v>
      </c>
      <c r="BXE232" s="297" t="s">
        <v>124</v>
      </c>
      <c r="BXF232" s="297" t="s">
        <v>124</v>
      </c>
      <c r="BXG232" s="297" t="s">
        <v>124</v>
      </c>
      <c r="BXH232" s="297" t="s">
        <v>124</v>
      </c>
      <c r="BXI232" s="297" t="s">
        <v>124</v>
      </c>
      <c r="BXJ232" s="297" t="s">
        <v>124</v>
      </c>
      <c r="BXK232" s="297" t="s">
        <v>124</v>
      </c>
      <c r="BXL232" s="297" t="s">
        <v>124</v>
      </c>
      <c r="BXM232" s="297" t="s">
        <v>124</v>
      </c>
      <c r="BXN232" s="297" t="s">
        <v>124</v>
      </c>
      <c r="BXO232" s="297" t="s">
        <v>124</v>
      </c>
      <c r="BXP232" s="297" t="s">
        <v>124</v>
      </c>
      <c r="BXQ232" s="297" t="s">
        <v>124</v>
      </c>
      <c r="BXR232" s="297" t="s">
        <v>124</v>
      </c>
      <c r="BXS232" s="297" t="s">
        <v>124</v>
      </c>
      <c r="BXT232" s="297" t="s">
        <v>124</v>
      </c>
      <c r="BXU232" s="297" t="s">
        <v>124</v>
      </c>
      <c r="BXV232" s="297" t="s">
        <v>124</v>
      </c>
      <c r="BXW232" s="297" t="s">
        <v>124</v>
      </c>
      <c r="BXX232" s="297" t="s">
        <v>124</v>
      </c>
      <c r="BXY232" s="297" t="s">
        <v>124</v>
      </c>
      <c r="BXZ232" s="297" t="s">
        <v>124</v>
      </c>
      <c r="BYA232" s="297" t="s">
        <v>124</v>
      </c>
      <c r="BYB232" s="297" t="s">
        <v>124</v>
      </c>
      <c r="BYC232" s="297" t="s">
        <v>124</v>
      </c>
      <c r="BYD232" s="297" t="s">
        <v>124</v>
      </c>
      <c r="BYE232" s="297" t="s">
        <v>124</v>
      </c>
      <c r="BYF232" s="297" t="s">
        <v>124</v>
      </c>
      <c r="BYG232" s="297" t="s">
        <v>124</v>
      </c>
      <c r="BYH232" s="297" t="s">
        <v>124</v>
      </c>
      <c r="BYI232" s="297" t="s">
        <v>124</v>
      </c>
      <c r="BYJ232" s="297" t="s">
        <v>124</v>
      </c>
      <c r="BYK232" s="297" t="s">
        <v>124</v>
      </c>
      <c r="BYL232" s="297" t="s">
        <v>124</v>
      </c>
      <c r="BYM232" s="297" t="s">
        <v>124</v>
      </c>
      <c r="BYN232" s="297" t="s">
        <v>124</v>
      </c>
      <c r="BYO232" s="297" t="s">
        <v>124</v>
      </c>
      <c r="BYP232" s="297" t="s">
        <v>124</v>
      </c>
      <c r="BYQ232" s="297" t="s">
        <v>124</v>
      </c>
      <c r="BYR232" s="297" t="s">
        <v>124</v>
      </c>
      <c r="BYS232" s="297" t="s">
        <v>124</v>
      </c>
      <c r="BYT232" s="297" t="s">
        <v>124</v>
      </c>
      <c r="BYU232" s="297" t="s">
        <v>124</v>
      </c>
      <c r="BYV232" s="297" t="s">
        <v>124</v>
      </c>
      <c r="BYW232" s="297" t="s">
        <v>124</v>
      </c>
      <c r="BYX232" s="297" t="s">
        <v>124</v>
      </c>
      <c r="BYY232" s="297" t="s">
        <v>124</v>
      </c>
      <c r="BYZ232" s="297" t="s">
        <v>124</v>
      </c>
      <c r="BZA232" s="297" t="s">
        <v>124</v>
      </c>
      <c r="BZB232" s="297" t="s">
        <v>124</v>
      </c>
      <c r="BZC232" s="297" t="s">
        <v>124</v>
      </c>
      <c r="BZD232" s="297" t="s">
        <v>124</v>
      </c>
      <c r="BZE232" s="297" t="s">
        <v>124</v>
      </c>
      <c r="BZF232" s="297" t="s">
        <v>124</v>
      </c>
      <c r="BZG232" s="297" t="s">
        <v>124</v>
      </c>
      <c r="BZH232" s="297" t="s">
        <v>124</v>
      </c>
      <c r="BZI232" s="297" t="s">
        <v>124</v>
      </c>
      <c r="BZJ232" s="297" t="s">
        <v>124</v>
      </c>
      <c r="BZK232" s="297" t="s">
        <v>124</v>
      </c>
      <c r="BZL232" s="297" t="s">
        <v>124</v>
      </c>
      <c r="BZM232" s="297" t="s">
        <v>124</v>
      </c>
      <c r="BZN232" s="297" t="s">
        <v>124</v>
      </c>
      <c r="BZO232" s="297" t="s">
        <v>124</v>
      </c>
      <c r="BZP232" s="297" t="s">
        <v>124</v>
      </c>
      <c r="BZQ232" s="297" t="s">
        <v>124</v>
      </c>
      <c r="BZR232" s="297" t="s">
        <v>124</v>
      </c>
      <c r="BZS232" s="297" t="s">
        <v>124</v>
      </c>
      <c r="BZT232" s="297" t="s">
        <v>124</v>
      </c>
      <c r="BZU232" s="297" t="s">
        <v>124</v>
      </c>
      <c r="BZV232" s="297" t="s">
        <v>124</v>
      </c>
      <c r="BZW232" s="297" t="s">
        <v>124</v>
      </c>
      <c r="BZX232" s="297" t="s">
        <v>124</v>
      </c>
      <c r="BZY232" s="297" t="s">
        <v>124</v>
      </c>
      <c r="BZZ232" s="297" t="s">
        <v>124</v>
      </c>
      <c r="CAA232" s="297" t="s">
        <v>124</v>
      </c>
      <c r="CAB232" s="297" t="s">
        <v>124</v>
      </c>
      <c r="CAC232" s="297" t="s">
        <v>124</v>
      </c>
      <c r="CAD232" s="297" t="s">
        <v>124</v>
      </c>
      <c r="CAE232" s="297" t="s">
        <v>124</v>
      </c>
      <c r="CAF232" s="297" t="s">
        <v>124</v>
      </c>
      <c r="CAG232" s="297" t="s">
        <v>124</v>
      </c>
      <c r="CAH232" s="297" t="s">
        <v>124</v>
      </c>
      <c r="CAI232" s="297" t="s">
        <v>124</v>
      </c>
      <c r="CAJ232" s="297" t="s">
        <v>124</v>
      </c>
      <c r="CAK232" s="297" t="s">
        <v>124</v>
      </c>
      <c r="CAL232" s="297" t="s">
        <v>124</v>
      </c>
      <c r="CAM232" s="297" t="s">
        <v>124</v>
      </c>
      <c r="CAN232" s="297" t="s">
        <v>124</v>
      </c>
      <c r="CAO232" s="297" t="s">
        <v>124</v>
      </c>
      <c r="CAP232" s="297" t="s">
        <v>124</v>
      </c>
      <c r="CAQ232" s="297" t="s">
        <v>124</v>
      </c>
      <c r="CAR232" s="297" t="s">
        <v>124</v>
      </c>
      <c r="CAS232" s="297" t="s">
        <v>124</v>
      </c>
      <c r="CAT232" s="297" t="s">
        <v>124</v>
      </c>
      <c r="CAU232" s="297" t="s">
        <v>124</v>
      </c>
      <c r="CAV232" s="297" t="s">
        <v>124</v>
      </c>
      <c r="CAW232" s="297" t="s">
        <v>124</v>
      </c>
      <c r="CAX232" s="297" t="s">
        <v>124</v>
      </c>
      <c r="CAY232" s="297" t="s">
        <v>124</v>
      </c>
      <c r="CAZ232" s="297" t="s">
        <v>124</v>
      </c>
      <c r="CBA232" s="297" t="s">
        <v>124</v>
      </c>
      <c r="CBB232" s="297" t="s">
        <v>124</v>
      </c>
      <c r="CBC232" s="297" t="s">
        <v>124</v>
      </c>
      <c r="CBD232" s="297" t="s">
        <v>124</v>
      </c>
      <c r="CBE232" s="297" t="s">
        <v>124</v>
      </c>
      <c r="CBF232" s="297" t="s">
        <v>124</v>
      </c>
      <c r="CBG232" s="297" t="s">
        <v>124</v>
      </c>
      <c r="CBH232" s="297" t="s">
        <v>124</v>
      </c>
      <c r="CBI232" s="297" t="s">
        <v>124</v>
      </c>
      <c r="CBJ232" s="297" t="s">
        <v>124</v>
      </c>
      <c r="CBK232" s="297" t="s">
        <v>124</v>
      </c>
      <c r="CBL232" s="297" t="s">
        <v>124</v>
      </c>
      <c r="CBM232" s="297" t="s">
        <v>124</v>
      </c>
      <c r="CBN232" s="297" t="s">
        <v>124</v>
      </c>
      <c r="CBO232" s="297" t="s">
        <v>124</v>
      </c>
      <c r="CBP232" s="297" t="s">
        <v>124</v>
      </c>
      <c r="CBQ232" s="297" t="s">
        <v>124</v>
      </c>
      <c r="CBR232" s="297" t="s">
        <v>124</v>
      </c>
      <c r="CBS232" s="297" t="s">
        <v>124</v>
      </c>
      <c r="CBT232" s="297" t="s">
        <v>124</v>
      </c>
      <c r="CBU232" s="297" t="s">
        <v>124</v>
      </c>
      <c r="CBV232" s="297" t="s">
        <v>124</v>
      </c>
      <c r="CBW232" s="297" t="s">
        <v>124</v>
      </c>
      <c r="CBX232" s="297" t="s">
        <v>124</v>
      </c>
      <c r="CBY232" s="297" t="s">
        <v>124</v>
      </c>
      <c r="CBZ232" s="297" t="s">
        <v>124</v>
      </c>
      <c r="CCA232" s="297" t="s">
        <v>124</v>
      </c>
      <c r="CCB232" s="297" t="s">
        <v>124</v>
      </c>
      <c r="CCC232" s="297" t="s">
        <v>124</v>
      </c>
      <c r="CCD232" s="297" t="s">
        <v>124</v>
      </c>
      <c r="CCE232" s="297" t="s">
        <v>124</v>
      </c>
      <c r="CCF232" s="297" t="s">
        <v>124</v>
      </c>
      <c r="CCG232" s="297" t="s">
        <v>124</v>
      </c>
      <c r="CCH232" s="297" t="s">
        <v>124</v>
      </c>
      <c r="CCI232" s="297" t="s">
        <v>124</v>
      </c>
      <c r="CCJ232" s="297" t="s">
        <v>124</v>
      </c>
      <c r="CCK232" s="297" t="s">
        <v>124</v>
      </c>
      <c r="CCL232" s="297" t="s">
        <v>124</v>
      </c>
      <c r="CCM232" s="297" t="s">
        <v>124</v>
      </c>
      <c r="CCN232" s="297" t="s">
        <v>124</v>
      </c>
      <c r="CCO232" s="297" t="s">
        <v>124</v>
      </c>
      <c r="CCP232" s="297" t="s">
        <v>124</v>
      </c>
      <c r="CCQ232" s="297" t="s">
        <v>124</v>
      </c>
      <c r="CCR232" s="297" t="s">
        <v>124</v>
      </c>
      <c r="CCS232" s="297" t="s">
        <v>124</v>
      </c>
      <c r="CCT232" s="297" t="s">
        <v>124</v>
      </c>
      <c r="CCU232" s="297" t="s">
        <v>124</v>
      </c>
      <c r="CCV232" s="297" t="s">
        <v>124</v>
      </c>
      <c r="CCW232" s="297" t="s">
        <v>124</v>
      </c>
      <c r="CCX232" s="297" t="s">
        <v>124</v>
      </c>
      <c r="CCY232" s="297" t="s">
        <v>124</v>
      </c>
      <c r="CCZ232" s="297" t="s">
        <v>124</v>
      </c>
      <c r="CDA232" s="297" t="s">
        <v>124</v>
      </c>
      <c r="CDB232" s="297" t="s">
        <v>124</v>
      </c>
      <c r="CDC232" s="297" t="s">
        <v>124</v>
      </c>
      <c r="CDD232" s="297" t="s">
        <v>124</v>
      </c>
      <c r="CDE232" s="297" t="s">
        <v>124</v>
      </c>
      <c r="CDF232" s="297" t="s">
        <v>124</v>
      </c>
      <c r="CDG232" s="297" t="s">
        <v>124</v>
      </c>
      <c r="CDH232" s="297" t="s">
        <v>124</v>
      </c>
      <c r="CDI232" s="297" t="s">
        <v>124</v>
      </c>
      <c r="CDJ232" s="297" t="s">
        <v>124</v>
      </c>
      <c r="CDK232" s="297" t="s">
        <v>124</v>
      </c>
      <c r="CDL232" s="297" t="s">
        <v>124</v>
      </c>
      <c r="CDM232" s="297" t="s">
        <v>124</v>
      </c>
      <c r="CDN232" s="297" t="s">
        <v>124</v>
      </c>
      <c r="CDO232" s="297" t="s">
        <v>124</v>
      </c>
      <c r="CDP232" s="297" t="s">
        <v>124</v>
      </c>
      <c r="CDQ232" s="297" t="s">
        <v>124</v>
      </c>
      <c r="CDR232" s="297" t="s">
        <v>124</v>
      </c>
      <c r="CDS232" s="297" t="s">
        <v>124</v>
      </c>
      <c r="CDT232" s="297" t="s">
        <v>124</v>
      </c>
      <c r="CDU232" s="297" t="s">
        <v>124</v>
      </c>
      <c r="CDV232" s="297" t="s">
        <v>124</v>
      </c>
      <c r="CDW232" s="297" t="s">
        <v>124</v>
      </c>
      <c r="CDX232" s="297" t="s">
        <v>124</v>
      </c>
      <c r="CDY232" s="297" t="s">
        <v>124</v>
      </c>
      <c r="CDZ232" s="297" t="s">
        <v>124</v>
      </c>
      <c r="CEA232" s="297" t="s">
        <v>124</v>
      </c>
      <c r="CEB232" s="297" t="s">
        <v>124</v>
      </c>
      <c r="CEC232" s="297" t="s">
        <v>124</v>
      </c>
      <c r="CED232" s="297" t="s">
        <v>124</v>
      </c>
      <c r="CEE232" s="297" t="s">
        <v>124</v>
      </c>
      <c r="CEF232" s="297" t="s">
        <v>124</v>
      </c>
      <c r="CEG232" s="297" t="s">
        <v>124</v>
      </c>
      <c r="CEH232" s="297" t="s">
        <v>124</v>
      </c>
      <c r="CEI232" s="297" t="s">
        <v>124</v>
      </c>
      <c r="CEJ232" s="297" t="s">
        <v>124</v>
      </c>
      <c r="CEK232" s="297" t="s">
        <v>124</v>
      </c>
      <c r="CEL232" s="297" t="s">
        <v>124</v>
      </c>
      <c r="CEM232" s="297" t="s">
        <v>124</v>
      </c>
      <c r="CEN232" s="297" t="s">
        <v>124</v>
      </c>
      <c r="CEO232" s="297" t="s">
        <v>124</v>
      </c>
      <c r="CEP232" s="297" t="s">
        <v>124</v>
      </c>
      <c r="CEQ232" s="297" t="s">
        <v>124</v>
      </c>
      <c r="CER232" s="297" t="s">
        <v>124</v>
      </c>
      <c r="CES232" s="297" t="s">
        <v>124</v>
      </c>
      <c r="CET232" s="297" t="s">
        <v>124</v>
      </c>
      <c r="CEU232" s="297" t="s">
        <v>124</v>
      </c>
      <c r="CEV232" s="297" t="s">
        <v>124</v>
      </c>
      <c r="CEW232" s="297" t="s">
        <v>124</v>
      </c>
      <c r="CEX232" s="297" t="s">
        <v>124</v>
      </c>
      <c r="CEY232" s="297" t="s">
        <v>124</v>
      </c>
      <c r="CEZ232" s="297" t="s">
        <v>124</v>
      </c>
      <c r="CFA232" s="297" t="s">
        <v>124</v>
      </c>
      <c r="CFB232" s="297" t="s">
        <v>124</v>
      </c>
      <c r="CFC232" s="297" t="s">
        <v>124</v>
      </c>
      <c r="CFD232" s="297" t="s">
        <v>124</v>
      </c>
      <c r="CFE232" s="297" t="s">
        <v>124</v>
      </c>
      <c r="CFF232" s="297" t="s">
        <v>124</v>
      </c>
      <c r="CFG232" s="297" t="s">
        <v>124</v>
      </c>
      <c r="CFH232" s="297" t="s">
        <v>124</v>
      </c>
      <c r="CFI232" s="297" t="s">
        <v>124</v>
      </c>
      <c r="CFJ232" s="297" t="s">
        <v>124</v>
      </c>
      <c r="CFK232" s="297" t="s">
        <v>124</v>
      </c>
      <c r="CFL232" s="297" t="s">
        <v>124</v>
      </c>
      <c r="CFM232" s="297" t="s">
        <v>124</v>
      </c>
      <c r="CFN232" s="297" t="s">
        <v>124</v>
      </c>
      <c r="CFO232" s="297" t="s">
        <v>124</v>
      </c>
      <c r="CFP232" s="297" t="s">
        <v>124</v>
      </c>
      <c r="CFQ232" s="297" t="s">
        <v>124</v>
      </c>
      <c r="CFR232" s="297" t="s">
        <v>124</v>
      </c>
      <c r="CFS232" s="297" t="s">
        <v>124</v>
      </c>
      <c r="CFT232" s="297" t="s">
        <v>124</v>
      </c>
      <c r="CFU232" s="297" t="s">
        <v>124</v>
      </c>
      <c r="CFV232" s="297" t="s">
        <v>124</v>
      </c>
      <c r="CFW232" s="297" t="s">
        <v>124</v>
      </c>
      <c r="CFX232" s="297" t="s">
        <v>124</v>
      </c>
      <c r="CFY232" s="297" t="s">
        <v>124</v>
      </c>
      <c r="CFZ232" s="297" t="s">
        <v>124</v>
      </c>
      <c r="CGA232" s="297" t="s">
        <v>124</v>
      </c>
      <c r="CGB232" s="297" t="s">
        <v>124</v>
      </c>
      <c r="CGC232" s="297" t="s">
        <v>124</v>
      </c>
      <c r="CGD232" s="297" t="s">
        <v>124</v>
      </c>
      <c r="CGE232" s="297" t="s">
        <v>124</v>
      </c>
      <c r="CGF232" s="297" t="s">
        <v>124</v>
      </c>
      <c r="CGG232" s="297" t="s">
        <v>124</v>
      </c>
      <c r="CGH232" s="297" t="s">
        <v>124</v>
      </c>
      <c r="CGI232" s="297" t="s">
        <v>124</v>
      </c>
      <c r="CGJ232" s="297" t="s">
        <v>124</v>
      </c>
      <c r="CGK232" s="297" t="s">
        <v>124</v>
      </c>
      <c r="CGL232" s="297" t="s">
        <v>124</v>
      </c>
      <c r="CGM232" s="297" t="s">
        <v>124</v>
      </c>
      <c r="CGN232" s="297" t="s">
        <v>124</v>
      </c>
      <c r="CGO232" s="297" t="s">
        <v>124</v>
      </c>
      <c r="CGP232" s="297" t="s">
        <v>124</v>
      </c>
      <c r="CGQ232" s="297" t="s">
        <v>124</v>
      </c>
      <c r="CGR232" s="297" t="s">
        <v>124</v>
      </c>
      <c r="CGS232" s="297" t="s">
        <v>124</v>
      </c>
      <c r="CGT232" s="297" t="s">
        <v>124</v>
      </c>
      <c r="CGU232" s="297" t="s">
        <v>124</v>
      </c>
      <c r="CGV232" s="297" t="s">
        <v>124</v>
      </c>
      <c r="CGW232" s="297" t="s">
        <v>124</v>
      </c>
      <c r="CGX232" s="297" t="s">
        <v>124</v>
      </c>
      <c r="CGY232" s="297" t="s">
        <v>124</v>
      </c>
      <c r="CGZ232" s="297" t="s">
        <v>124</v>
      </c>
      <c r="CHA232" s="297" t="s">
        <v>124</v>
      </c>
      <c r="CHB232" s="297" t="s">
        <v>124</v>
      </c>
      <c r="CHC232" s="297" t="s">
        <v>124</v>
      </c>
      <c r="CHD232" s="297" t="s">
        <v>124</v>
      </c>
      <c r="CHE232" s="297" t="s">
        <v>124</v>
      </c>
      <c r="CHF232" s="297" t="s">
        <v>124</v>
      </c>
      <c r="CHG232" s="297" t="s">
        <v>124</v>
      </c>
      <c r="CHH232" s="297" t="s">
        <v>124</v>
      </c>
      <c r="CHI232" s="297" t="s">
        <v>124</v>
      </c>
      <c r="CHJ232" s="297" t="s">
        <v>124</v>
      </c>
      <c r="CHK232" s="297" t="s">
        <v>124</v>
      </c>
      <c r="CHL232" s="297" t="s">
        <v>124</v>
      </c>
      <c r="CHM232" s="297" t="s">
        <v>124</v>
      </c>
      <c r="CHN232" s="297" t="s">
        <v>124</v>
      </c>
      <c r="CHO232" s="297" t="s">
        <v>124</v>
      </c>
      <c r="CHP232" s="297" t="s">
        <v>124</v>
      </c>
      <c r="CHQ232" s="297" t="s">
        <v>124</v>
      </c>
      <c r="CHR232" s="297" t="s">
        <v>124</v>
      </c>
      <c r="CHS232" s="297" t="s">
        <v>124</v>
      </c>
      <c r="CHT232" s="297" t="s">
        <v>124</v>
      </c>
      <c r="CHU232" s="297" t="s">
        <v>124</v>
      </c>
      <c r="CHV232" s="297" t="s">
        <v>124</v>
      </c>
      <c r="CHW232" s="297" t="s">
        <v>124</v>
      </c>
      <c r="CHX232" s="297" t="s">
        <v>124</v>
      </c>
      <c r="CHY232" s="297" t="s">
        <v>124</v>
      </c>
      <c r="CHZ232" s="297" t="s">
        <v>124</v>
      </c>
      <c r="CIA232" s="297" t="s">
        <v>124</v>
      </c>
      <c r="CIB232" s="297" t="s">
        <v>124</v>
      </c>
      <c r="CIC232" s="297" t="s">
        <v>124</v>
      </c>
      <c r="CID232" s="297" t="s">
        <v>124</v>
      </c>
      <c r="CIE232" s="297" t="s">
        <v>124</v>
      </c>
      <c r="CIF232" s="297" t="s">
        <v>124</v>
      </c>
      <c r="CIG232" s="297" t="s">
        <v>124</v>
      </c>
      <c r="CIH232" s="297" t="s">
        <v>124</v>
      </c>
      <c r="CII232" s="297" t="s">
        <v>124</v>
      </c>
      <c r="CIJ232" s="297" t="s">
        <v>124</v>
      </c>
      <c r="CIK232" s="297" t="s">
        <v>124</v>
      </c>
      <c r="CIL232" s="297" t="s">
        <v>124</v>
      </c>
      <c r="CIM232" s="297" t="s">
        <v>124</v>
      </c>
      <c r="CIN232" s="297" t="s">
        <v>124</v>
      </c>
      <c r="CIO232" s="297" t="s">
        <v>124</v>
      </c>
      <c r="CIP232" s="297" t="s">
        <v>124</v>
      </c>
      <c r="CIQ232" s="297" t="s">
        <v>124</v>
      </c>
      <c r="CIR232" s="297" t="s">
        <v>124</v>
      </c>
      <c r="CIS232" s="297" t="s">
        <v>124</v>
      </c>
      <c r="CIT232" s="297" t="s">
        <v>124</v>
      </c>
      <c r="CIU232" s="297" t="s">
        <v>124</v>
      </c>
      <c r="CIV232" s="297" t="s">
        <v>124</v>
      </c>
      <c r="CIW232" s="297" t="s">
        <v>124</v>
      </c>
      <c r="CIX232" s="297" t="s">
        <v>124</v>
      </c>
      <c r="CIY232" s="297" t="s">
        <v>124</v>
      </c>
      <c r="CIZ232" s="297" t="s">
        <v>124</v>
      </c>
      <c r="CJA232" s="297" t="s">
        <v>124</v>
      </c>
      <c r="CJB232" s="297" t="s">
        <v>124</v>
      </c>
      <c r="CJC232" s="297" t="s">
        <v>124</v>
      </c>
      <c r="CJD232" s="297" t="s">
        <v>124</v>
      </c>
      <c r="CJE232" s="297" t="s">
        <v>124</v>
      </c>
      <c r="CJF232" s="297" t="s">
        <v>124</v>
      </c>
      <c r="CJG232" s="297" t="s">
        <v>124</v>
      </c>
      <c r="CJH232" s="297" t="s">
        <v>124</v>
      </c>
      <c r="CJI232" s="297" t="s">
        <v>124</v>
      </c>
      <c r="CJJ232" s="297" t="s">
        <v>124</v>
      </c>
      <c r="CJK232" s="297" t="s">
        <v>124</v>
      </c>
      <c r="CJL232" s="297" t="s">
        <v>124</v>
      </c>
      <c r="CJM232" s="297" t="s">
        <v>124</v>
      </c>
      <c r="CJN232" s="297" t="s">
        <v>124</v>
      </c>
      <c r="CJO232" s="297" t="s">
        <v>124</v>
      </c>
      <c r="CJP232" s="297" t="s">
        <v>124</v>
      </c>
      <c r="CJQ232" s="297" t="s">
        <v>124</v>
      </c>
      <c r="CJR232" s="297" t="s">
        <v>124</v>
      </c>
      <c r="CJS232" s="297" t="s">
        <v>124</v>
      </c>
      <c r="CJT232" s="297" t="s">
        <v>124</v>
      </c>
      <c r="CJU232" s="297" t="s">
        <v>124</v>
      </c>
      <c r="CJV232" s="297" t="s">
        <v>124</v>
      </c>
      <c r="CJW232" s="297" t="s">
        <v>124</v>
      </c>
      <c r="CJX232" s="297" t="s">
        <v>124</v>
      </c>
      <c r="CJY232" s="297" t="s">
        <v>124</v>
      </c>
      <c r="CJZ232" s="297" t="s">
        <v>124</v>
      </c>
      <c r="CKA232" s="297" t="s">
        <v>124</v>
      </c>
      <c r="CKB232" s="297" t="s">
        <v>124</v>
      </c>
      <c r="CKC232" s="297" t="s">
        <v>124</v>
      </c>
      <c r="CKD232" s="297" t="s">
        <v>124</v>
      </c>
      <c r="CKE232" s="297" t="s">
        <v>124</v>
      </c>
      <c r="CKF232" s="297" t="s">
        <v>124</v>
      </c>
      <c r="CKG232" s="297" t="s">
        <v>124</v>
      </c>
      <c r="CKH232" s="297" t="s">
        <v>124</v>
      </c>
      <c r="CKI232" s="297" t="s">
        <v>124</v>
      </c>
      <c r="CKJ232" s="297" t="s">
        <v>124</v>
      </c>
      <c r="CKK232" s="297" t="s">
        <v>124</v>
      </c>
      <c r="CKL232" s="297" t="s">
        <v>124</v>
      </c>
      <c r="CKM232" s="297" t="s">
        <v>124</v>
      </c>
      <c r="CKN232" s="297" t="s">
        <v>124</v>
      </c>
      <c r="CKO232" s="297" t="s">
        <v>124</v>
      </c>
      <c r="CKP232" s="297" t="s">
        <v>124</v>
      </c>
      <c r="CKQ232" s="297" t="s">
        <v>124</v>
      </c>
      <c r="CKR232" s="297" t="s">
        <v>124</v>
      </c>
      <c r="CKS232" s="297" t="s">
        <v>124</v>
      </c>
      <c r="CKT232" s="297" t="s">
        <v>124</v>
      </c>
      <c r="CKU232" s="297" t="s">
        <v>124</v>
      </c>
      <c r="CKV232" s="297" t="s">
        <v>124</v>
      </c>
      <c r="CKW232" s="297" t="s">
        <v>124</v>
      </c>
      <c r="CKX232" s="297" t="s">
        <v>124</v>
      </c>
      <c r="CKY232" s="297" t="s">
        <v>124</v>
      </c>
      <c r="CKZ232" s="297" t="s">
        <v>124</v>
      </c>
      <c r="CLA232" s="297" t="s">
        <v>124</v>
      </c>
      <c r="CLB232" s="297" t="s">
        <v>124</v>
      </c>
      <c r="CLC232" s="297" t="s">
        <v>124</v>
      </c>
      <c r="CLD232" s="297" t="s">
        <v>124</v>
      </c>
      <c r="CLE232" s="297" t="s">
        <v>124</v>
      </c>
      <c r="CLF232" s="297" t="s">
        <v>124</v>
      </c>
      <c r="CLG232" s="297" t="s">
        <v>124</v>
      </c>
      <c r="CLH232" s="297" t="s">
        <v>124</v>
      </c>
      <c r="CLI232" s="297" t="s">
        <v>124</v>
      </c>
      <c r="CLJ232" s="297" t="s">
        <v>124</v>
      </c>
      <c r="CLK232" s="297" t="s">
        <v>124</v>
      </c>
      <c r="CLL232" s="297" t="s">
        <v>124</v>
      </c>
      <c r="CLM232" s="297" t="s">
        <v>124</v>
      </c>
      <c r="CLN232" s="297" t="s">
        <v>124</v>
      </c>
      <c r="CLO232" s="297" t="s">
        <v>124</v>
      </c>
      <c r="CLP232" s="297" t="s">
        <v>124</v>
      </c>
      <c r="CLQ232" s="297" t="s">
        <v>124</v>
      </c>
      <c r="CLR232" s="297" t="s">
        <v>124</v>
      </c>
      <c r="CLS232" s="297" t="s">
        <v>124</v>
      </c>
      <c r="CLT232" s="297" t="s">
        <v>124</v>
      </c>
      <c r="CLU232" s="297" t="s">
        <v>124</v>
      </c>
      <c r="CLV232" s="297" t="s">
        <v>124</v>
      </c>
      <c r="CLW232" s="297" t="s">
        <v>124</v>
      </c>
      <c r="CLX232" s="297" t="s">
        <v>124</v>
      </c>
      <c r="CLY232" s="297" t="s">
        <v>124</v>
      </c>
      <c r="CLZ232" s="297" t="s">
        <v>124</v>
      </c>
      <c r="CMA232" s="297" t="s">
        <v>124</v>
      </c>
      <c r="CMB232" s="297" t="s">
        <v>124</v>
      </c>
      <c r="CMC232" s="297" t="s">
        <v>124</v>
      </c>
      <c r="CMD232" s="297" t="s">
        <v>124</v>
      </c>
      <c r="CME232" s="297" t="s">
        <v>124</v>
      </c>
      <c r="CMF232" s="297" t="s">
        <v>124</v>
      </c>
      <c r="CMG232" s="297" t="s">
        <v>124</v>
      </c>
      <c r="CMH232" s="297" t="s">
        <v>124</v>
      </c>
      <c r="CMI232" s="297" t="s">
        <v>124</v>
      </c>
      <c r="CMJ232" s="297" t="s">
        <v>124</v>
      </c>
      <c r="CMK232" s="297" t="s">
        <v>124</v>
      </c>
      <c r="CML232" s="297" t="s">
        <v>124</v>
      </c>
      <c r="CMM232" s="297" t="s">
        <v>124</v>
      </c>
      <c r="CMN232" s="297" t="s">
        <v>124</v>
      </c>
      <c r="CMO232" s="297" t="s">
        <v>124</v>
      </c>
      <c r="CMP232" s="297" t="s">
        <v>124</v>
      </c>
      <c r="CMQ232" s="297" t="s">
        <v>124</v>
      </c>
      <c r="CMR232" s="297" t="s">
        <v>124</v>
      </c>
      <c r="CMS232" s="297" t="s">
        <v>124</v>
      </c>
      <c r="CMT232" s="297" t="s">
        <v>124</v>
      </c>
      <c r="CMU232" s="297" t="s">
        <v>124</v>
      </c>
      <c r="CMV232" s="297" t="s">
        <v>124</v>
      </c>
      <c r="CMW232" s="297" t="s">
        <v>124</v>
      </c>
      <c r="CMX232" s="297" t="s">
        <v>124</v>
      </c>
      <c r="CMY232" s="297" t="s">
        <v>124</v>
      </c>
      <c r="CMZ232" s="297" t="s">
        <v>124</v>
      </c>
      <c r="CNA232" s="297" t="s">
        <v>124</v>
      </c>
      <c r="CNB232" s="297" t="s">
        <v>124</v>
      </c>
      <c r="CNC232" s="297" t="s">
        <v>124</v>
      </c>
      <c r="CND232" s="297" t="s">
        <v>124</v>
      </c>
      <c r="CNE232" s="297" t="s">
        <v>124</v>
      </c>
      <c r="CNF232" s="297" t="s">
        <v>124</v>
      </c>
      <c r="CNG232" s="297" t="s">
        <v>124</v>
      </c>
      <c r="CNH232" s="297" t="s">
        <v>124</v>
      </c>
      <c r="CNI232" s="297" t="s">
        <v>124</v>
      </c>
      <c r="CNJ232" s="297" t="s">
        <v>124</v>
      </c>
      <c r="CNK232" s="297" t="s">
        <v>124</v>
      </c>
      <c r="CNL232" s="297" t="s">
        <v>124</v>
      </c>
      <c r="CNM232" s="297" t="s">
        <v>124</v>
      </c>
      <c r="CNN232" s="297" t="s">
        <v>124</v>
      </c>
      <c r="CNO232" s="297" t="s">
        <v>124</v>
      </c>
      <c r="CNP232" s="297" t="s">
        <v>124</v>
      </c>
      <c r="CNQ232" s="297" t="s">
        <v>124</v>
      </c>
      <c r="CNR232" s="297" t="s">
        <v>124</v>
      </c>
      <c r="CNS232" s="297" t="s">
        <v>124</v>
      </c>
      <c r="CNT232" s="297" t="s">
        <v>124</v>
      </c>
      <c r="CNU232" s="297" t="s">
        <v>124</v>
      </c>
      <c r="CNV232" s="297" t="s">
        <v>124</v>
      </c>
      <c r="CNW232" s="297" t="s">
        <v>124</v>
      </c>
      <c r="CNX232" s="297" t="s">
        <v>124</v>
      </c>
      <c r="CNY232" s="297" t="s">
        <v>124</v>
      </c>
      <c r="CNZ232" s="297" t="s">
        <v>124</v>
      </c>
      <c r="COA232" s="297" t="s">
        <v>124</v>
      </c>
      <c r="COB232" s="297" t="s">
        <v>124</v>
      </c>
      <c r="COC232" s="297" t="s">
        <v>124</v>
      </c>
      <c r="COD232" s="297" t="s">
        <v>124</v>
      </c>
      <c r="COE232" s="297" t="s">
        <v>124</v>
      </c>
      <c r="COF232" s="297" t="s">
        <v>124</v>
      </c>
      <c r="COG232" s="297" t="s">
        <v>124</v>
      </c>
      <c r="COH232" s="297" t="s">
        <v>124</v>
      </c>
      <c r="COI232" s="297" t="s">
        <v>124</v>
      </c>
      <c r="COJ232" s="297" t="s">
        <v>124</v>
      </c>
      <c r="COK232" s="297" t="s">
        <v>124</v>
      </c>
      <c r="COL232" s="297" t="s">
        <v>124</v>
      </c>
      <c r="COM232" s="297" t="s">
        <v>124</v>
      </c>
      <c r="CON232" s="297" t="s">
        <v>124</v>
      </c>
      <c r="COO232" s="297" t="s">
        <v>124</v>
      </c>
      <c r="COP232" s="297" t="s">
        <v>124</v>
      </c>
      <c r="COQ232" s="297" t="s">
        <v>124</v>
      </c>
      <c r="COR232" s="297" t="s">
        <v>124</v>
      </c>
      <c r="COS232" s="297" t="s">
        <v>124</v>
      </c>
      <c r="COT232" s="297" t="s">
        <v>124</v>
      </c>
      <c r="COU232" s="297" t="s">
        <v>124</v>
      </c>
      <c r="COV232" s="297" t="s">
        <v>124</v>
      </c>
      <c r="COW232" s="297" t="s">
        <v>124</v>
      </c>
      <c r="COX232" s="297" t="s">
        <v>124</v>
      </c>
      <c r="COY232" s="297" t="s">
        <v>124</v>
      </c>
      <c r="COZ232" s="297" t="s">
        <v>124</v>
      </c>
      <c r="CPA232" s="297" t="s">
        <v>124</v>
      </c>
      <c r="CPB232" s="297" t="s">
        <v>124</v>
      </c>
      <c r="CPC232" s="297" t="s">
        <v>124</v>
      </c>
      <c r="CPD232" s="297" t="s">
        <v>124</v>
      </c>
      <c r="CPE232" s="297" t="s">
        <v>124</v>
      </c>
      <c r="CPF232" s="297" t="s">
        <v>124</v>
      </c>
      <c r="CPG232" s="297" t="s">
        <v>124</v>
      </c>
      <c r="CPH232" s="297" t="s">
        <v>124</v>
      </c>
      <c r="CPI232" s="297" t="s">
        <v>124</v>
      </c>
      <c r="CPJ232" s="297" t="s">
        <v>124</v>
      </c>
      <c r="CPK232" s="297" t="s">
        <v>124</v>
      </c>
      <c r="CPL232" s="297" t="s">
        <v>124</v>
      </c>
      <c r="CPM232" s="297" t="s">
        <v>124</v>
      </c>
      <c r="CPN232" s="297" t="s">
        <v>124</v>
      </c>
      <c r="CPO232" s="297" t="s">
        <v>124</v>
      </c>
      <c r="CPP232" s="297" t="s">
        <v>124</v>
      </c>
      <c r="CPQ232" s="297" t="s">
        <v>124</v>
      </c>
      <c r="CPR232" s="297" t="s">
        <v>124</v>
      </c>
      <c r="CPS232" s="297" t="s">
        <v>124</v>
      </c>
      <c r="CPT232" s="297" t="s">
        <v>124</v>
      </c>
      <c r="CPU232" s="297" t="s">
        <v>124</v>
      </c>
      <c r="CPV232" s="297" t="s">
        <v>124</v>
      </c>
      <c r="CPW232" s="297" t="s">
        <v>124</v>
      </c>
      <c r="CPX232" s="297" t="s">
        <v>124</v>
      </c>
      <c r="CPY232" s="297" t="s">
        <v>124</v>
      </c>
      <c r="CPZ232" s="297" t="s">
        <v>124</v>
      </c>
      <c r="CQA232" s="297" t="s">
        <v>124</v>
      </c>
      <c r="CQB232" s="297" t="s">
        <v>124</v>
      </c>
      <c r="CQC232" s="297" t="s">
        <v>124</v>
      </c>
      <c r="CQD232" s="297" t="s">
        <v>124</v>
      </c>
      <c r="CQE232" s="297" t="s">
        <v>124</v>
      </c>
      <c r="CQF232" s="297" t="s">
        <v>124</v>
      </c>
      <c r="CQG232" s="297" t="s">
        <v>124</v>
      </c>
      <c r="CQH232" s="297" t="s">
        <v>124</v>
      </c>
      <c r="CQI232" s="297" t="s">
        <v>124</v>
      </c>
      <c r="CQJ232" s="297" t="s">
        <v>124</v>
      </c>
      <c r="CQK232" s="297" t="s">
        <v>124</v>
      </c>
      <c r="CQL232" s="297" t="s">
        <v>124</v>
      </c>
      <c r="CQM232" s="297" t="s">
        <v>124</v>
      </c>
      <c r="CQN232" s="297" t="s">
        <v>124</v>
      </c>
      <c r="CQO232" s="297" t="s">
        <v>124</v>
      </c>
      <c r="CQP232" s="297" t="s">
        <v>124</v>
      </c>
      <c r="CQQ232" s="297" t="s">
        <v>124</v>
      </c>
      <c r="CQR232" s="297" t="s">
        <v>124</v>
      </c>
      <c r="CQS232" s="297" t="s">
        <v>124</v>
      </c>
      <c r="CQT232" s="297" t="s">
        <v>124</v>
      </c>
      <c r="CQU232" s="297" t="s">
        <v>124</v>
      </c>
      <c r="CQV232" s="297" t="s">
        <v>124</v>
      </c>
      <c r="CQW232" s="297" t="s">
        <v>124</v>
      </c>
      <c r="CQX232" s="297" t="s">
        <v>124</v>
      </c>
      <c r="CQY232" s="297" t="s">
        <v>124</v>
      </c>
      <c r="CQZ232" s="297" t="s">
        <v>124</v>
      </c>
      <c r="CRA232" s="297" t="s">
        <v>124</v>
      </c>
      <c r="CRB232" s="297" t="s">
        <v>124</v>
      </c>
      <c r="CRC232" s="297" t="s">
        <v>124</v>
      </c>
      <c r="CRD232" s="297" t="s">
        <v>124</v>
      </c>
      <c r="CRE232" s="297" t="s">
        <v>124</v>
      </c>
      <c r="CRF232" s="297" t="s">
        <v>124</v>
      </c>
      <c r="CRG232" s="297" t="s">
        <v>124</v>
      </c>
      <c r="CRH232" s="297" t="s">
        <v>124</v>
      </c>
      <c r="CRI232" s="297" t="s">
        <v>124</v>
      </c>
      <c r="CRJ232" s="297" t="s">
        <v>124</v>
      </c>
      <c r="CRK232" s="297" t="s">
        <v>124</v>
      </c>
      <c r="CRL232" s="297" t="s">
        <v>124</v>
      </c>
      <c r="CRM232" s="297" t="s">
        <v>124</v>
      </c>
      <c r="CRN232" s="297" t="s">
        <v>124</v>
      </c>
      <c r="CRO232" s="297" t="s">
        <v>124</v>
      </c>
      <c r="CRP232" s="297" t="s">
        <v>124</v>
      </c>
      <c r="CRQ232" s="297" t="s">
        <v>124</v>
      </c>
      <c r="CRR232" s="297" t="s">
        <v>124</v>
      </c>
      <c r="CRS232" s="297" t="s">
        <v>124</v>
      </c>
      <c r="CRT232" s="297" t="s">
        <v>124</v>
      </c>
      <c r="CRU232" s="297" t="s">
        <v>124</v>
      </c>
      <c r="CRV232" s="297" t="s">
        <v>124</v>
      </c>
      <c r="CRW232" s="297" t="s">
        <v>124</v>
      </c>
      <c r="CRX232" s="297" t="s">
        <v>124</v>
      </c>
      <c r="CRY232" s="297" t="s">
        <v>124</v>
      </c>
      <c r="CRZ232" s="297" t="s">
        <v>124</v>
      </c>
      <c r="CSA232" s="297" t="s">
        <v>124</v>
      </c>
      <c r="CSB232" s="297" t="s">
        <v>124</v>
      </c>
      <c r="CSC232" s="297" t="s">
        <v>124</v>
      </c>
      <c r="CSD232" s="297" t="s">
        <v>124</v>
      </c>
      <c r="CSE232" s="297" t="s">
        <v>124</v>
      </c>
      <c r="CSF232" s="297" t="s">
        <v>124</v>
      </c>
      <c r="CSG232" s="297" t="s">
        <v>124</v>
      </c>
      <c r="CSH232" s="297" t="s">
        <v>124</v>
      </c>
      <c r="CSI232" s="297" t="s">
        <v>124</v>
      </c>
      <c r="CSJ232" s="297" t="s">
        <v>124</v>
      </c>
      <c r="CSK232" s="297" t="s">
        <v>124</v>
      </c>
      <c r="CSL232" s="297" t="s">
        <v>124</v>
      </c>
      <c r="CSM232" s="297" t="s">
        <v>124</v>
      </c>
      <c r="CSN232" s="297" t="s">
        <v>124</v>
      </c>
      <c r="CSO232" s="297" t="s">
        <v>124</v>
      </c>
      <c r="CSP232" s="297" t="s">
        <v>124</v>
      </c>
      <c r="CSQ232" s="297" t="s">
        <v>124</v>
      </c>
      <c r="CSR232" s="297" t="s">
        <v>124</v>
      </c>
      <c r="CSS232" s="297" t="s">
        <v>124</v>
      </c>
      <c r="CST232" s="297" t="s">
        <v>124</v>
      </c>
      <c r="CSU232" s="297" t="s">
        <v>124</v>
      </c>
      <c r="CSV232" s="297" t="s">
        <v>124</v>
      </c>
      <c r="CSW232" s="297" t="s">
        <v>124</v>
      </c>
      <c r="CSX232" s="297" t="s">
        <v>124</v>
      </c>
      <c r="CSY232" s="297" t="s">
        <v>124</v>
      </c>
      <c r="CSZ232" s="297" t="s">
        <v>124</v>
      </c>
      <c r="CTA232" s="297" t="s">
        <v>124</v>
      </c>
      <c r="CTB232" s="297" t="s">
        <v>124</v>
      </c>
      <c r="CTC232" s="297" t="s">
        <v>124</v>
      </c>
      <c r="CTD232" s="297" t="s">
        <v>124</v>
      </c>
      <c r="CTE232" s="297" t="s">
        <v>124</v>
      </c>
      <c r="CTF232" s="297" t="s">
        <v>124</v>
      </c>
      <c r="CTG232" s="297" t="s">
        <v>124</v>
      </c>
      <c r="CTH232" s="297" t="s">
        <v>124</v>
      </c>
      <c r="CTI232" s="297" t="s">
        <v>124</v>
      </c>
      <c r="CTJ232" s="297" t="s">
        <v>124</v>
      </c>
      <c r="CTK232" s="297" t="s">
        <v>124</v>
      </c>
      <c r="CTL232" s="297" t="s">
        <v>124</v>
      </c>
      <c r="CTM232" s="297" t="s">
        <v>124</v>
      </c>
      <c r="CTN232" s="297" t="s">
        <v>124</v>
      </c>
      <c r="CTO232" s="297" t="s">
        <v>124</v>
      </c>
      <c r="CTP232" s="297" t="s">
        <v>124</v>
      </c>
      <c r="CTQ232" s="297" t="s">
        <v>124</v>
      </c>
      <c r="CTR232" s="297" t="s">
        <v>124</v>
      </c>
      <c r="CTS232" s="297" t="s">
        <v>124</v>
      </c>
      <c r="CTT232" s="297" t="s">
        <v>124</v>
      </c>
      <c r="CTU232" s="297" t="s">
        <v>124</v>
      </c>
      <c r="CTV232" s="297" t="s">
        <v>124</v>
      </c>
      <c r="CTW232" s="297" t="s">
        <v>124</v>
      </c>
      <c r="CTX232" s="297" t="s">
        <v>124</v>
      </c>
      <c r="CTY232" s="297" t="s">
        <v>124</v>
      </c>
      <c r="CTZ232" s="297" t="s">
        <v>124</v>
      </c>
      <c r="CUA232" s="297" t="s">
        <v>124</v>
      </c>
      <c r="CUB232" s="297" t="s">
        <v>124</v>
      </c>
      <c r="CUC232" s="297" t="s">
        <v>124</v>
      </c>
      <c r="CUD232" s="297" t="s">
        <v>124</v>
      </c>
      <c r="CUE232" s="297" t="s">
        <v>124</v>
      </c>
      <c r="CUF232" s="297" t="s">
        <v>124</v>
      </c>
      <c r="CUG232" s="297" t="s">
        <v>124</v>
      </c>
      <c r="CUH232" s="297" t="s">
        <v>124</v>
      </c>
      <c r="CUI232" s="297" t="s">
        <v>124</v>
      </c>
      <c r="CUJ232" s="297" t="s">
        <v>124</v>
      </c>
      <c r="CUK232" s="297" t="s">
        <v>124</v>
      </c>
      <c r="CUL232" s="297" t="s">
        <v>124</v>
      </c>
      <c r="CUM232" s="297" t="s">
        <v>124</v>
      </c>
      <c r="CUN232" s="297" t="s">
        <v>124</v>
      </c>
      <c r="CUO232" s="297" t="s">
        <v>124</v>
      </c>
      <c r="CUP232" s="297" t="s">
        <v>124</v>
      </c>
      <c r="CUQ232" s="297" t="s">
        <v>124</v>
      </c>
      <c r="CUR232" s="297" t="s">
        <v>124</v>
      </c>
      <c r="CUS232" s="297" t="s">
        <v>124</v>
      </c>
      <c r="CUT232" s="297" t="s">
        <v>124</v>
      </c>
      <c r="CUU232" s="297" t="s">
        <v>124</v>
      </c>
      <c r="CUV232" s="297" t="s">
        <v>124</v>
      </c>
      <c r="CUW232" s="297" t="s">
        <v>124</v>
      </c>
      <c r="CUX232" s="297" t="s">
        <v>124</v>
      </c>
      <c r="CUY232" s="297" t="s">
        <v>124</v>
      </c>
      <c r="CUZ232" s="297" t="s">
        <v>124</v>
      </c>
      <c r="CVA232" s="297" t="s">
        <v>124</v>
      </c>
      <c r="CVB232" s="297" t="s">
        <v>124</v>
      </c>
      <c r="CVC232" s="297" t="s">
        <v>124</v>
      </c>
      <c r="CVD232" s="297" t="s">
        <v>124</v>
      </c>
      <c r="CVE232" s="297" t="s">
        <v>124</v>
      </c>
      <c r="CVF232" s="297" t="s">
        <v>124</v>
      </c>
      <c r="CVG232" s="297" t="s">
        <v>124</v>
      </c>
      <c r="CVH232" s="297" t="s">
        <v>124</v>
      </c>
      <c r="CVI232" s="297" t="s">
        <v>124</v>
      </c>
      <c r="CVJ232" s="297" t="s">
        <v>124</v>
      </c>
      <c r="CVK232" s="297" t="s">
        <v>124</v>
      </c>
      <c r="CVL232" s="297" t="s">
        <v>124</v>
      </c>
      <c r="CVM232" s="297" t="s">
        <v>124</v>
      </c>
      <c r="CVN232" s="297" t="s">
        <v>124</v>
      </c>
      <c r="CVO232" s="297" t="s">
        <v>124</v>
      </c>
      <c r="CVP232" s="297" t="s">
        <v>124</v>
      </c>
      <c r="CVQ232" s="297" t="s">
        <v>124</v>
      </c>
      <c r="CVR232" s="297" t="s">
        <v>124</v>
      </c>
      <c r="CVS232" s="297" t="s">
        <v>124</v>
      </c>
      <c r="CVT232" s="297" t="s">
        <v>124</v>
      </c>
      <c r="CVU232" s="297" t="s">
        <v>124</v>
      </c>
      <c r="CVV232" s="297" t="s">
        <v>124</v>
      </c>
      <c r="CVW232" s="297" t="s">
        <v>124</v>
      </c>
      <c r="CVX232" s="297" t="s">
        <v>124</v>
      </c>
      <c r="CVY232" s="297" t="s">
        <v>124</v>
      </c>
      <c r="CVZ232" s="297" t="s">
        <v>124</v>
      </c>
      <c r="CWA232" s="297" t="s">
        <v>124</v>
      </c>
      <c r="CWB232" s="297" t="s">
        <v>124</v>
      </c>
      <c r="CWC232" s="297" t="s">
        <v>124</v>
      </c>
      <c r="CWD232" s="297" t="s">
        <v>124</v>
      </c>
      <c r="CWE232" s="297" t="s">
        <v>124</v>
      </c>
      <c r="CWF232" s="297" t="s">
        <v>124</v>
      </c>
      <c r="CWG232" s="297" t="s">
        <v>124</v>
      </c>
      <c r="CWH232" s="297" t="s">
        <v>124</v>
      </c>
      <c r="CWI232" s="297" t="s">
        <v>124</v>
      </c>
      <c r="CWJ232" s="297" t="s">
        <v>124</v>
      </c>
      <c r="CWK232" s="297" t="s">
        <v>124</v>
      </c>
      <c r="CWL232" s="297" t="s">
        <v>124</v>
      </c>
      <c r="CWM232" s="297" t="s">
        <v>124</v>
      </c>
      <c r="CWN232" s="297" t="s">
        <v>124</v>
      </c>
      <c r="CWO232" s="297" t="s">
        <v>124</v>
      </c>
      <c r="CWP232" s="297" t="s">
        <v>124</v>
      </c>
      <c r="CWQ232" s="297" t="s">
        <v>124</v>
      </c>
      <c r="CWR232" s="297" t="s">
        <v>124</v>
      </c>
      <c r="CWS232" s="297" t="s">
        <v>124</v>
      </c>
      <c r="CWT232" s="297" t="s">
        <v>124</v>
      </c>
      <c r="CWU232" s="297" t="s">
        <v>124</v>
      </c>
      <c r="CWV232" s="297" t="s">
        <v>124</v>
      </c>
      <c r="CWW232" s="297" t="s">
        <v>124</v>
      </c>
      <c r="CWX232" s="297" t="s">
        <v>124</v>
      </c>
      <c r="CWY232" s="297" t="s">
        <v>124</v>
      </c>
      <c r="CWZ232" s="297" t="s">
        <v>124</v>
      </c>
      <c r="CXA232" s="297" t="s">
        <v>124</v>
      </c>
      <c r="CXB232" s="297" t="s">
        <v>124</v>
      </c>
      <c r="CXC232" s="297" t="s">
        <v>124</v>
      </c>
      <c r="CXD232" s="297" t="s">
        <v>124</v>
      </c>
      <c r="CXE232" s="297" t="s">
        <v>124</v>
      </c>
      <c r="CXF232" s="297" t="s">
        <v>124</v>
      </c>
      <c r="CXG232" s="297" t="s">
        <v>124</v>
      </c>
      <c r="CXH232" s="297" t="s">
        <v>124</v>
      </c>
      <c r="CXI232" s="297" t="s">
        <v>124</v>
      </c>
      <c r="CXJ232" s="297" t="s">
        <v>124</v>
      </c>
      <c r="CXK232" s="297" t="s">
        <v>124</v>
      </c>
      <c r="CXL232" s="297" t="s">
        <v>124</v>
      </c>
      <c r="CXM232" s="297" t="s">
        <v>124</v>
      </c>
      <c r="CXN232" s="297" t="s">
        <v>124</v>
      </c>
      <c r="CXO232" s="297" t="s">
        <v>124</v>
      </c>
      <c r="CXP232" s="297" t="s">
        <v>124</v>
      </c>
      <c r="CXQ232" s="297" t="s">
        <v>124</v>
      </c>
      <c r="CXR232" s="297" t="s">
        <v>124</v>
      </c>
      <c r="CXS232" s="297" t="s">
        <v>124</v>
      </c>
      <c r="CXT232" s="297" t="s">
        <v>124</v>
      </c>
      <c r="CXU232" s="297" t="s">
        <v>124</v>
      </c>
      <c r="CXV232" s="297" t="s">
        <v>124</v>
      </c>
      <c r="CXW232" s="297" t="s">
        <v>124</v>
      </c>
      <c r="CXX232" s="297" t="s">
        <v>124</v>
      </c>
      <c r="CXY232" s="297" t="s">
        <v>124</v>
      </c>
      <c r="CXZ232" s="297" t="s">
        <v>124</v>
      </c>
      <c r="CYA232" s="297" t="s">
        <v>124</v>
      </c>
      <c r="CYB232" s="297" t="s">
        <v>124</v>
      </c>
      <c r="CYC232" s="297" t="s">
        <v>124</v>
      </c>
      <c r="CYD232" s="297" t="s">
        <v>124</v>
      </c>
      <c r="CYE232" s="297" t="s">
        <v>124</v>
      </c>
      <c r="CYF232" s="297" t="s">
        <v>124</v>
      </c>
      <c r="CYG232" s="297" t="s">
        <v>124</v>
      </c>
      <c r="CYH232" s="297" t="s">
        <v>124</v>
      </c>
      <c r="CYI232" s="297" t="s">
        <v>124</v>
      </c>
      <c r="CYJ232" s="297" t="s">
        <v>124</v>
      </c>
      <c r="CYK232" s="297" t="s">
        <v>124</v>
      </c>
      <c r="CYL232" s="297" t="s">
        <v>124</v>
      </c>
      <c r="CYM232" s="297" t="s">
        <v>124</v>
      </c>
      <c r="CYN232" s="297" t="s">
        <v>124</v>
      </c>
      <c r="CYO232" s="297" t="s">
        <v>124</v>
      </c>
      <c r="CYP232" s="297" t="s">
        <v>124</v>
      </c>
      <c r="CYQ232" s="297" t="s">
        <v>124</v>
      </c>
      <c r="CYR232" s="297" t="s">
        <v>124</v>
      </c>
      <c r="CYS232" s="297" t="s">
        <v>124</v>
      </c>
      <c r="CYT232" s="297" t="s">
        <v>124</v>
      </c>
      <c r="CYU232" s="297" t="s">
        <v>124</v>
      </c>
      <c r="CYV232" s="297" t="s">
        <v>124</v>
      </c>
      <c r="CYW232" s="297" t="s">
        <v>124</v>
      </c>
      <c r="CYX232" s="297" t="s">
        <v>124</v>
      </c>
      <c r="CYY232" s="297" t="s">
        <v>124</v>
      </c>
      <c r="CYZ232" s="297" t="s">
        <v>124</v>
      </c>
      <c r="CZA232" s="297" t="s">
        <v>124</v>
      </c>
      <c r="CZB232" s="297" t="s">
        <v>124</v>
      </c>
      <c r="CZC232" s="297" t="s">
        <v>124</v>
      </c>
      <c r="CZD232" s="297" t="s">
        <v>124</v>
      </c>
      <c r="CZE232" s="297" t="s">
        <v>124</v>
      </c>
      <c r="CZF232" s="297" t="s">
        <v>124</v>
      </c>
      <c r="CZG232" s="297" t="s">
        <v>124</v>
      </c>
      <c r="CZH232" s="297" t="s">
        <v>124</v>
      </c>
      <c r="CZI232" s="297" t="s">
        <v>124</v>
      </c>
      <c r="CZJ232" s="297" t="s">
        <v>124</v>
      </c>
      <c r="CZK232" s="297" t="s">
        <v>124</v>
      </c>
      <c r="CZL232" s="297" t="s">
        <v>124</v>
      </c>
      <c r="CZM232" s="297" t="s">
        <v>124</v>
      </c>
      <c r="CZN232" s="297" t="s">
        <v>124</v>
      </c>
      <c r="CZO232" s="297" t="s">
        <v>124</v>
      </c>
      <c r="CZP232" s="297" t="s">
        <v>124</v>
      </c>
      <c r="CZQ232" s="297" t="s">
        <v>124</v>
      </c>
      <c r="CZR232" s="297" t="s">
        <v>124</v>
      </c>
      <c r="CZS232" s="297" t="s">
        <v>124</v>
      </c>
      <c r="CZT232" s="297" t="s">
        <v>124</v>
      </c>
      <c r="CZU232" s="297" t="s">
        <v>124</v>
      </c>
      <c r="CZV232" s="297" t="s">
        <v>124</v>
      </c>
      <c r="CZW232" s="297" t="s">
        <v>124</v>
      </c>
      <c r="CZX232" s="297" t="s">
        <v>124</v>
      </c>
      <c r="CZY232" s="297" t="s">
        <v>124</v>
      </c>
      <c r="CZZ232" s="297" t="s">
        <v>124</v>
      </c>
      <c r="DAA232" s="297" t="s">
        <v>124</v>
      </c>
      <c r="DAB232" s="297" t="s">
        <v>124</v>
      </c>
      <c r="DAC232" s="297" t="s">
        <v>124</v>
      </c>
      <c r="DAD232" s="297" t="s">
        <v>124</v>
      </c>
      <c r="DAE232" s="297" t="s">
        <v>124</v>
      </c>
      <c r="DAF232" s="297" t="s">
        <v>124</v>
      </c>
      <c r="DAG232" s="297" t="s">
        <v>124</v>
      </c>
      <c r="DAH232" s="297" t="s">
        <v>124</v>
      </c>
      <c r="DAI232" s="297" t="s">
        <v>124</v>
      </c>
      <c r="DAJ232" s="297" t="s">
        <v>124</v>
      </c>
      <c r="DAK232" s="297" t="s">
        <v>124</v>
      </c>
      <c r="DAL232" s="297" t="s">
        <v>124</v>
      </c>
      <c r="DAM232" s="297" t="s">
        <v>124</v>
      </c>
      <c r="DAN232" s="297" t="s">
        <v>124</v>
      </c>
      <c r="DAO232" s="297" t="s">
        <v>124</v>
      </c>
      <c r="DAP232" s="297" t="s">
        <v>124</v>
      </c>
      <c r="DAQ232" s="297" t="s">
        <v>124</v>
      </c>
      <c r="DAR232" s="297" t="s">
        <v>124</v>
      </c>
      <c r="DAS232" s="297" t="s">
        <v>124</v>
      </c>
      <c r="DAT232" s="297" t="s">
        <v>124</v>
      </c>
      <c r="DAU232" s="297" t="s">
        <v>124</v>
      </c>
      <c r="DAV232" s="297" t="s">
        <v>124</v>
      </c>
      <c r="DAW232" s="297" t="s">
        <v>124</v>
      </c>
      <c r="DAX232" s="297" t="s">
        <v>124</v>
      </c>
      <c r="DAY232" s="297" t="s">
        <v>124</v>
      </c>
      <c r="DAZ232" s="297" t="s">
        <v>124</v>
      </c>
      <c r="DBA232" s="297" t="s">
        <v>124</v>
      </c>
      <c r="DBB232" s="297" t="s">
        <v>124</v>
      </c>
      <c r="DBC232" s="297" t="s">
        <v>124</v>
      </c>
      <c r="DBD232" s="297" t="s">
        <v>124</v>
      </c>
      <c r="DBE232" s="297" t="s">
        <v>124</v>
      </c>
      <c r="DBF232" s="297" t="s">
        <v>124</v>
      </c>
      <c r="DBG232" s="297" t="s">
        <v>124</v>
      </c>
      <c r="DBH232" s="297" t="s">
        <v>124</v>
      </c>
      <c r="DBI232" s="297" t="s">
        <v>124</v>
      </c>
      <c r="DBJ232" s="297" t="s">
        <v>124</v>
      </c>
      <c r="DBK232" s="297" t="s">
        <v>124</v>
      </c>
      <c r="DBL232" s="297" t="s">
        <v>124</v>
      </c>
      <c r="DBM232" s="297" t="s">
        <v>124</v>
      </c>
      <c r="DBN232" s="297" t="s">
        <v>124</v>
      </c>
      <c r="DBO232" s="297" t="s">
        <v>124</v>
      </c>
      <c r="DBP232" s="297" t="s">
        <v>124</v>
      </c>
      <c r="DBQ232" s="297" t="s">
        <v>124</v>
      </c>
      <c r="DBR232" s="297" t="s">
        <v>124</v>
      </c>
      <c r="DBS232" s="297" t="s">
        <v>124</v>
      </c>
      <c r="DBT232" s="297" t="s">
        <v>124</v>
      </c>
      <c r="DBU232" s="297" t="s">
        <v>124</v>
      </c>
      <c r="DBV232" s="297" t="s">
        <v>124</v>
      </c>
      <c r="DBW232" s="297" t="s">
        <v>124</v>
      </c>
      <c r="DBX232" s="297" t="s">
        <v>124</v>
      </c>
      <c r="DBY232" s="297" t="s">
        <v>124</v>
      </c>
      <c r="DBZ232" s="297" t="s">
        <v>124</v>
      </c>
      <c r="DCA232" s="297" t="s">
        <v>124</v>
      </c>
      <c r="DCB232" s="297" t="s">
        <v>124</v>
      </c>
      <c r="DCC232" s="297" t="s">
        <v>124</v>
      </c>
      <c r="DCD232" s="297" t="s">
        <v>124</v>
      </c>
      <c r="DCE232" s="297" t="s">
        <v>124</v>
      </c>
      <c r="DCF232" s="297" t="s">
        <v>124</v>
      </c>
      <c r="DCG232" s="297" t="s">
        <v>124</v>
      </c>
      <c r="DCH232" s="297" t="s">
        <v>124</v>
      </c>
      <c r="DCI232" s="297" t="s">
        <v>124</v>
      </c>
      <c r="DCJ232" s="297" t="s">
        <v>124</v>
      </c>
      <c r="DCK232" s="297" t="s">
        <v>124</v>
      </c>
      <c r="DCL232" s="297" t="s">
        <v>124</v>
      </c>
      <c r="DCM232" s="297" t="s">
        <v>124</v>
      </c>
      <c r="DCN232" s="297" t="s">
        <v>124</v>
      </c>
      <c r="DCO232" s="297" t="s">
        <v>124</v>
      </c>
      <c r="DCP232" s="297" t="s">
        <v>124</v>
      </c>
      <c r="DCQ232" s="297" t="s">
        <v>124</v>
      </c>
      <c r="DCR232" s="297" t="s">
        <v>124</v>
      </c>
      <c r="DCS232" s="297" t="s">
        <v>124</v>
      </c>
      <c r="DCT232" s="297" t="s">
        <v>124</v>
      </c>
      <c r="DCU232" s="297" t="s">
        <v>124</v>
      </c>
      <c r="DCV232" s="297" t="s">
        <v>124</v>
      </c>
      <c r="DCW232" s="297" t="s">
        <v>124</v>
      </c>
      <c r="DCX232" s="297" t="s">
        <v>124</v>
      </c>
      <c r="DCY232" s="297" t="s">
        <v>124</v>
      </c>
      <c r="DCZ232" s="297" t="s">
        <v>124</v>
      </c>
      <c r="DDA232" s="297" t="s">
        <v>124</v>
      </c>
      <c r="DDB232" s="297" t="s">
        <v>124</v>
      </c>
      <c r="DDC232" s="297" t="s">
        <v>124</v>
      </c>
      <c r="DDD232" s="297" t="s">
        <v>124</v>
      </c>
      <c r="DDE232" s="297" t="s">
        <v>124</v>
      </c>
      <c r="DDF232" s="297" t="s">
        <v>124</v>
      </c>
      <c r="DDG232" s="297" t="s">
        <v>124</v>
      </c>
      <c r="DDH232" s="297" t="s">
        <v>124</v>
      </c>
      <c r="DDI232" s="297" t="s">
        <v>124</v>
      </c>
      <c r="DDJ232" s="297" t="s">
        <v>124</v>
      </c>
      <c r="DDK232" s="297" t="s">
        <v>124</v>
      </c>
      <c r="DDL232" s="297" t="s">
        <v>124</v>
      </c>
      <c r="DDM232" s="297" t="s">
        <v>124</v>
      </c>
      <c r="DDN232" s="297" t="s">
        <v>124</v>
      </c>
      <c r="DDO232" s="297" t="s">
        <v>124</v>
      </c>
      <c r="DDP232" s="297" t="s">
        <v>124</v>
      </c>
      <c r="DDQ232" s="297" t="s">
        <v>124</v>
      </c>
      <c r="DDR232" s="297" t="s">
        <v>124</v>
      </c>
      <c r="DDS232" s="297" t="s">
        <v>124</v>
      </c>
      <c r="DDT232" s="297" t="s">
        <v>124</v>
      </c>
      <c r="DDU232" s="297" t="s">
        <v>124</v>
      </c>
      <c r="DDV232" s="297" t="s">
        <v>124</v>
      </c>
      <c r="DDW232" s="297" t="s">
        <v>124</v>
      </c>
      <c r="DDX232" s="297" t="s">
        <v>124</v>
      </c>
      <c r="DDY232" s="297" t="s">
        <v>124</v>
      </c>
      <c r="DDZ232" s="297" t="s">
        <v>124</v>
      </c>
      <c r="DEA232" s="297" t="s">
        <v>124</v>
      </c>
      <c r="DEB232" s="297" t="s">
        <v>124</v>
      </c>
      <c r="DEC232" s="297" t="s">
        <v>124</v>
      </c>
      <c r="DED232" s="297" t="s">
        <v>124</v>
      </c>
      <c r="DEE232" s="297" t="s">
        <v>124</v>
      </c>
      <c r="DEF232" s="297" t="s">
        <v>124</v>
      </c>
      <c r="DEG232" s="297" t="s">
        <v>124</v>
      </c>
      <c r="DEH232" s="297" t="s">
        <v>124</v>
      </c>
      <c r="DEI232" s="297" t="s">
        <v>124</v>
      </c>
      <c r="DEJ232" s="297" t="s">
        <v>124</v>
      </c>
      <c r="DEK232" s="297" t="s">
        <v>124</v>
      </c>
      <c r="DEL232" s="297" t="s">
        <v>124</v>
      </c>
      <c r="DEM232" s="297" t="s">
        <v>124</v>
      </c>
      <c r="DEN232" s="297" t="s">
        <v>124</v>
      </c>
      <c r="DEO232" s="297" t="s">
        <v>124</v>
      </c>
      <c r="DEP232" s="297" t="s">
        <v>124</v>
      </c>
      <c r="DEQ232" s="297" t="s">
        <v>124</v>
      </c>
      <c r="DER232" s="297" t="s">
        <v>124</v>
      </c>
      <c r="DES232" s="297" t="s">
        <v>124</v>
      </c>
      <c r="DET232" s="297" t="s">
        <v>124</v>
      </c>
      <c r="DEU232" s="297" t="s">
        <v>124</v>
      </c>
      <c r="DEV232" s="297" t="s">
        <v>124</v>
      </c>
      <c r="DEW232" s="297" t="s">
        <v>124</v>
      </c>
      <c r="DEX232" s="297" t="s">
        <v>124</v>
      </c>
      <c r="DEY232" s="297" t="s">
        <v>124</v>
      </c>
      <c r="DEZ232" s="297" t="s">
        <v>124</v>
      </c>
      <c r="DFA232" s="297" t="s">
        <v>124</v>
      </c>
      <c r="DFB232" s="297" t="s">
        <v>124</v>
      </c>
      <c r="DFC232" s="297" t="s">
        <v>124</v>
      </c>
      <c r="DFD232" s="297" t="s">
        <v>124</v>
      </c>
      <c r="DFE232" s="297" t="s">
        <v>124</v>
      </c>
      <c r="DFF232" s="297" t="s">
        <v>124</v>
      </c>
      <c r="DFG232" s="297" t="s">
        <v>124</v>
      </c>
      <c r="DFH232" s="297" t="s">
        <v>124</v>
      </c>
      <c r="DFI232" s="297" t="s">
        <v>124</v>
      </c>
      <c r="DFJ232" s="297" t="s">
        <v>124</v>
      </c>
      <c r="DFK232" s="297" t="s">
        <v>124</v>
      </c>
      <c r="DFL232" s="297" t="s">
        <v>124</v>
      </c>
      <c r="DFM232" s="297" t="s">
        <v>124</v>
      </c>
      <c r="DFN232" s="297" t="s">
        <v>124</v>
      </c>
      <c r="DFO232" s="297" t="s">
        <v>124</v>
      </c>
      <c r="DFP232" s="297" t="s">
        <v>124</v>
      </c>
      <c r="DFQ232" s="297" t="s">
        <v>124</v>
      </c>
      <c r="DFR232" s="297" t="s">
        <v>124</v>
      </c>
      <c r="DFS232" s="297" t="s">
        <v>124</v>
      </c>
      <c r="DFT232" s="297" t="s">
        <v>124</v>
      </c>
      <c r="DFU232" s="297" t="s">
        <v>124</v>
      </c>
      <c r="DFV232" s="297" t="s">
        <v>124</v>
      </c>
      <c r="DFW232" s="297" t="s">
        <v>124</v>
      </c>
      <c r="DFX232" s="297" t="s">
        <v>124</v>
      </c>
      <c r="DFY232" s="297" t="s">
        <v>124</v>
      </c>
      <c r="DFZ232" s="297" t="s">
        <v>124</v>
      </c>
      <c r="DGA232" s="297" t="s">
        <v>124</v>
      </c>
      <c r="DGB232" s="297" t="s">
        <v>124</v>
      </c>
      <c r="DGC232" s="297" t="s">
        <v>124</v>
      </c>
      <c r="DGD232" s="297" t="s">
        <v>124</v>
      </c>
      <c r="DGE232" s="297" t="s">
        <v>124</v>
      </c>
      <c r="DGF232" s="297" t="s">
        <v>124</v>
      </c>
      <c r="DGG232" s="297" t="s">
        <v>124</v>
      </c>
      <c r="DGH232" s="297" t="s">
        <v>124</v>
      </c>
      <c r="DGI232" s="297" t="s">
        <v>124</v>
      </c>
      <c r="DGJ232" s="297" t="s">
        <v>124</v>
      </c>
      <c r="DGK232" s="297" t="s">
        <v>124</v>
      </c>
      <c r="DGL232" s="297" t="s">
        <v>124</v>
      </c>
      <c r="DGM232" s="297" t="s">
        <v>124</v>
      </c>
      <c r="DGN232" s="297" t="s">
        <v>124</v>
      </c>
      <c r="DGO232" s="297" t="s">
        <v>124</v>
      </c>
      <c r="DGP232" s="297" t="s">
        <v>124</v>
      </c>
      <c r="DGQ232" s="297" t="s">
        <v>124</v>
      </c>
      <c r="DGR232" s="297" t="s">
        <v>124</v>
      </c>
      <c r="DGS232" s="297" t="s">
        <v>124</v>
      </c>
      <c r="DGT232" s="297" t="s">
        <v>124</v>
      </c>
      <c r="DGU232" s="297" t="s">
        <v>124</v>
      </c>
      <c r="DGV232" s="297" t="s">
        <v>124</v>
      </c>
      <c r="DGW232" s="297" t="s">
        <v>124</v>
      </c>
      <c r="DGX232" s="297" t="s">
        <v>124</v>
      </c>
      <c r="DGY232" s="297" t="s">
        <v>124</v>
      </c>
      <c r="DGZ232" s="297" t="s">
        <v>124</v>
      </c>
      <c r="DHA232" s="297" t="s">
        <v>124</v>
      </c>
      <c r="DHB232" s="297" t="s">
        <v>124</v>
      </c>
      <c r="DHC232" s="297" t="s">
        <v>124</v>
      </c>
      <c r="DHD232" s="297" t="s">
        <v>124</v>
      </c>
      <c r="DHE232" s="297" t="s">
        <v>124</v>
      </c>
      <c r="DHF232" s="297" t="s">
        <v>124</v>
      </c>
      <c r="DHG232" s="297" t="s">
        <v>124</v>
      </c>
      <c r="DHH232" s="297" t="s">
        <v>124</v>
      </c>
      <c r="DHI232" s="297" t="s">
        <v>124</v>
      </c>
      <c r="DHJ232" s="297" t="s">
        <v>124</v>
      </c>
      <c r="DHK232" s="297" t="s">
        <v>124</v>
      </c>
      <c r="DHL232" s="297" t="s">
        <v>124</v>
      </c>
      <c r="DHM232" s="297" t="s">
        <v>124</v>
      </c>
      <c r="DHN232" s="297" t="s">
        <v>124</v>
      </c>
      <c r="DHO232" s="297" t="s">
        <v>124</v>
      </c>
      <c r="DHP232" s="297" t="s">
        <v>124</v>
      </c>
      <c r="DHQ232" s="297" t="s">
        <v>124</v>
      </c>
      <c r="DHR232" s="297" t="s">
        <v>124</v>
      </c>
      <c r="DHS232" s="297" t="s">
        <v>124</v>
      </c>
      <c r="DHT232" s="297" t="s">
        <v>124</v>
      </c>
      <c r="DHU232" s="297" t="s">
        <v>124</v>
      </c>
      <c r="DHV232" s="297" t="s">
        <v>124</v>
      </c>
      <c r="DHW232" s="297" t="s">
        <v>124</v>
      </c>
      <c r="DHX232" s="297" t="s">
        <v>124</v>
      </c>
      <c r="DHY232" s="297" t="s">
        <v>124</v>
      </c>
      <c r="DHZ232" s="297" t="s">
        <v>124</v>
      </c>
      <c r="DIA232" s="297" t="s">
        <v>124</v>
      </c>
      <c r="DIB232" s="297" t="s">
        <v>124</v>
      </c>
      <c r="DIC232" s="297" t="s">
        <v>124</v>
      </c>
      <c r="DID232" s="297" t="s">
        <v>124</v>
      </c>
      <c r="DIE232" s="297" t="s">
        <v>124</v>
      </c>
      <c r="DIF232" s="297" t="s">
        <v>124</v>
      </c>
      <c r="DIG232" s="297" t="s">
        <v>124</v>
      </c>
      <c r="DIH232" s="297" t="s">
        <v>124</v>
      </c>
      <c r="DII232" s="297" t="s">
        <v>124</v>
      </c>
      <c r="DIJ232" s="297" t="s">
        <v>124</v>
      </c>
      <c r="DIK232" s="297" t="s">
        <v>124</v>
      </c>
      <c r="DIL232" s="297" t="s">
        <v>124</v>
      </c>
      <c r="DIM232" s="297" t="s">
        <v>124</v>
      </c>
      <c r="DIN232" s="297" t="s">
        <v>124</v>
      </c>
      <c r="DIO232" s="297" t="s">
        <v>124</v>
      </c>
      <c r="DIP232" s="297" t="s">
        <v>124</v>
      </c>
      <c r="DIQ232" s="297" t="s">
        <v>124</v>
      </c>
      <c r="DIR232" s="297" t="s">
        <v>124</v>
      </c>
      <c r="DIS232" s="297" t="s">
        <v>124</v>
      </c>
      <c r="DIT232" s="297" t="s">
        <v>124</v>
      </c>
      <c r="DIU232" s="297" t="s">
        <v>124</v>
      </c>
      <c r="DIV232" s="297" t="s">
        <v>124</v>
      </c>
      <c r="DIW232" s="297" t="s">
        <v>124</v>
      </c>
      <c r="DIX232" s="297" t="s">
        <v>124</v>
      </c>
      <c r="DIY232" s="297" t="s">
        <v>124</v>
      </c>
      <c r="DIZ232" s="297" t="s">
        <v>124</v>
      </c>
      <c r="DJA232" s="297" t="s">
        <v>124</v>
      </c>
      <c r="DJB232" s="297" t="s">
        <v>124</v>
      </c>
      <c r="DJC232" s="297" t="s">
        <v>124</v>
      </c>
      <c r="DJD232" s="297" t="s">
        <v>124</v>
      </c>
      <c r="DJE232" s="297" t="s">
        <v>124</v>
      </c>
      <c r="DJF232" s="297" t="s">
        <v>124</v>
      </c>
      <c r="DJG232" s="297" t="s">
        <v>124</v>
      </c>
      <c r="DJH232" s="297" t="s">
        <v>124</v>
      </c>
      <c r="DJI232" s="297" t="s">
        <v>124</v>
      </c>
      <c r="DJJ232" s="297" t="s">
        <v>124</v>
      </c>
      <c r="DJK232" s="297" t="s">
        <v>124</v>
      </c>
      <c r="DJL232" s="297" t="s">
        <v>124</v>
      </c>
      <c r="DJM232" s="297" t="s">
        <v>124</v>
      </c>
      <c r="DJN232" s="297" t="s">
        <v>124</v>
      </c>
      <c r="DJO232" s="297" t="s">
        <v>124</v>
      </c>
      <c r="DJP232" s="297" t="s">
        <v>124</v>
      </c>
      <c r="DJQ232" s="297" t="s">
        <v>124</v>
      </c>
      <c r="DJR232" s="297" t="s">
        <v>124</v>
      </c>
      <c r="DJS232" s="297" t="s">
        <v>124</v>
      </c>
      <c r="DJT232" s="297" t="s">
        <v>124</v>
      </c>
      <c r="DJU232" s="297" t="s">
        <v>124</v>
      </c>
      <c r="DJV232" s="297" t="s">
        <v>124</v>
      </c>
      <c r="DJW232" s="297" t="s">
        <v>124</v>
      </c>
      <c r="DJX232" s="297" t="s">
        <v>124</v>
      </c>
      <c r="DJY232" s="297" t="s">
        <v>124</v>
      </c>
      <c r="DJZ232" s="297" t="s">
        <v>124</v>
      </c>
      <c r="DKA232" s="297" t="s">
        <v>124</v>
      </c>
      <c r="DKB232" s="297" t="s">
        <v>124</v>
      </c>
      <c r="DKC232" s="297" t="s">
        <v>124</v>
      </c>
      <c r="DKD232" s="297" t="s">
        <v>124</v>
      </c>
      <c r="DKE232" s="297" t="s">
        <v>124</v>
      </c>
      <c r="DKF232" s="297" t="s">
        <v>124</v>
      </c>
      <c r="DKG232" s="297" t="s">
        <v>124</v>
      </c>
      <c r="DKH232" s="297" t="s">
        <v>124</v>
      </c>
      <c r="DKI232" s="297" t="s">
        <v>124</v>
      </c>
      <c r="DKJ232" s="297" t="s">
        <v>124</v>
      </c>
      <c r="DKK232" s="297" t="s">
        <v>124</v>
      </c>
      <c r="DKL232" s="297" t="s">
        <v>124</v>
      </c>
      <c r="DKM232" s="297" t="s">
        <v>124</v>
      </c>
      <c r="DKN232" s="297" t="s">
        <v>124</v>
      </c>
      <c r="DKO232" s="297" t="s">
        <v>124</v>
      </c>
      <c r="DKP232" s="297" t="s">
        <v>124</v>
      </c>
      <c r="DKQ232" s="297" t="s">
        <v>124</v>
      </c>
      <c r="DKR232" s="297" t="s">
        <v>124</v>
      </c>
      <c r="DKS232" s="297" t="s">
        <v>124</v>
      </c>
      <c r="DKT232" s="297" t="s">
        <v>124</v>
      </c>
      <c r="DKU232" s="297" t="s">
        <v>124</v>
      </c>
      <c r="DKV232" s="297" t="s">
        <v>124</v>
      </c>
      <c r="DKW232" s="297" t="s">
        <v>124</v>
      </c>
      <c r="DKX232" s="297" t="s">
        <v>124</v>
      </c>
      <c r="DKY232" s="297" t="s">
        <v>124</v>
      </c>
      <c r="DKZ232" s="297" t="s">
        <v>124</v>
      </c>
      <c r="DLA232" s="297" t="s">
        <v>124</v>
      </c>
      <c r="DLB232" s="297" t="s">
        <v>124</v>
      </c>
      <c r="DLC232" s="297" t="s">
        <v>124</v>
      </c>
      <c r="DLD232" s="297" t="s">
        <v>124</v>
      </c>
      <c r="DLE232" s="297" t="s">
        <v>124</v>
      </c>
      <c r="DLF232" s="297" t="s">
        <v>124</v>
      </c>
      <c r="DLG232" s="297" t="s">
        <v>124</v>
      </c>
      <c r="DLH232" s="297" t="s">
        <v>124</v>
      </c>
      <c r="DLI232" s="297" t="s">
        <v>124</v>
      </c>
      <c r="DLJ232" s="297" t="s">
        <v>124</v>
      </c>
      <c r="DLK232" s="297" t="s">
        <v>124</v>
      </c>
      <c r="DLL232" s="297" t="s">
        <v>124</v>
      </c>
      <c r="DLM232" s="297" t="s">
        <v>124</v>
      </c>
      <c r="DLN232" s="297" t="s">
        <v>124</v>
      </c>
      <c r="DLO232" s="297" t="s">
        <v>124</v>
      </c>
      <c r="DLP232" s="297" t="s">
        <v>124</v>
      </c>
      <c r="DLQ232" s="297" t="s">
        <v>124</v>
      </c>
      <c r="DLR232" s="297" t="s">
        <v>124</v>
      </c>
      <c r="DLS232" s="297" t="s">
        <v>124</v>
      </c>
      <c r="DLT232" s="297" t="s">
        <v>124</v>
      </c>
      <c r="DLU232" s="297" t="s">
        <v>124</v>
      </c>
      <c r="DLV232" s="297" t="s">
        <v>124</v>
      </c>
      <c r="DLW232" s="297" t="s">
        <v>124</v>
      </c>
      <c r="DLX232" s="297" t="s">
        <v>124</v>
      </c>
      <c r="DLY232" s="297" t="s">
        <v>124</v>
      </c>
      <c r="DLZ232" s="297" t="s">
        <v>124</v>
      </c>
      <c r="DMA232" s="297" t="s">
        <v>124</v>
      </c>
      <c r="DMB232" s="297" t="s">
        <v>124</v>
      </c>
      <c r="DMC232" s="297" t="s">
        <v>124</v>
      </c>
      <c r="DMD232" s="297" t="s">
        <v>124</v>
      </c>
      <c r="DME232" s="297" t="s">
        <v>124</v>
      </c>
      <c r="DMF232" s="297" t="s">
        <v>124</v>
      </c>
      <c r="DMG232" s="297" t="s">
        <v>124</v>
      </c>
      <c r="DMH232" s="297" t="s">
        <v>124</v>
      </c>
      <c r="DMI232" s="297" t="s">
        <v>124</v>
      </c>
      <c r="DMJ232" s="297" t="s">
        <v>124</v>
      </c>
      <c r="DMK232" s="297" t="s">
        <v>124</v>
      </c>
      <c r="DML232" s="297" t="s">
        <v>124</v>
      </c>
      <c r="DMM232" s="297" t="s">
        <v>124</v>
      </c>
      <c r="DMN232" s="297" t="s">
        <v>124</v>
      </c>
      <c r="DMO232" s="297" t="s">
        <v>124</v>
      </c>
      <c r="DMP232" s="297" t="s">
        <v>124</v>
      </c>
      <c r="DMQ232" s="297" t="s">
        <v>124</v>
      </c>
      <c r="DMR232" s="297" t="s">
        <v>124</v>
      </c>
      <c r="DMS232" s="297" t="s">
        <v>124</v>
      </c>
      <c r="DMT232" s="297" t="s">
        <v>124</v>
      </c>
      <c r="DMU232" s="297" t="s">
        <v>124</v>
      </c>
      <c r="DMV232" s="297" t="s">
        <v>124</v>
      </c>
      <c r="DMW232" s="297" t="s">
        <v>124</v>
      </c>
      <c r="DMX232" s="297" t="s">
        <v>124</v>
      </c>
      <c r="DMY232" s="297" t="s">
        <v>124</v>
      </c>
      <c r="DMZ232" s="297" t="s">
        <v>124</v>
      </c>
      <c r="DNA232" s="297" t="s">
        <v>124</v>
      </c>
      <c r="DNB232" s="297" t="s">
        <v>124</v>
      </c>
      <c r="DNC232" s="297" t="s">
        <v>124</v>
      </c>
      <c r="DND232" s="297" t="s">
        <v>124</v>
      </c>
      <c r="DNE232" s="297" t="s">
        <v>124</v>
      </c>
      <c r="DNF232" s="297" t="s">
        <v>124</v>
      </c>
      <c r="DNG232" s="297" t="s">
        <v>124</v>
      </c>
      <c r="DNH232" s="297" t="s">
        <v>124</v>
      </c>
      <c r="DNI232" s="297" t="s">
        <v>124</v>
      </c>
      <c r="DNJ232" s="297" t="s">
        <v>124</v>
      </c>
      <c r="DNK232" s="297" t="s">
        <v>124</v>
      </c>
      <c r="DNL232" s="297" t="s">
        <v>124</v>
      </c>
      <c r="DNM232" s="297" t="s">
        <v>124</v>
      </c>
      <c r="DNN232" s="297" t="s">
        <v>124</v>
      </c>
      <c r="DNO232" s="297" t="s">
        <v>124</v>
      </c>
      <c r="DNP232" s="297" t="s">
        <v>124</v>
      </c>
      <c r="DNQ232" s="297" t="s">
        <v>124</v>
      </c>
      <c r="DNR232" s="297" t="s">
        <v>124</v>
      </c>
      <c r="DNS232" s="297" t="s">
        <v>124</v>
      </c>
      <c r="DNT232" s="297" t="s">
        <v>124</v>
      </c>
      <c r="DNU232" s="297" t="s">
        <v>124</v>
      </c>
      <c r="DNV232" s="297" t="s">
        <v>124</v>
      </c>
      <c r="DNW232" s="297" t="s">
        <v>124</v>
      </c>
      <c r="DNX232" s="297" t="s">
        <v>124</v>
      </c>
      <c r="DNY232" s="297" t="s">
        <v>124</v>
      </c>
      <c r="DNZ232" s="297" t="s">
        <v>124</v>
      </c>
      <c r="DOA232" s="297" t="s">
        <v>124</v>
      </c>
      <c r="DOB232" s="297" t="s">
        <v>124</v>
      </c>
      <c r="DOC232" s="297" t="s">
        <v>124</v>
      </c>
      <c r="DOD232" s="297" t="s">
        <v>124</v>
      </c>
      <c r="DOE232" s="297" t="s">
        <v>124</v>
      </c>
      <c r="DOF232" s="297" t="s">
        <v>124</v>
      </c>
      <c r="DOG232" s="297" t="s">
        <v>124</v>
      </c>
      <c r="DOH232" s="297" t="s">
        <v>124</v>
      </c>
      <c r="DOI232" s="297" t="s">
        <v>124</v>
      </c>
      <c r="DOJ232" s="297" t="s">
        <v>124</v>
      </c>
      <c r="DOK232" s="297" t="s">
        <v>124</v>
      </c>
      <c r="DOL232" s="297" t="s">
        <v>124</v>
      </c>
      <c r="DOM232" s="297" t="s">
        <v>124</v>
      </c>
      <c r="DON232" s="297" t="s">
        <v>124</v>
      </c>
      <c r="DOO232" s="297" t="s">
        <v>124</v>
      </c>
      <c r="DOP232" s="297" t="s">
        <v>124</v>
      </c>
      <c r="DOQ232" s="297" t="s">
        <v>124</v>
      </c>
      <c r="DOR232" s="297" t="s">
        <v>124</v>
      </c>
      <c r="DOS232" s="297" t="s">
        <v>124</v>
      </c>
      <c r="DOT232" s="297" t="s">
        <v>124</v>
      </c>
      <c r="DOU232" s="297" t="s">
        <v>124</v>
      </c>
      <c r="DOV232" s="297" t="s">
        <v>124</v>
      </c>
      <c r="DOW232" s="297" t="s">
        <v>124</v>
      </c>
      <c r="DOX232" s="297" t="s">
        <v>124</v>
      </c>
      <c r="DOY232" s="297" t="s">
        <v>124</v>
      </c>
      <c r="DOZ232" s="297" t="s">
        <v>124</v>
      </c>
      <c r="DPA232" s="297" t="s">
        <v>124</v>
      </c>
      <c r="DPB232" s="297" t="s">
        <v>124</v>
      </c>
      <c r="DPC232" s="297" t="s">
        <v>124</v>
      </c>
      <c r="DPD232" s="297" t="s">
        <v>124</v>
      </c>
      <c r="DPE232" s="297" t="s">
        <v>124</v>
      </c>
      <c r="DPF232" s="297" t="s">
        <v>124</v>
      </c>
      <c r="DPG232" s="297" t="s">
        <v>124</v>
      </c>
      <c r="DPH232" s="297" t="s">
        <v>124</v>
      </c>
      <c r="DPI232" s="297" t="s">
        <v>124</v>
      </c>
      <c r="DPJ232" s="297" t="s">
        <v>124</v>
      </c>
      <c r="DPK232" s="297" t="s">
        <v>124</v>
      </c>
      <c r="DPL232" s="297" t="s">
        <v>124</v>
      </c>
      <c r="DPM232" s="297" t="s">
        <v>124</v>
      </c>
      <c r="DPN232" s="297" t="s">
        <v>124</v>
      </c>
      <c r="DPO232" s="297" t="s">
        <v>124</v>
      </c>
      <c r="DPP232" s="297" t="s">
        <v>124</v>
      </c>
      <c r="DPQ232" s="297" t="s">
        <v>124</v>
      </c>
      <c r="DPR232" s="297" t="s">
        <v>124</v>
      </c>
      <c r="DPS232" s="297" t="s">
        <v>124</v>
      </c>
      <c r="DPT232" s="297" t="s">
        <v>124</v>
      </c>
      <c r="DPU232" s="297" t="s">
        <v>124</v>
      </c>
      <c r="DPV232" s="297" t="s">
        <v>124</v>
      </c>
      <c r="DPW232" s="297" t="s">
        <v>124</v>
      </c>
      <c r="DPX232" s="297" t="s">
        <v>124</v>
      </c>
      <c r="DPY232" s="297" t="s">
        <v>124</v>
      </c>
      <c r="DPZ232" s="297" t="s">
        <v>124</v>
      </c>
      <c r="DQA232" s="297" t="s">
        <v>124</v>
      </c>
      <c r="DQB232" s="297" t="s">
        <v>124</v>
      </c>
      <c r="DQC232" s="297" t="s">
        <v>124</v>
      </c>
      <c r="DQD232" s="297" t="s">
        <v>124</v>
      </c>
      <c r="DQE232" s="297" t="s">
        <v>124</v>
      </c>
      <c r="DQF232" s="297" t="s">
        <v>124</v>
      </c>
      <c r="DQG232" s="297" t="s">
        <v>124</v>
      </c>
      <c r="DQH232" s="297" t="s">
        <v>124</v>
      </c>
      <c r="DQI232" s="297" t="s">
        <v>124</v>
      </c>
      <c r="DQJ232" s="297" t="s">
        <v>124</v>
      </c>
      <c r="DQK232" s="297" t="s">
        <v>124</v>
      </c>
      <c r="DQL232" s="297" t="s">
        <v>124</v>
      </c>
      <c r="DQM232" s="297" t="s">
        <v>124</v>
      </c>
      <c r="DQN232" s="297" t="s">
        <v>124</v>
      </c>
      <c r="DQO232" s="297" t="s">
        <v>124</v>
      </c>
      <c r="DQP232" s="297" t="s">
        <v>124</v>
      </c>
      <c r="DQQ232" s="297" t="s">
        <v>124</v>
      </c>
      <c r="DQR232" s="297" t="s">
        <v>124</v>
      </c>
      <c r="DQS232" s="297" t="s">
        <v>124</v>
      </c>
      <c r="DQT232" s="297" t="s">
        <v>124</v>
      </c>
      <c r="DQU232" s="297" t="s">
        <v>124</v>
      </c>
      <c r="DQV232" s="297" t="s">
        <v>124</v>
      </c>
      <c r="DQW232" s="297" t="s">
        <v>124</v>
      </c>
      <c r="DQX232" s="297" t="s">
        <v>124</v>
      </c>
      <c r="DQY232" s="297" t="s">
        <v>124</v>
      </c>
      <c r="DQZ232" s="297" t="s">
        <v>124</v>
      </c>
      <c r="DRA232" s="297" t="s">
        <v>124</v>
      </c>
      <c r="DRB232" s="297" t="s">
        <v>124</v>
      </c>
      <c r="DRC232" s="297" t="s">
        <v>124</v>
      </c>
      <c r="DRD232" s="297" t="s">
        <v>124</v>
      </c>
      <c r="DRE232" s="297" t="s">
        <v>124</v>
      </c>
      <c r="DRF232" s="297" t="s">
        <v>124</v>
      </c>
      <c r="DRG232" s="297" t="s">
        <v>124</v>
      </c>
      <c r="DRH232" s="297" t="s">
        <v>124</v>
      </c>
      <c r="DRI232" s="297" t="s">
        <v>124</v>
      </c>
      <c r="DRJ232" s="297" t="s">
        <v>124</v>
      </c>
      <c r="DRK232" s="297" t="s">
        <v>124</v>
      </c>
      <c r="DRL232" s="297" t="s">
        <v>124</v>
      </c>
      <c r="DRM232" s="297" t="s">
        <v>124</v>
      </c>
      <c r="DRN232" s="297" t="s">
        <v>124</v>
      </c>
      <c r="DRO232" s="297" t="s">
        <v>124</v>
      </c>
      <c r="DRP232" s="297" t="s">
        <v>124</v>
      </c>
      <c r="DRQ232" s="297" t="s">
        <v>124</v>
      </c>
      <c r="DRR232" s="297" t="s">
        <v>124</v>
      </c>
      <c r="DRS232" s="297" t="s">
        <v>124</v>
      </c>
      <c r="DRT232" s="297" t="s">
        <v>124</v>
      </c>
      <c r="DRU232" s="297" t="s">
        <v>124</v>
      </c>
      <c r="DRV232" s="297" t="s">
        <v>124</v>
      </c>
      <c r="DRW232" s="297" t="s">
        <v>124</v>
      </c>
      <c r="DRX232" s="297" t="s">
        <v>124</v>
      </c>
      <c r="DRY232" s="297" t="s">
        <v>124</v>
      </c>
      <c r="DRZ232" s="297" t="s">
        <v>124</v>
      </c>
      <c r="DSA232" s="297" t="s">
        <v>124</v>
      </c>
      <c r="DSB232" s="297" t="s">
        <v>124</v>
      </c>
      <c r="DSC232" s="297" t="s">
        <v>124</v>
      </c>
      <c r="DSD232" s="297" t="s">
        <v>124</v>
      </c>
      <c r="DSE232" s="297" t="s">
        <v>124</v>
      </c>
      <c r="DSF232" s="297" t="s">
        <v>124</v>
      </c>
      <c r="DSG232" s="297" t="s">
        <v>124</v>
      </c>
      <c r="DSH232" s="297" t="s">
        <v>124</v>
      </c>
      <c r="DSI232" s="297" t="s">
        <v>124</v>
      </c>
      <c r="DSJ232" s="297" t="s">
        <v>124</v>
      </c>
      <c r="DSK232" s="297" t="s">
        <v>124</v>
      </c>
      <c r="DSL232" s="297" t="s">
        <v>124</v>
      </c>
      <c r="DSM232" s="297" t="s">
        <v>124</v>
      </c>
      <c r="DSN232" s="297" t="s">
        <v>124</v>
      </c>
      <c r="DSO232" s="297" t="s">
        <v>124</v>
      </c>
      <c r="DSP232" s="297" t="s">
        <v>124</v>
      </c>
      <c r="DSQ232" s="297" t="s">
        <v>124</v>
      </c>
      <c r="DSR232" s="297" t="s">
        <v>124</v>
      </c>
      <c r="DSS232" s="297" t="s">
        <v>124</v>
      </c>
      <c r="DST232" s="297" t="s">
        <v>124</v>
      </c>
      <c r="DSU232" s="297" t="s">
        <v>124</v>
      </c>
      <c r="DSV232" s="297" t="s">
        <v>124</v>
      </c>
      <c r="DSW232" s="297" t="s">
        <v>124</v>
      </c>
      <c r="DSX232" s="297" t="s">
        <v>124</v>
      </c>
      <c r="DSY232" s="297" t="s">
        <v>124</v>
      </c>
      <c r="DSZ232" s="297" t="s">
        <v>124</v>
      </c>
      <c r="DTA232" s="297" t="s">
        <v>124</v>
      </c>
      <c r="DTB232" s="297" t="s">
        <v>124</v>
      </c>
      <c r="DTC232" s="297" t="s">
        <v>124</v>
      </c>
      <c r="DTD232" s="297" t="s">
        <v>124</v>
      </c>
      <c r="DTE232" s="297" t="s">
        <v>124</v>
      </c>
      <c r="DTF232" s="297" t="s">
        <v>124</v>
      </c>
      <c r="DTG232" s="297" t="s">
        <v>124</v>
      </c>
      <c r="DTH232" s="297" t="s">
        <v>124</v>
      </c>
      <c r="DTI232" s="297" t="s">
        <v>124</v>
      </c>
      <c r="DTJ232" s="297" t="s">
        <v>124</v>
      </c>
      <c r="DTK232" s="297" t="s">
        <v>124</v>
      </c>
      <c r="DTL232" s="297" t="s">
        <v>124</v>
      </c>
      <c r="DTM232" s="297" t="s">
        <v>124</v>
      </c>
      <c r="DTN232" s="297" t="s">
        <v>124</v>
      </c>
      <c r="DTO232" s="297" t="s">
        <v>124</v>
      </c>
      <c r="DTP232" s="297" t="s">
        <v>124</v>
      </c>
      <c r="DTQ232" s="297" t="s">
        <v>124</v>
      </c>
      <c r="DTR232" s="297" t="s">
        <v>124</v>
      </c>
      <c r="DTS232" s="297" t="s">
        <v>124</v>
      </c>
      <c r="DTT232" s="297" t="s">
        <v>124</v>
      </c>
      <c r="DTU232" s="297" t="s">
        <v>124</v>
      </c>
      <c r="DTV232" s="297" t="s">
        <v>124</v>
      </c>
      <c r="DTW232" s="297" t="s">
        <v>124</v>
      </c>
      <c r="DTX232" s="297" t="s">
        <v>124</v>
      </c>
      <c r="DTY232" s="297" t="s">
        <v>124</v>
      </c>
      <c r="DTZ232" s="297" t="s">
        <v>124</v>
      </c>
      <c r="DUA232" s="297" t="s">
        <v>124</v>
      </c>
      <c r="DUB232" s="297" t="s">
        <v>124</v>
      </c>
      <c r="DUC232" s="297" t="s">
        <v>124</v>
      </c>
      <c r="DUD232" s="297" t="s">
        <v>124</v>
      </c>
      <c r="DUE232" s="297" t="s">
        <v>124</v>
      </c>
      <c r="DUF232" s="297" t="s">
        <v>124</v>
      </c>
      <c r="DUG232" s="297" t="s">
        <v>124</v>
      </c>
      <c r="DUH232" s="297" t="s">
        <v>124</v>
      </c>
      <c r="DUI232" s="297" t="s">
        <v>124</v>
      </c>
      <c r="DUJ232" s="297" t="s">
        <v>124</v>
      </c>
      <c r="DUK232" s="297" t="s">
        <v>124</v>
      </c>
      <c r="DUL232" s="297" t="s">
        <v>124</v>
      </c>
      <c r="DUM232" s="297" t="s">
        <v>124</v>
      </c>
      <c r="DUN232" s="297" t="s">
        <v>124</v>
      </c>
      <c r="DUO232" s="297" t="s">
        <v>124</v>
      </c>
      <c r="DUP232" s="297" t="s">
        <v>124</v>
      </c>
      <c r="DUQ232" s="297" t="s">
        <v>124</v>
      </c>
      <c r="DUR232" s="297" t="s">
        <v>124</v>
      </c>
      <c r="DUS232" s="297" t="s">
        <v>124</v>
      </c>
      <c r="DUT232" s="297" t="s">
        <v>124</v>
      </c>
      <c r="DUU232" s="297" t="s">
        <v>124</v>
      </c>
      <c r="DUV232" s="297" t="s">
        <v>124</v>
      </c>
      <c r="DUW232" s="297" t="s">
        <v>124</v>
      </c>
      <c r="DUX232" s="297" t="s">
        <v>124</v>
      </c>
      <c r="DUY232" s="297" t="s">
        <v>124</v>
      </c>
      <c r="DUZ232" s="297" t="s">
        <v>124</v>
      </c>
      <c r="DVA232" s="297" t="s">
        <v>124</v>
      </c>
      <c r="DVB232" s="297" t="s">
        <v>124</v>
      </c>
      <c r="DVC232" s="297" t="s">
        <v>124</v>
      </c>
      <c r="DVD232" s="297" t="s">
        <v>124</v>
      </c>
      <c r="DVE232" s="297" t="s">
        <v>124</v>
      </c>
      <c r="DVF232" s="297" t="s">
        <v>124</v>
      </c>
      <c r="DVG232" s="297" t="s">
        <v>124</v>
      </c>
      <c r="DVH232" s="297" t="s">
        <v>124</v>
      </c>
      <c r="DVI232" s="297" t="s">
        <v>124</v>
      </c>
      <c r="DVJ232" s="297" t="s">
        <v>124</v>
      </c>
      <c r="DVK232" s="297" t="s">
        <v>124</v>
      </c>
      <c r="DVL232" s="297" t="s">
        <v>124</v>
      </c>
      <c r="DVM232" s="297" t="s">
        <v>124</v>
      </c>
      <c r="DVN232" s="297" t="s">
        <v>124</v>
      </c>
      <c r="DVO232" s="297" t="s">
        <v>124</v>
      </c>
      <c r="DVP232" s="297" t="s">
        <v>124</v>
      </c>
      <c r="DVQ232" s="297" t="s">
        <v>124</v>
      </c>
      <c r="DVR232" s="297" t="s">
        <v>124</v>
      </c>
      <c r="DVS232" s="297" t="s">
        <v>124</v>
      </c>
      <c r="DVT232" s="297" t="s">
        <v>124</v>
      </c>
      <c r="DVU232" s="297" t="s">
        <v>124</v>
      </c>
      <c r="DVV232" s="297" t="s">
        <v>124</v>
      </c>
      <c r="DVW232" s="297" t="s">
        <v>124</v>
      </c>
      <c r="DVX232" s="297" t="s">
        <v>124</v>
      </c>
      <c r="DVY232" s="297" t="s">
        <v>124</v>
      </c>
      <c r="DVZ232" s="297" t="s">
        <v>124</v>
      </c>
      <c r="DWA232" s="297" t="s">
        <v>124</v>
      </c>
      <c r="DWB232" s="297" t="s">
        <v>124</v>
      </c>
      <c r="DWC232" s="297" t="s">
        <v>124</v>
      </c>
      <c r="DWD232" s="297" t="s">
        <v>124</v>
      </c>
      <c r="DWE232" s="297" t="s">
        <v>124</v>
      </c>
      <c r="DWF232" s="297" t="s">
        <v>124</v>
      </c>
      <c r="DWG232" s="297" t="s">
        <v>124</v>
      </c>
      <c r="DWH232" s="297" t="s">
        <v>124</v>
      </c>
      <c r="DWI232" s="297" t="s">
        <v>124</v>
      </c>
      <c r="DWJ232" s="297" t="s">
        <v>124</v>
      </c>
      <c r="DWK232" s="297" t="s">
        <v>124</v>
      </c>
      <c r="DWL232" s="297" t="s">
        <v>124</v>
      </c>
      <c r="DWM232" s="297" t="s">
        <v>124</v>
      </c>
      <c r="DWN232" s="297" t="s">
        <v>124</v>
      </c>
      <c r="DWO232" s="297" t="s">
        <v>124</v>
      </c>
      <c r="DWP232" s="297" t="s">
        <v>124</v>
      </c>
      <c r="DWQ232" s="297" t="s">
        <v>124</v>
      </c>
      <c r="DWR232" s="297" t="s">
        <v>124</v>
      </c>
      <c r="DWS232" s="297" t="s">
        <v>124</v>
      </c>
      <c r="DWT232" s="297" t="s">
        <v>124</v>
      </c>
      <c r="DWU232" s="297" t="s">
        <v>124</v>
      </c>
      <c r="DWV232" s="297" t="s">
        <v>124</v>
      </c>
      <c r="DWW232" s="297" t="s">
        <v>124</v>
      </c>
      <c r="DWX232" s="297" t="s">
        <v>124</v>
      </c>
      <c r="DWY232" s="297" t="s">
        <v>124</v>
      </c>
      <c r="DWZ232" s="297" t="s">
        <v>124</v>
      </c>
      <c r="DXA232" s="297" t="s">
        <v>124</v>
      </c>
      <c r="DXB232" s="297" t="s">
        <v>124</v>
      </c>
      <c r="DXC232" s="297" t="s">
        <v>124</v>
      </c>
      <c r="DXD232" s="297" t="s">
        <v>124</v>
      </c>
      <c r="DXE232" s="297" t="s">
        <v>124</v>
      </c>
      <c r="DXF232" s="297" t="s">
        <v>124</v>
      </c>
      <c r="DXG232" s="297" t="s">
        <v>124</v>
      </c>
      <c r="DXH232" s="297" t="s">
        <v>124</v>
      </c>
      <c r="DXI232" s="297" t="s">
        <v>124</v>
      </c>
      <c r="DXJ232" s="297" t="s">
        <v>124</v>
      </c>
      <c r="DXK232" s="297" t="s">
        <v>124</v>
      </c>
      <c r="DXL232" s="297" t="s">
        <v>124</v>
      </c>
      <c r="DXM232" s="297" t="s">
        <v>124</v>
      </c>
      <c r="DXN232" s="297" t="s">
        <v>124</v>
      </c>
      <c r="DXO232" s="297" t="s">
        <v>124</v>
      </c>
      <c r="DXP232" s="297" t="s">
        <v>124</v>
      </c>
      <c r="DXQ232" s="297" t="s">
        <v>124</v>
      </c>
      <c r="DXR232" s="297" t="s">
        <v>124</v>
      </c>
      <c r="DXS232" s="297" t="s">
        <v>124</v>
      </c>
      <c r="DXT232" s="297" t="s">
        <v>124</v>
      </c>
      <c r="DXU232" s="297" t="s">
        <v>124</v>
      </c>
      <c r="DXV232" s="297" t="s">
        <v>124</v>
      </c>
      <c r="DXW232" s="297" t="s">
        <v>124</v>
      </c>
      <c r="DXX232" s="297" t="s">
        <v>124</v>
      </c>
      <c r="DXY232" s="297" t="s">
        <v>124</v>
      </c>
      <c r="DXZ232" s="297" t="s">
        <v>124</v>
      </c>
      <c r="DYA232" s="297" t="s">
        <v>124</v>
      </c>
      <c r="DYB232" s="297" t="s">
        <v>124</v>
      </c>
      <c r="DYC232" s="297" t="s">
        <v>124</v>
      </c>
      <c r="DYD232" s="297" t="s">
        <v>124</v>
      </c>
      <c r="DYE232" s="297" t="s">
        <v>124</v>
      </c>
      <c r="DYF232" s="297" t="s">
        <v>124</v>
      </c>
      <c r="DYG232" s="297" t="s">
        <v>124</v>
      </c>
      <c r="DYH232" s="297" t="s">
        <v>124</v>
      </c>
      <c r="DYI232" s="297" t="s">
        <v>124</v>
      </c>
      <c r="DYJ232" s="297" t="s">
        <v>124</v>
      </c>
      <c r="DYK232" s="297" t="s">
        <v>124</v>
      </c>
      <c r="DYL232" s="297" t="s">
        <v>124</v>
      </c>
      <c r="DYM232" s="297" t="s">
        <v>124</v>
      </c>
      <c r="DYN232" s="297" t="s">
        <v>124</v>
      </c>
      <c r="DYO232" s="297" t="s">
        <v>124</v>
      </c>
      <c r="DYP232" s="297" t="s">
        <v>124</v>
      </c>
      <c r="DYQ232" s="297" t="s">
        <v>124</v>
      </c>
      <c r="DYR232" s="297" t="s">
        <v>124</v>
      </c>
      <c r="DYS232" s="297" t="s">
        <v>124</v>
      </c>
      <c r="DYT232" s="297" t="s">
        <v>124</v>
      </c>
      <c r="DYU232" s="297" t="s">
        <v>124</v>
      </c>
      <c r="DYV232" s="297" t="s">
        <v>124</v>
      </c>
      <c r="DYW232" s="297" t="s">
        <v>124</v>
      </c>
      <c r="DYX232" s="297" t="s">
        <v>124</v>
      </c>
      <c r="DYY232" s="297" t="s">
        <v>124</v>
      </c>
      <c r="DYZ232" s="297" t="s">
        <v>124</v>
      </c>
      <c r="DZA232" s="297" t="s">
        <v>124</v>
      </c>
      <c r="DZB232" s="297" t="s">
        <v>124</v>
      </c>
      <c r="DZC232" s="297" t="s">
        <v>124</v>
      </c>
      <c r="DZD232" s="297" t="s">
        <v>124</v>
      </c>
      <c r="DZE232" s="297" t="s">
        <v>124</v>
      </c>
      <c r="DZF232" s="297" t="s">
        <v>124</v>
      </c>
      <c r="DZG232" s="297" t="s">
        <v>124</v>
      </c>
      <c r="DZH232" s="297" t="s">
        <v>124</v>
      </c>
      <c r="DZI232" s="297" t="s">
        <v>124</v>
      </c>
      <c r="DZJ232" s="297" t="s">
        <v>124</v>
      </c>
      <c r="DZK232" s="297" t="s">
        <v>124</v>
      </c>
      <c r="DZL232" s="297" t="s">
        <v>124</v>
      </c>
      <c r="DZM232" s="297" t="s">
        <v>124</v>
      </c>
      <c r="DZN232" s="297" t="s">
        <v>124</v>
      </c>
      <c r="DZO232" s="297" t="s">
        <v>124</v>
      </c>
      <c r="DZP232" s="297" t="s">
        <v>124</v>
      </c>
      <c r="DZQ232" s="297" t="s">
        <v>124</v>
      </c>
      <c r="DZR232" s="297" t="s">
        <v>124</v>
      </c>
      <c r="DZS232" s="297" t="s">
        <v>124</v>
      </c>
      <c r="DZT232" s="297" t="s">
        <v>124</v>
      </c>
      <c r="DZU232" s="297" t="s">
        <v>124</v>
      </c>
      <c r="DZV232" s="297" t="s">
        <v>124</v>
      </c>
      <c r="DZW232" s="297" t="s">
        <v>124</v>
      </c>
      <c r="DZX232" s="297" t="s">
        <v>124</v>
      </c>
      <c r="DZY232" s="297" t="s">
        <v>124</v>
      </c>
      <c r="DZZ232" s="297" t="s">
        <v>124</v>
      </c>
      <c r="EAA232" s="297" t="s">
        <v>124</v>
      </c>
      <c r="EAB232" s="297" t="s">
        <v>124</v>
      </c>
      <c r="EAC232" s="297" t="s">
        <v>124</v>
      </c>
      <c r="EAD232" s="297" t="s">
        <v>124</v>
      </c>
      <c r="EAE232" s="297" t="s">
        <v>124</v>
      </c>
      <c r="EAF232" s="297" t="s">
        <v>124</v>
      </c>
      <c r="EAG232" s="297" t="s">
        <v>124</v>
      </c>
      <c r="EAH232" s="297" t="s">
        <v>124</v>
      </c>
      <c r="EAI232" s="297" t="s">
        <v>124</v>
      </c>
      <c r="EAJ232" s="297" t="s">
        <v>124</v>
      </c>
      <c r="EAK232" s="297" t="s">
        <v>124</v>
      </c>
      <c r="EAL232" s="297" t="s">
        <v>124</v>
      </c>
      <c r="EAM232" s="297" t="s">
        <v>124</v>
      </c>
      <c r="EAN232" s="297" t="s">
        <v>124</v>
      </c>
      <c r="EAO232" s="297" t="s">
        <v>124</v>
      </c>
      <c r="EAP232" s="297" t="s">
        <v>124</v>
      </c>
      <c r="EAQ232" s="297" t="s">
        <v>124</v>
      </c>
      <c r="EAR232" s="297" t="s">
        <v>124</v>
      </c>
      <c r="EAS232" s="297" t="s">
        <v>124</v>
      </c>
      <c r="EAT232" s="297" t="s">
        <v>124</v>
      </c>
      <c r="EAU232" s="297" t="s">
        <v>124</v>
      </c>
      <c r="EAV232" s="297" t="s">
        <v>124</v>
      </c>
      <c r="EAW232" s="297" t="s">
        <v>124</v>
      </c>
      <c r="EAX232" s="297" t="s">
        <v>124</v>
      </c>
      <c r="EAY232" s="297" t="s">
        <v>124</v>
      </c>
      <c r="EAZ232" s="297" t="s">
        <v>124</v>
      </c>
      <c r="EBA232" s="297" t="s">
        <v>124</v>
      </c>
      <c r="EBB232" s="297" t="s">
        <v>124</v>
      </c>
      <c r="EBC232" s="297" t="s">
        <v>124</v>
      </c>
      <c r="EBD232" s="297" t="s">
        <v>124</v>
      </c>
      <c r="EBE232" s="297" t="s">
        <v>124</v>
      </c>
      <c r="EBF232" s="297" t="s">
        <v>124</v>
      </c>
      <c r="EBG232" s="297" t="s">
        <v>124</v>
      </c>
      <c r="EBH232" s="297" t="s">
        <v>124</v>
      </c>
      <c r="EBI232" s="297" t="s">
        <v>124</v>
      </c>
      <c r="EBJ232" s="297" t="s">
        <v>124</v>
      </c>
      <c r="EBK232" s="297" t="s">
        <v>124</v>
      </c>
      <c r="EBL232" s="297" t="s">
        <v>124</v>
      </c>
      <c r="EBM232" s="297" t="s">
        <v>124</v>
      </c>
      <c r="EBN232" s="297" t="s">
        <v>124</v>
      </c>
      <c r="EBO232" s="297" t="s">
        <v>124</v>
      </c>
      <c r="EBP232" s="297" t="s">
        <v>124</v>
      </c>
      <c r="EBQ232" s="297" t="s">
        <v>124</v>
      </c>
      <c r="EBR232" s="297" t="s">
        <v>124</v>
      </c>
      <c r="EBS232" s="297" t="s">
        <v>124</v>
      </c>
      <c r="EBT232" s="297" t="s">
        <v>124</v>
      </c>
      <c r="EBU232" s="297" t="s">
        <v>124</v>
      </c>
      <c r="EBV232" s="297" t="s">
        <v>124</v>
      </c>
      <c r="EBW232" s="297" t="s">
        <v>124</v>
      </c>
      <c r="EBX232" s="297" t="s">
        <v>124</v>
      </c>
      <c r="EBY232" s="297" t="s">
        <v>124</v>
      </c>
      <c r="EBZ232" s="297" t="s">
        <v>124</v>
      </c>
      <c r="ECA232" s="297" t="s">
        <v>124</v>
      </c>
      <c r="ECB232" s="297" t="s">
        <v>124</v>
      </c>
      <c r="ECC232" s="297" t="s">
        <v>124</v>
      </c>
      <c r="ECD232" s="297" t="s">
        <v>124</v>
      </c>
      <c r="ECE232" s="297" t="s">
        <v>124</v>
      </c>
      <c r="ECF232" s="297" t="s">
        <v>124</v>
      </c>
      <c r="ECG232" s="297" t="s">
        <v>124</v>
      </c>
      <c r="ECH232" s="297" t="s">
        <v>124</v>
      </c>
      <c r="ECI232" s="297" t="s">
        <v>124</v>
      </c>
      <c r="ECJ232" s="297" t="s">
        <v>124</v>
      </c>
      <c r="ECK232" s="297" t="s">
        <v>124</v>
      </c>
      <c r="ECL232" s="297" t="s">
        <v>124</v>
      </c>
      <c r="ECM232" s="297" t="s">
        <v>124</v>
      </c>
      <c r="ECN232" s="297" t="s">
        <v>124</v>
      </c>
      <c r="ECO232" s="297" t="s">
        <v>124</v>
      </c>
      <c r="ECP232" s="297" t="s">
        <v>124</v>
      </c>
      <c r="ECQ232" s="297" t="s">
        <v>124</v>
      </c>
      <c r="ECR232" s="297" t="s">
        <v>124</v>
      </c>
      <c r="ECS232" s="297" t="s">
        <v>124</v>
      </c>
      <c r="ECT232" s="297" t="s">
        <v>124</v>
      </c>
      <c r="ECU232" s="297" t="s">
        <v>124</v>
      </c>
      <c r="ECV232" s="297" t="s">
        <v>124</v>
      </c>
      <c r="ECW232" s="297" t="s">
        <v>124</v>
      </c>
      <c r="ECX232" s="297" t="s">
        <v>124</v>
      </c>
      <c r="ECY232" s="297" t="s">
        <v>124</v>
      </c>
      <c r="ECZ232" s="297" t="s">
        <v>124</v>
      </c>
      <c r="EDA232" s="297" t="s">
        <v>124</v>
      </c>
      <c r="EDB232" s="297" t="s">
        <v>124</v>
      </c>
      <c r="EDC232" s="297" t="s">
        <v>124</v>
      </c>
      <c r="EDD232" s="297" t="s">
        <v>124</v>
      </c>
      <c r="EDE232" s="297" t="s">
        <v>124</v>
      </c>
      <c r="EDF232" s="297" t="s">
        <v>124</v>
      </c>
      <c r="EDG232" s="297" t="s">
        <v>124</v>
      </c>
      <c r="EDH232" s="297" t="s">
        <v>124</v>
      </c>
      <c r="EDI232" s="297" t="s">
        <v>124</v>
      </c>
      <c r="EDJ232" s="297" t="s">
        <v>124</v>
      </c>
      <c r="EDK232" s="297" t="s">
        <v>124</v>
      </c>
      <c r="EDL232" s="297" t="s">
        <v>124</v>
      </c>
      <c r="EDM232" s="297" t="s">
        <v>124</v>
      </c>
      <c r="EDN232" s="297" t="s">
        <v>124</v>
      </c>
      <c r="EDO232" s="297" t="s">
        <v>124</v>
      </c>
      <c r="EDP232" s="297" t="s">
        <v>124</v>
      </c>
      <c r="EDQ232" s="297" t="s">
        <v>124</v>
      </c>
      <c r="EDR232" s="297" t="s">
        <v>124</v>
      </c>
      <c r="EDS232" s="297" t="s">
        <v>124</v>
      </c>
      <c r="EDT232" s="297" t="s">
        <v>124</v>
      </c>
      <c r="EDU232" s="297" t="s">
        <v>124</v>
      </c>
      <c r="EDV232" s="297" t="s">
        <v>124</v>
      </c>
      <c r="EDW232" s="297" t="s">
        <v>124</v>
      </c>
      <c r="EDX232" s="297" t="s">
        <v>124</v>
      </c>
      <c r="EDY232" s="297" t="s">
        <v>124</v>
      </c>
      <c r="EDZ232" s="297" t="s">
        <v>124</v>
      </c>
      <c r="EEA232" s="297" t="s">
        <v>124</v>
      </c>
      <c r="EEB232" s="297" t="s">
        <v>124</v>
      </c>
      <c r="EEC232" s="297" t="s">
        <v>124</v>
      </c>
      <c r="EED232" s="297" t="s">
        <v>124</v>
      </c>
      <c r="EEE232" s="297" t="s">
        <v>124</v>
      </c>
      <c r="EEF232" s="297" t="s">
        <v>124</v>
      </c>
      <c r="EEG232" s="297" t="s">
        <v>124</v>
      </c>
      <c r="EEH232" s="297" t="s">
        <v>124</v>
      </c>
      <c r="EEI232" s="297" t="s">
        <v>124</v>
      </c>
      <c r="EEJ232" s="297" t="s">
        <v>124</v>
      </c>
      <c r="EEK232" s="297" t="s">
        <v>124</v>
      </c>
      <c r="EEL232" s="297" t="s">
        <v>124</v>
      </c>
      <c r="EEM232" s="297" t="s">
        <v>124</v>
      </c>
      <c r="EEN232" s="297" t="s">
        <v>124</v>
      </c>
      <c r="EEO232" s="297" t="s">
        <v>124</v>
      </c>
      <c r="EEP232" s="297" t="s">
        <v>124</v>
      </c>
      <c r="EEQ232" s="297" t="s">
        <v>124</v>
      </c>
      <c r="EER232" s="297" t="s">
        <v>124</v>
      </c>
      <c r="EES232" s="297" t="s">
        <v>124</v>
      </c>
      <c r="EET232" s="297" t="s">
        <v>124</v>
      </c>
      <c r="EEU232" s="297" t="s">
        <v>124</v>
      </c>
      <c r="EEV232" s="297" t="s">
        <v>124</v>
      </c>
      <c r="EEW232" s="297" t="s">
        <v>124</v>
      </c>
      <c r="EEX232" s="297" t="s">
        <v>124</v>
      </c>
      <c r="EEY232" s="297" t="s">
        <v>124</v>
      </c>
      <c r="EEZ232" s="297" t="s">
        <v>124</v>
      </c>
      <c r="EFA232" s="297" t="s">
        <v>124</v>
      </c>
      <c r="EFB232" s="297" t="s">
        <v>124</v>
      </c>
      <c r="EFC232" s="297" t="s">
        <v>124</v>
      </c>
      <c r="EFD232" s="297" t="s">
        <v>124</v>
      </c>
      <c r="EFE232" s="297" t="s">
        <v>124</v>
      </c>
      <c r="EFF232" s="297" t="s">
        <v>124</v>
      </c>
      <c r="EFG232" s="297" t="s">
        <v>124</v>
      </c>
      <c r="EFH232" s="297" t="s">
        <v>124</v>
      </c>
      <c r="EFI232" s="297" t="s">
        <v>124</v>
      </c>
      <c r="EFJ232" s="297" t="s">
        <v>124</v>
      </c>
      <c r="EFK232" s="297" t="s">
        <v>124</v>
      </c>
      <c r="EFL232" s="297" t="s">
        <v>124</v>
      </c>
      <c r="EFM232" s="297" t="s">
        <v>124</v>
      </c>
      <c r="EFN232" s="297" t="s">
        <v>124</v>
      </c>
      <c r="EFO232" s="297" t="s">
        <v>124</v>
      </c>
      <c r="EFP232" s="297" t="s">
        <v>124</v>
      </c>
      <c r="EFQ232" s="297" t="s">
        <v>124</v>
      </c>
      <c r="EFR232" s="297" t="s">
        <v>124</v>
      </c>
      <c r="EFS232" s="297" t="s">
        <v>124</v>
      </c>
      <c r="EFT232" s="297" t="s">
        <v>124</v>
      </c>
      <c r="EFU232" s="297" t="s">
        <v>124</v>
      </c>
      <c r="EFV232" s="297" t="s">
        <v>124</v>
      </c>
      <c r="EFW232" s="297" t="s">
        <v>124</v>
      </c>
      <c r="EFX232" s="297" t="s">
        <v>124</v>
      </c>
      <c r="EFY232" s="297" t="s">
        <v>124</v>
      </c>
      <c r="EFZ232" s="297" t="s">
        <v>124</v>
      </c>
      <c r="EGA232" s="297" t="s">
        <v>124</v>
      </c>
      <c r="EGB232" s="297" t="s">
        <v>124</v>
      </c>
      <c r="EGC232" s="297" t="s">
        <v>124</v>
      </c>
      <c r="EGD232" s="297" t="s">
        <v>124</v>
      </c>
      <c r="EGE232" s="297" t="s">
        <v>124</v>
      </c>
      <c r="EGF232" s="297" t="s">
        <v>124</v>
      </c>
      <c r="EGG232" s="297" t="s">
        <v>124</v>
      </c>
      <c r="EGH232" s="297" t="s">
        <v>124</v>
      </c>
      <c r="EGI232" s="297" t="s">
        <v>124</v>
      </c>
      <c r="EGJ232" s="297" t="s">
        <v>124</v>
      </c>
      <c r="EGK232" s="297" t="s">
        <v>124</v>
      </c>
      <c r="EGL232" s="297" t="s">
        <v>124</v>
      </c>
      <c r="EGM232" s="297" t="s">
        <v>124</v>
      </c>
      <c r="EGN232" s="297" t="s">
        <v>124</v>
      </c>
      <c r="EGO232" s="297" t="s">
        <v>124</v>
      </c>
      <c r="EGP232" s="297" t="s">
        <v>124</v>
      </c>
      <c r="EGQ232" s="297" t="s">
        <v>124</v>
      </c>
      <c r="EGR232" s="297" t="s">
        <v>124</v>
      </c>
      <c r="EGS232" s="297" t="s">
        <v>124</v>
      </c>
      <c r="EGT232" s="297" t="s">
        <v>124</v>
      </c>
      <c r="EGU232" s="297" t="s">
        <v>124</v>
      </c>
      <c r="EGV232" s="297" t="s">
        <v>124</v>
      </c>
      <c r="EGW232" s="297" t="s">
        <v>124</v>
      </c>
      <c r="EGX232" s="297" t="s">
        <v>124</v>
      </c>
      <c r="EGY232" s="297" t="s">
        <v>124</v>
      </c>
      <c r="EGZ232" s="297" t="s">
        <v>124</v>
      </c>
      <c r="EHA232" s="297" t="s">
        <v>124</v>
      </c>
      <c r="EHB232" s="297" t="s">
        <v>124</v>
      </c>
      <c r="EHC232" s="297" t="s">
        <v>124</v>
      </c>
      <c r="EHD232" s="297" t="s">
        <v>124</v>
      </c>
      <c r="EHE232" s="297" t="s">
        <v>124</v>
      </c>
      <c r="EHF232" s="297" t="s">
        <v>124</v>
      </c>
      <c r="EHG232" s="297" t="s">
        <v>124</v>
      </c>
      <c r="EHH232" s="297" t="s">
        <v>124</v>
      </c>
      <c r="EHI232" s="297" t="s">
        <v>124</v>
      </c>
      <c r="EHJ232" s="297" t="s">
        <v>124</v>
      </c>
      <c r="EHK232" s="297" t="s">
        <v>124</v>
      </c>
      <c r="EHL232" s="297" t="s">
        <v>124</v>
      </c>
      <c r="EHM232" s="297" t="s">
        <v>124</v>
      </c>
      <c r="EHN232" s="297" t="s">
        <v>124</v>
      </c>
      <c r="EHO232" s="297" t="s">
        <v>124</v>
      </c>
      <c r="EHP232" s="297" t="s">
        <v>124</v>
      </c>
      <c r="EHQ232" s="297" t="s">
        <v>124</v>
      </c>
      <c r="EHR232" s="297" t="s">
        <v>124</v>
      </c>
      <c r="EHS232" s="297" t="s">
        <v>124</v>
      </c>
      <c r="EHT232" s="297" t="s">
        <v>124</v>
      </c>
      <c r="EHU232" s="297" t="s">
        <v>124</v>
      </c>
      <c r="EHV232" s="297" t="s">
        <v>124</v>
      </c>
      <c r="EHW232" s="297" t="s">
        <v>124</v>
      </c>
      <c r="EHX232" s="297" t="s">
        <v>124</v>
      </c>
      <c r="EHY232" s="297" t="s">
        <v>124</v>
      </c>
      <c r="EHZ232" s="297" t="s">
        <v>124</v>
      </c>
      <c r="EIA232" s="297" t="s">
        <v>124</v>
      </c>
      <c r="EIB232" s="297" t="s">
        <v>124</v>
      </c>
      <c r="EIC232" s="297" t="s">
        <v>124</v>
      </c>
      <c r="EID232" s="297" t="s">
        <v>124</v>
      </c>
      <c r="EIE232" s="297" t="s">
        <v>124</v>
      </c>
      <c r="EIF232" s="297" t="s">
        <v>124</v>
      </c>
      <c r="EIG232" s="297" t="s">
        <v>124</v>
      </c>
      <c r="EIH232" s="297" t="s">
        <v>124</v>
      </c>
      <c r="EII232" s="297" t="s">
        <v>124</v>
      </c>
      <c r="EIJ232" s="297" t="s">
        <v>124</v>
      </c>
      <c r="EIK232" s="297" t="s">
        <v>124</v>
      </c>
      <c r="EIL232" s="297" t="s">
        <v>124</v>
      </c>
      <c r="EIM232" s="297" t="s">
        <v>124</v>
      </c>
      <c r="EIN232" s="297" t="s">
        <v>124</v>
      </c>
      <c r="EIO232" s="297" t="s">
        <v>124</v>
      </c>
      <c r="EIP232" s="297" t="s">
        <v>124</v>
      </c>
      <c r="EIQ232" s="297" t="s">
        <v>124</v>
      </c>
      <c r="EIR232" s="297" t="s">
        <v>124</v>
      </c>
      <c r="EIS232" s="297" t="s">
        <v>124</v>
      </c>
      <c r="EIT232" s="297" t="s">
        <v>124</v>
      </c>
      <c r="EIU232" s="297" t="s">
        <v>124</v>
      </c>
      <c r="EIV232" s="297" t="s">
        <v>124</v>
      </c>
      <c r="EIW232" s="297" t="s">
        <v>124</v>
      </c>
      <c r="EIX232" s="297" t="s">
        <v>124</v>
      </c>
      <c r="EIY232" s="297" t="s">
        <v>124</v>
      </c>
      <c r="EIZ232" s="297" t="s">
        <v>124</v>
      </c>
      <c r="EJA232" s="297" t="s">
        <v>124</v>
      </c>
      <c r="EJB232" s="297" t="s">
        <v>124</v>
      </c>
      <c r="EJC232" s="297" t="s">
        <v>124</v>
      </c>
      <c r="EJD232" s="297" t="s">
        <v>124</v>
      </c>
      <c r="EJE232" s="297" t="s">
        <v>124</v>
      </c>
      <c r="EJF232" s="297" t="s">
        <v>124</v>
      </c>
      <c r="EJG232" s="297" t="s">
        <v>124</v>
      </c>
      <c r="EJH232" s="297" t="s">
        <v>124</v>
      </c>
      <c r="EJI232" s="297" t="s">
        <v>124</v>
      </c>
      <c r="EJJ232" s="297" t="s">
        <v>124</v>
      </c>
      <c r="EJK232" s="297" t="s">
        <v>124</v>
      </c>
      <c r="EJL232" s="297" t="s">
        <v>124</v>
      </c>
      <c r="EJM232" s="297" t="s">
        <v>124</v>
      </c>
      <c r="EJN232" s="297" t="s">
        <v>124</v>
      </c>
      <c r="EJO232" s="297" t="s">
        <v>124</v>
      </c>
      <c r="EJP232" s="297" t="s">
        <v>124</v>
      </c>
      <c r="EJQ232" s="297" t="s">
        <v>124</v>
      </c>
      <c r="EJR232" s="297" t="s">
        <v>124</v>
      </c>
      <c r="EJS232" s="297" t="s">
        <v>124</v>
      </c>
      <c r="EJT232" s="297" t="s">
        <v>124</v>
      </c>
      <c r="EJU232" s="297" t="s">
        <v>124</v>
      </c>
      <c r="EJV232" s="297" t="s">
        <v>124</v>
      </c>
      <c r="EJW232" s="297" t="s">
        <v>124</v>
      </c>
      <c r="EJX232" s="297" t="s">
        <v>124</v>
      </c>
      <c r="EJY232" s="297" t="s">
        <v>124</v>
      </c>
      <c r="EJZ232" s="297" t="s">
        <v>124</v>
      </c>
      <c r="EKA232" s="297" t="s">
        <v>124</v>
      </c>
      <c r="EKB232" s="297" t="s">
        <v>124</v>
      </c>
      <c r="EKC232" s="297" t="s">
        <v>124</v>
      </c>
      <c r="EKD232" s="297" t="s">
        <v>124</v>
      </c>
      <c r="EKE232" s="297" t="s">
        <v>124</v>
      </c>
      <c r="EKF232" s="297" t="s">
        <v>124</v>
      </c>
      <c r="EKG232" s="297" t="s">
        <v>124</v>
      </c>
      <c r="EKH232" s="297" t="s">
        <v>124</v>
      </c>
      <c r="EKI232" s="297" t="s">
        <v>124</v>
      </c>
      <c r="EKJ232" s="297" t="s">
        <v>124</v>
      </c>
      <c r="EKK232" s="297" t="s">
        <v>124</v>
      </c>
      <c r="EKL232" s="297" t="s">
        <v>124</v>
      </c>
      <c r="EKM232" s="297" t="s">
        <v>124</v>
      </c>
      <c r="EKN232" s="297" t="s">
        <v>124</v>
      </c>
      <c r="EKO232" s="297" t="s">
        <v>124</v>
      </c>
      <c r="EKP232" s="297" t="s">
        <v>124</v>
      </c>
      <c r="EKQ232" s="297" t="s">
        <v>124</v>
      </c>
      <c r="EKR232" s="297" t="s">
        <v>124</v>
      </c>
      <c r="EKS232" s="297" t="s">
        <v>124</v>
      </c>
      <c r="EKT232" s="297" t="s">
        <v>124</v>
      </c>
      <c r="EKU232" s="297" t="s">
        <v>124</v>
      </c>
      <c r="EKV232" s="297" t="s">
        <v>124</v>
      </c>
      <c r="EKW232" s="297" t="s">
        <v>124</v>
      </c>
      <c r="EKX232" s="297" t="s">
        <v>124</v>
      </c>
      <c r="EKY232" s="297" t="s">
        <v>124</v>
      </c>
      <c r="EKZ232" s="297" t="s">
        <v>124</v>
      </c>
      <c r="ELA232" s="297" t="s">
        <v>124</v>
      </c>
      <c r="ELB232" s="297" t="s">
        <v>124</v>
      </c>
      <c r="ELC232" s="297" t="s">
        <v>124</v>
      </c>
      <c r="ELD232" s="297" t="s">
        <v>124</v>
      </c>
      <c r="ELE232" s="297" t="s">
        <v>124</v>
      </c>
      <c r="ELF232" s="297" t="s">
        <v>124</v>
      </c>
      <c r="ELG232" s="297" t="s">
        <v>124</v>
      </c>
      <c r="ELH232" s="297" t="s">
        <v>124</v>
      </c>
      <c r="ELI232" s="297" t="s">
        <v>124</v>
      </c>
      <c r="ELJ232" s="297" t="s">
        <v>124</v>
      </c>
      <c r="ELK232" s="297" t="s">
        <v>124</v>
      </c>
      <c r="ELL232" s="297" t="s">
        <v>124</v>
      </c>
      <c r="ELM232" s="297" t="s">
        <v>124</v>
      </c>
      <c r="ELN232" s="297" t="s">
        <v>124</v>
      </c>
      <c r="ELO232" s="297" t="s">
        <v>124</v>
      </c>
      <c r="ELP232" s="297" t="s">
        <v>124</v>
      </c>
      <c r="ELQ232" s="297" t="s">
        <v>124</v>
      </c>
      <c r="ELR232" s="297" t="s">
        <v>124</v>
      </c>
      <c r="ELS232" s="297" t="s">
        <v>124</v>
      </c>
      <c r="ELT232" s="297" t="s">
        <v>124</v>
      </c>
      <c r="ELU232" s="297" t="s">
        <v>124</v>
      </c>
      <c r="ELV232" s="297" t="s">
        <v>124</v>
      </c>
      <c r="ELW232" s="297" t="s">
        <v>124</v>
      </c>
      <c r="ELX232" s="297" t="s">
        <v>124</v>
      </c>
      <c r="ELY232" s="297" t="s">
        <v>124</v>
      </c>
      <c r="ELZ232" s="297" t="s">
        <v>124</v>
      </c>
      <c r="EMA232" s="297" t="s">
        <v>124</v>
      </c>
      <c r="EMB232" s="297" t="s">
        <v>124</v>
      </c>
      <c r="EMC232" s="297" t="s">
        <v>124</v>
      </c>
      <c r="EMD232" s="297" t="s">
        <v>124</v>
      </c>
      <c r="EME232" s="297" t="s">
        <v>124</v>
      </c>
      <c r="EMF232" s="297" t="s">
        <v>124</v>
      </c>
      <c r="EMG232" s="297" t="s">
        <v>124</v>
      </c>
      <c r="EMH232" s="297" t="s">
        <v>124</v>
      </c>
      <c r="EMI232" s="297" t="s">
        <v>124</v>
      </c>
      <c r="EMJ232" s="297" t="s">
        <v>124</v>
      </c>
      <c r="EMK232" s="297" t="s">
        <v>124</v>
      </c>
      <c r="EML232" s="297" t="s">
        <v>124</v>
      </c>
      <c r="EMM232" s="297" t="s">
        <v>124</v>
      </c>
      <c r="EMN232" s="297" t="s">
        <v>124</v>
      </c>
      <c r="EMO232" s="297" t="s">
        <v>124</v>
      </c>
      <c r="EMP232" s="297" t="s">
        <v>124</v>
      </c>
      <c r="EMQ232" s="297" t="s">
        <v>124</v>
      </c>
      <c r="EMR232" s="297" t="s">
        <v>124</v>
      </c>
      <c r="EMS232" s="297" t="s">
        <v>124</v>
      </c>
      <c r="EMT232" s="297" t="s">
        <v>124</v>
      </c>
      <c r="EMU232" s="297" t="s">
        <v>124</v>
      </c>
      <c r="EMV232" s="297" t="s">
        <v>124</v>
      </c>
      <c r="EMW232" s="297" t="s">
        <v>124</v>
      </c>
      <c r="EMX232" s="297" t="s">
        <v>124</v>
      </c>
      <c r="EMY232" s="297" t="s">
        <v>124</v>
      </c>
      <c r="EMZ232" s="297" t="s">
        <v>124</v>
      </c>
      <c r="ENA232" s="297" t="s">
        <v>124</v>
      </c>
      <c r="ENB232" s="297" t="s">
        <v>124</v>
      </c>
      <c r="ENC232" s="297" t="s">
        <v>124</v>
      </c>
      <c r="END232" s="297" t="s">
        <v>124</v>
      </c>
      <c r="ENE232" s="297" t="s">
        <v>124</v>
      </c>
      <c r="ENF232" s="297" t="s">
        <v>124</v>
      </c>
      <c r="ENG232" s="297" t="s">
        <v>124</v>
      </c>
      <c r="ENH232" s="297" t="s">
        <v>124</v>
      </c>
      <c r="ENI232" s="297" t="s">
        <v>124</v>
      </c>
      <c r="ENJ232" s="297" t="s">
        <v>124</v>
      </c>
      <c r="ENK232" s="297" t="s">
        <v>124</v>
      </c>
      <c r="ENL232" s="297" t="s">
        <v>124</v>
      </c>
      <c r="ENM232" s="297" t="s">
        <v>124</v>
      </c>
      <c r="ENN232" s="297" t="s">
        <v>124</v>
      </c>
      <c r="ENO232" s="297" t="s">
        <v>124</v>
      </c>
      <c r="ENP232" s="297" t="s">
        <v>124</v>
      </c>
      <c r="ENQ232" s="297" t="s">
        <v>124</v>
      </c>
      <c r="ENR232" s="297" t="s">
        <v>124</v>
      </c>
      <c r="ENS232" s="297" t="s">
        <v>124</v>
      </c>
      <c r="ENT232" s="297" t="s">
        <v>124</v>
      </c>
      <c r="ENU232" s="297" t="s">
        <v>124</v>
      </c>
      <c r="ENV232" s="297" t="s">
        <v>124</v>
      </c>
      <c r="ENW232" s="297" t="s">
        <v>124</v>
      </c>
      <c r="ENX232" s="297" t="s">
        <v>124</v>
      </c>
      <c r="ENY232" s="297" t="s">
        <v>124</v>
      </c>
      <c r="ENZ232" s="297" t="s">
        <v>124</v>
      </c>
      <c r="EOA232" s="297" t="s">
        <v>124</v>
      </c>
      <c r="EOB232" s="297" t="s">
        <v>124</v>
      </c>
      <c r="EOC232" s="297" t="s">
        <v>124</v>
      </c>
      <c r="EOD232" s="297" t="s">
        <v>124</v>
      </c>
      <c r="EOE232" s="297" t="s">
        <v>124</v>
      </c>
      <c r="EOF232" s="297" t="s">
        <v>124</v>
      </c>
      <c r="EOG232" s="297" t="s">
        <v>124</v>
      </c>
      <c r="EOH232" s="297" t="s">
        <v>124</v>
      </c>
      <c r="EOI232" s="297" t="s">
        <v>124</v>
      </c>
      <c r="EOJ232" s="297" t="s">
        <v>124</v>
      </c>
      <c r="EOK232" s="297" t="s">
        <v>124</v>
      </c>
      <c r="EOL232" s="297" t="s">
        <v>124</v>
      </c>
      <c r="EOM232" s="297" t="s">
        <v>124</v>
      </c>
      <c r="EON232" s="297" t="s">
        <v>124</v>
      </c>
      <c r="EOO232" s="297" t="s">
        <v>124</v>
      </c>
      <c r="EOP232" s="297" t="s">
        <v>124</v>
      </c>
      <c r="EOQ232" s="297" t="s">
        <v>124</v>
      </c>
      <c r="EOR232" s="297" t="s">
        <v>124</v>
      </c>
      <c r="EOS232" s="297" t="s">
        <v>124</v>
      </c>
      <c r="EOT232" s="297" t="s">
        <v>124</v>
      </c>
      <c r="EOU232" s="297" t="s">
        <v>124</v>
      </c>
      <c r="EOV232" s="297" t="s">
        <v>124</v>
      </c>
      <c r="EOW232" s="297" t="s">
        <v>124</v>
      </c>
      <c r="EOX232" s="297" t="s">
        <v>124</v>
      </c>
      <c r="EOY232" s="297" t="s">
        <v>124</v>
      </c>
      <c r="EOZ232" s="297" t="s">
        <v>124</v>
      </c>
      <c r="EPA232" s="297" t="s">
        <v>124</v>
      </c>
      <c r="EPB232" s="297" t="s">
        <v>124</v>
      </c>
      <c r="EPC232" s="297" t="s">
        <v>124</v>
      </c>
      <c r="EPD232" s="297" t="s">
        <v>124</v>
      </c>
      <c r="EPE232" s="297" t="s">
        <v>124</v>
      </c>
      <c r="EPF232" s="297" t="s">
        <v>124</v>
      </c>
      <c r="EPG232" s="297" t="s">
        <v>124</v>
      </c>
      <c r="EPH232" s="297" t="s">
        <v>124</v>
      </c>
      <c r="EPI232" s="297" t="s">
        <v>124</v>
      </c>
      <c r="EPJ232" s="297" t="s">
        <v>124</v>
      </c>
      <c r="EPK232" s="297" t="s">
        <v>124</v>
      </c>
      <c r="EPL232" s="297" t="s">
        <v>124</v>
      </c>
      <c r="EPM232" s="297" t="s">
        <v>124</v>
      </c>
      <c r="EPN232" s="297" t="s">
        <v>124</v>
      </c>
      <c r="EPO232" s="297" t="s">
        <v>124</v>
      </c>
      <c r="EPP232" s="297" t="s">
        <v>124</v>
      </c>
      <c r="EPQ232" s="297" t="s">
        <v>124</v>
      </c>
      <c r="EPR232" s="297" t="s">
        <v>124</v>
      </c>
      <c r="EPS232" s="297" t="s">
        <v>124</v>
      </c>
      <c r="EPT232" s="297" t="s">
        <v>124</v>
      </c>
      <c r="EPU232" s="297" t="s">
        <v>124</v>
      </c>
      <c r="EPV232" s="297" t="s">
        <v>124</v>
      </c>
      <c r="EPW232" s="297" t="s">
        <v>124</v>
      </c>
      <c r="EPX232" s="297" t="s">
        <v>124</v>
      </c>
      <c r="EPY232" s="297" t="s">
        <v>124</v>
      </c>
      <c r="EPZ232" s="297" t="s">
        <v>124</v>
      </c>
      <c r="EQA232" s="297" t="s">
        <v>124</v>
      </c>
      <c r="EQB232" s="297" t="s">
        <v>124</v>
      </c>
      <c r="EQC232" s="297" t="s">
        <v>124</v>
      </c>
      <c r="EQD232" s="297" t="s">
        <v>124</v>
      </c>
      <c r="EQE232" s="297" t="s">
        <v>124</v>
      </c>
      <c r="EQF232" s="297" t="s">
        <v>124</v>
      </c>
      <c r="EQG232" s="297" t="s">
        <v>124</v>
      </c>
      <c r="EQH232" s="297" t="s">
        <v>124</v>
      </c>
      <c r="EQI232" s="297" t="s">
        <v>124</v>
      </c>
      <c r="EQJ232" s="297" t="s">
        <v>124</v>
      </c>
      <c r="EQK232" s="297" t="s">
        <v>124</v>
      </c>
      <c r="EQL232" s="297" t="s">
        <v>124</v>
      </c>
      <c r="EQM232" s="297" t="s">
        <v>124</v>
      </c>
      <c r="EQN232" s="297" t="s">
        <v>124</v>
      </c>
      <c r="EQO232" s="297" t="s">
        <v>124</v>
      </c>
      <c r="EQP232" s="297" t="s">
        <v>124</v>
      </c>
      <c r="EQQ232" s="297" t="s">
        <v>124</v>
      </c>
      <c r="EQR232" s="297" t="s">
        <v>124</v>
      </c>
      <c r="EQS232" s="297" t="s">
        <v>124</v>
      </c>
      <c r="EQT232" s="297" t="s">
        <v>124</v>
      </c>
      <c r="EQU232" s="297" t="s">
        <v>124</v>
      </c>
      <c r="EQV232" s="297" t="s">
        <v>124</v>
      </c>
      <c r="EQW232" s="297" t="s">
        <v>124</v>
      </c>
      <c r="EQX232" s="297" t="s">
        <v>124</v>
      </c>
      <c r="EQY232" s="297" t="s">
        <v>124</v>
      </c>
      <c r="EQZ232" s="297" t="s">
        <v>124</v>
      </c>
      <c r="ERA232" s="297" t="s">
        <v>124</v>
      </c>
      <c r="ERB232" s="297" t="s">
        <v>124</v>
      </c>
      <c r="ERC232" s="297" t="s">
        <v>124</v>
      </c>
      <c r="ERD232" s="297" t="s">
        <v>124</v>
      </c>
      <c r="ERE232" s="297" t="s">
        <v>124</v>
      </c>
      <c r="ERF232" s="297" t="s">
        <v>124</v>
      </c>
      <c r="ERG232" s="297" t="s">
        <v>124</v>
      </c>
      <c r="ERH232" s="297" t="s">
        <v>124</v>
      </c>
      <c r="ERI232" s="297" t="s">
        <v>124</v>
      </c>
      <c r="ERJ232" s="297" t="s">
        <v>124</v>
      </c>
      <c r="ERK232" s="297" t="s">
        <v>124</v>
      </c>
      <c r="ERL232" s="297" t="s">
        <v>124</v>
      </c>
      <c r="ERM232" s="297" t="s">
        <v>124</v>
      </c>
      <c r="ERN232" s="297" t="s">
        <v>124</v>
      </c>
      <c r="ERO232" s="297" t="s">
        <v>124</v>
      </c>
      <c r="ERP232" s="297" t="s">
        <v>124</v>
      </c>
      <c r="ERQ232" s="297" t="s">
        <v>124</v>
      </c>
      <c r="ERR232" s="297" t="s">
        <v>124</v>
      </c>
      <c r="ERS232" s="297" t="s">
        <v>124</v>
      </c>
      <c r="ERT232" s="297" t="s">
        <v>124</v>
      </c>
      <c r="ERU232" s="297" t="s">
        <v>124</v>
      </c>
      <c r="ERV232" s="297" t="s">
        <v>124</v>
      </c>
      <c r="ERW232" s="297" t="s">
        <v>124</v>
      </c>
      <c r="ERX232" s="297" t="s">
        <v>124</v>
      </c>
      <c r="ERY232" s="297" t="s">
        <v>124</v>
      </c>
      <c r="ERZ232" s="297" t="s">
        <v>124</v>
      </c>
      <c r="ESA232" s="297" t="s">
        <v>124</v>
      </c>
      <c r="ESB232" s="297" t="s">
        <v>124</v>
      </c>
      <c r="ESC232" s="297" t="s">
        <v>124</v>
      </c>
      <c r="ESD232" s="297" t="s">
        <v>124</v>
      </c>
      <c r="ESE232" s="297" t="s">
        <v>124</v>
      </c>
      <c r="ESF232" s="297" t="s">
        <v>124</v>
      </c>
      <c r="ESG232" s="297" t="s">
        <v>124</v>
      </c>
      <c r="ESH232" s="297" t="s">
        <v>124</v>
      </c>
      <c r="ESI232" s="297" t="s">
        <v>124</v>
      </c>
      <c r="ESJ232" s="297" t="s">
        <v>124</v>
      </c>
      <c r="ESK232" s="297" t="s">
        <v>124</v>
      </c>
      <c r="ESL232" s="297" t="s">
        <v>124</v>
      </c>
      <c r="ESM232" s="297" t="s">
        <v>124</v>
      </c>
      <c r="ESN232" s="297" t="s">
        <v>124</v>
      </c>
      <c r="ESO232" s="297" t="s">
        <v>124</v>
      </c>
      <c r="ESP232" s="297" t="s">
        <v>124</v>
      </c>
      <c r="ESQ232" s="297" t="s">
        <v>124</v>
      </c>
      <c r="ESR232" s="297" t="s">
        <v>124</v>
      </c>
      <c r="ESS232" s="297" t="s">
        <v>124</v>
      </c>
      <c r="EST232" s="297" t="s">
        <v>124</v>
      </c>
      <c r="ESU232" s="297" t="s">
        <v>124</v>
      </c>
      <c r="ESV232" s="297" t="s">
        <v>124</v>
      </c>
      <c r="ESW232" s="297" t="s">
        <v>124</v>
      </c>
      <c r="ESX232" s="297" t="s">
        <v>124</v>
      </c>
      <c r="ESY232" s="297" t="s">
        <v>124</v>
      </c>
      <c r="ESZ232" s="297" t="s">
        <v>124</v>
      </c>
      <c r="ETA232" s="297" t="s">
        <v>124</v>
      </c>
      <c r="ETB232" s="297" t="s">
        <v>124</v>
      </c>
      <c r="ETC232" s="297" t="s">
        <v>124</v>
      </c>
      <c r="ETD232" s="297" t="s">
        <v>124</v>
      </c>
      <c r="ETE232" s="297" t="s">
        <v>124</v>
      </c>
      <c r="ETF232" s="297" t="s">
        <v>124</v>
      </c>
      <c r="ETG232" s="297" t="s">
        <v>124</v>
      </c>
      <c r="ETH232" s="297" t="s">
        <v>124</v>
      </c>
      <c r="ETI232" s="297" t="s">
        <v>124</v>
      </c>
      <c r="ETJ232" s="297" t="s">
        <v>124</v>
      </c>
      <c r="ETK232" s="297" t="s">
        <v>124</v>
      </c>
      <c r="ETL232" s="297" t="s">
        <v>124</v>
      </c>
      <c r="ETM232" s="297" t="s">
        <v>124</v>
      </c>
      <c r="ETN232" s="297" t="s">
        <v>124</v>
      </c>
      <c r="ETO232" s="297" t="s">
        <v>124</v>
      </c>
      <c r="ETP232" s="297" t="s">
        <v>124</v>
      </c>
      <c r="ETQ232" s="297" t="s">
        <v>124</v>
      </c>
      <c r="ETR232" s="297" t="s">
        <v>124</v>
      </c>
      <c r="ETS232" s="297" t="s">
        <v>124</v>
      </c>
      <c r="ETT232" s="297" t="s">
        <v>124</v>
      </c>
      <c r="ETU232" s="297" t="s">
        <v>124</v>
      </c>
      <c r="ETV232" s="297" t="s">
        <v>124</v>
      </c>
      <c r="ETW232" s="297" t="s">
        <v>124</v>
      </c>
      <c r="ETX232" s="297" t="s">
        <v>124</v>
      </c>
      <c r="ETY232" s="297" t="s">
        <v>124</v>
      </c>
      <c r="ETZ232" s="297" t="s">
        <v>124</v>
      </c>
      <c r="EUA232" s="297" t="s">
        <v>124</v>
      </c>
      <c r="EUB232" s="297" t="s">
        <v>124</v>
      </c>
      <c r="EUC232" s="297" t="s">
        <v>124</v>
      </c>
      <c r="EUD232" s="297" t="s">
        <v>124</v>
      </c>
      <c r="EUE232" s="297" t="s">
        <v>124</v>
      </c>
      <c r="EUF232" s="297" t="s">
        <v>124</v>
      </c>
      <c r="EUG232" s="297" t="s">
        <v>124</v>
      </c>
      <c r="EUH232" s="297" t="s">
        <v>124</v>
      </c>
      <c r="EUI232" s="297" t="s">
        <v>124</v>
      </c>
      <c r="EUJ232" s="297" t="s">
        <v>124</v>
      </c>
      <c r="EUK232" s="297" t="s">
        <v>124</v>
      </c>
      <c r="EUL232" s="297" t="s">
        <v>124</v>
      </c>
      <c r="EUM232" s="297" t="s">
        <v>124</v>
      </c>
      <c r="EUN232" s="297" t="s">
        <v>124</v>
      </c>
      <c r="EUO232" s="297" t="s">
        <v>124</v>
      </c>
      <c r="EUP232" s="297" t="s">
        <v>124</v>
      </c>
      <c r="EUQ232" s="297" t="s">
        <v>124</v>
      </c>
      <c r="EUR232" s="297" t="s">
        <v>124</v>
      </c>
      <c r="EUS232" s="297" t="s">
        <v>124</v>
      </c>
      <c r="EUT232" s="297" t="s">
        <v>124</v>
      </c>
      <c r="EUU232" s="297" t="s">
        <v>124</v>
      </c>
      <c r="EUV232" s="297" t="s">
        <v>124</v>
      </c>
      <c r="EUW232" s="297" t="s">
        <v>124</v>
      </c>
      <c r="EUX232" s="297" t="s">
        <v>124</v>
      </c>
      <c r="EUY232" s="297" t="s">
        <v>124</v>
      </c>
      <c r="EUZ232" s="297" t="s">
        <v>124</v>
      </c>
      <c r="EVA232" s="297" t="s">
        <v>124</v>
      </c>
      <c r="EVB232" s="297" t="s">
        <v>124</v>
      </c>
      <c r="EVC232" s="297" t="s">
        <v>124</v>
      </c>
      <c r="EVD232" s="297" t="s">
        <v>124</v>
      </c>
      <c r="EVE232" s="297" t="s">
        <v>124</v>
      </c>
      <c r="EVF232" s="297" t="s">
        <v>124</v>
      </c>
      <c r="EVG232" s="297" t="s">
        <v>124</v>
      </c>
      <c r="EVH232" s="297" t="s">
        <v>124</v>
      </c>
      <c r="EVI232" s="297" t="s">
        <v>124</v>
      </c>
      <c r="EVJ232" s="297" t="s">
        <v>124</v>
      </c>
      <c r="EVK232" s="297" t="s">
        <v>124</v>
      </c>
      <c r="EVL232" s="297" t="s">
        <v>124</v>
      </c>
      <c r="EVM232" s="297" t="s">
        <v>124</v>
      </c>
      <c r="EVN232" s="297" t="s">
        <v>124</v>
      </c>
      <c r="EVO232" s="297" t="s">
        <v>124</v>
      </c>
      <c r="EVP232" s="297" t="s">
        <v>124</v>
      </c>
      <c r="EVQ232" s="297" t="s">
        <v>124</v>
      </c>
      <c r="EVR232" s="297" t="s">
        <v>124</v>
      </c>
      <c r="EVS232" s="297" t="s">
        <v>124</v>
      </c>
      <c r="EVT232" s="297" t="s">
        <v>124</v>
      </c>
      <c r="EVU232" s="297" t="s">
        <v>124</v>
      </c>
      <c r="EVV232" s="297" t="s">
        <v>124</v>
      </c>
      <c r="EVW232" s="297" t="s">
        <v>124</v>
      </c>
      <c r="EVX232" s="297" t="s">
        <v>124</v>
      </c>
      <c r="EVY232" s="297" t="s">
        <v>124</v>
      </c>
      <c r="EVZ232" s="297" t="s">
        <v>124</v>
      </c>
      <c r="EWA232" s="297" t="s">
        <v>124</v>
      </c>
      <c r="EWB232" s="297" t="s">
        <v>124</v>
      </c>
      <c r="EWC232" s="297" t="s">
        <v>124</v>
      </c>
      <c r="EWD232" s="297" t="s">
        <v>124</v>
      </c>
      <c r="EWE232" s="297" t="s">
        <v>124</v>
      </c>
      <c r="EWF232" s="297" t="s">
        <v>124</v>
      </c>
      <c r="EWG232" s="297" t="s">
        <v>124</v>
      </c>
      <c r="EWH232" s="297" t="s">
        <v>124</v>
      </c>
      <c r="EWI232" s="297" t="s">
        <v>124</v>
      </c>
      <c r="EWJ232" s="297" t="s">
        <v>124</v>
      </c>
      <c r="EWK232" s="297" t="s">
        <v>124</v>
      </c>
      <c r="EWL232" s="297" t="s">
        <v>124</v>
      </c>
      <c r="EWM232" s="297" t="s">
        <v>124</v>
      </c>
      <c r="EWN232" s="297" t="s">
        <v>124</v>
      </c>
      <c r="EWO232" s="297" t="s">
        <v>124</v>
      </c>
      <c r="EWP232" s="297" t="s">
        <v>124</v>
      </c>
      <c r="EWQ232" s="297" t="s">
        <v>124</v>
      </c>
      <c r="EWR232" s="297" t="s">
        <v>124</v>
      </c>
      <c r="EWS232" s="297" t="s">
        <v>124</v>
      </c>
      <c r="EWT232" s="297" t="s">
        <v>124</v>
      </c>
      <c r="EWU232" s="297" t="s">
        <v>124</v>
      </c>
      <c r="EWV232" s="297" t="s">
        <v>124</v>
      </c>
      <c r="EWW232" s="297" t="s">
        <v>124</v>
      </c>
      <c r="EWX232" s="297" t="s">
        <v>124</v>
      </c>
      <c r="EWY232" s="297" t="s">
        <v>124</v>
      </c>
      <c r="EWZ232" s="297" t="s">
        <v>124</v>
      </c>
      <c r="EXA232" s="297" t="s">
        <v>124</v>
      </c>
      <c r="EXB232" s="297" t="s">
        <v>124</v>
      </c>
      <c r="EXC232" s="297" t="s">
        <v>124</v>
      </c>
      <c r="EXD232" s="297" t="s">
        <v>124</v>
      </c>
      <c r="EXE232" s="297" t="s">
        <v>124</v>
      </c>
      <c r="EXF232" s="297" t="s">
        <v>124</v>
      </c>
      <c r="EXG232" s="297" t="s">
        <v>124</v>
      </c>
      <c r="EXH232" s="297" t="s">
        <v>124</v>
      </c>
      <c r="EXI232" s="297" t="s">
        <v>124</v>
      </c>
      <c r="EXJ232" s="297" t="s">
        <v>124</v>
      </c>
      <c r="EXK232" s="297" t="s">
        <v>124</v>
      </c>
      <c r="EXL232" s="297" t="s">
        <v>124</v>
      </c>
      <c r="EXM232" s="297" t="s">
        <v>124</v>
      </c>
      <c r="EXN232" s="297" t="s">
        <v>124</v>
      </c>
      <c r="EXO232" s="297" t="s">
        <v>124</v>
      </c>
      <c r="EXP232" s="297" t="s">
        <v>124</v>
      </c>
      <c r="EXQ232" s="297" t="s">
        <v>124</v>
      </c>
      <c r="EXR232" s="297" t="s">
        <v>124</v>
      </c>
      <c r="EXS232" s="297" t="s">
        <v>124</v>
      </c>
      <c r="EXT232" s="297" t="s">
        <v>124</v>
      </c>
      <c r="EXU232" s="297" t="s">
        <v>124</v>
      </c>
      <c r="EXV232" s="297" t="s">
        <v>124</v>
      </c>
      <c r="EXW232" s="297" t="s">
        <v>124</v>
      </c>
      <c r="EXX232" s="297" t="s">
        <v>124</v>
      </c>
      <c r="EXY232" s="297" t="s">
        <v>124</v>
      </c>
      <c r="EXZ232" s="297" t="s">
        <v>124</v>
      </c>
      <c r="EYA232" s="297" t="s">
        <v>124</v>
      </c>
      <c r="EYB232" s="297" t="s">
        <v>124</v>
      </c>
      <c r="EYC232" s="297" t="s">
        <v>124</v>
      </c>
      <c r="EYD232" s="297" t="s">
        <v>124</v>
      </c>
      <c r="EYE232" s="297" t="s">
        <v>124</v>
      </c>
      <c r="EYF232" s="297" t="s">
        <v>124</v>
      </c>
      <c r="EYG232" s="297" t="s">
        <v>124</v>
      </c>
      <c r="EYH232" s="297" t="s">
        <v>124</v>
      </c>
      <c r="EYI232" s="297" t="s">
        <v>124</v>
      </c>
      <c r="EYJ232" s="297" t="s">
        <v>124</v>
      </c>
      <c r="EYK232" s="297" t="s">
        <v>124</v>
      </c>
      <c r="EYL232" s="297" t="s">
        <v>124</v>
      </c>
      <c r="EYM232" s="297" t="s">
        <v>124</v>
      </c>
      <c r="EYN232" s="297" t="s">
        <v>124</v>
      </c>
      <c r="EYO232" s="297" t="s">
        <v>124</v>
      </c>
      <c r="EYP232" s="297" t="s">
        <v>124</v>
      </c>
      <c r="EYQ232" s="297" t="s">
        <v>124</v>
      </c>
      <c r="EYR232" s="297" t="s">
        <v>124</v>
      </c>
      <c r="EYS232" s="297" t="s">
        <v>124</v>
      </c>
      <c r="EYT232" s="297" t="s">
        <v>124</v>
      </c>
      <c r="EYU232" s="297" t="s">
        <v>124</v>
      </c>
      <c r="EYV232" s="297" t="s">
        <v>124</v>
      </c>
      <c r="EYW232" s="297" t="s">
        <v>124</v>
      </c>
      <c r="EYX232" s="297" t="s">
        <v>124</v>
      </c>
      <c r="EYY232" s="297" t="s">
        <v>124</v>
      </c>
      <c r="EYZ232" s="297" t="s">
        <v>124</v>
      </c>
      <c r="EZA232" s="297" t="s">
        <v>124</v>
      </c>
      <c r="EZB232" s="297" t="s">
        <v>124</v>
      </c>
      <c r="EZC232" s="297" t="s">
        <v>124</v>
      </c>
      <c r="EZD232" s="297" t="s">
        <v>124</v>
      </c>
      <c r="EZE232" s="297" t="s">
        <v>124</v>
      </c>
      <c r="EZF232" s="297" t="s">
        <v>124</v>
      </c>
      <c r="EZG232" s="297" t="s">
        <v>124</v>
      </c>
      <c r="EZH232" s="297" t="s">
        <v>124</v>
      </c>
      <c r="EZI232" s="297" t="s">
        <v>124</v>
      </c>
      <c r="EZJ232" s="297" t="s">
        <v>124</v>
      </c>
      <c r="EZK232" s="297" t="s">
        <v>124</v>
      </c>
      <c r="EZL232" s="297" t="s">
        <v>124</v>
      </c>
      <c r="EZM232" s="297" t="s">
        <v>124</v>
      </c>
      <c r="EZN232" s="297" t="s">
        <v>124</v>
      </c>
      <c r="EZO232" s="297" t="s">
        <v>124</v>
      </c>
      <c r="EZP232" s="297" t="s">
        <v>124</v>
      </c>
      <c r="EZQ232" s="297" t="s">
        <v>124</v>
      </c>
      <c r="EZR232" s="297" t="s">
        <v>124</v>
      </c>
      <c r="EZS232" s="297" t="s">
        <v>124</v>
      </c>
      <c r="EZT232" s="297" t="s">
        <v>124</v>
      </c>
      <c r="EZU232" s="297" t="s">
        <v>124</v>
      </c>
      <c r="EZV232" s="297" t="s">
        <v>124</v>
      </c>
      <c r="EZW232" s="297" t="s">
        <v>124</v>
      </c>
      <c r="EZX232" s="297" t="s">
        <v>124</v>
      </c>
      <c r="EZY232" s="297" t="s">
        <v>124</v>
      </c>
      <c r="EZZ232" s="297" t="s">
        <v>124</v>
      </c>
      <c r="FAA232" s="297" t="s">
        <v>124</v>
      </c>
      <c r="FAB232" s="297" t="s">
        <v>124</v>
      </c>
      <c r="FAC232" s="297" t="s">
        <v>124</v>
      </c>
      <c r="FAD232" s="297" t="s">
        <v>124</v>
      </c>
      <c r="FAE232" s="297" t="s">
        <v>124</v>
      </c>
      <c r="FAF232" s="297" t="s">
        <v>124</v>
      </c>
      <c r="FAG232" s="297" t="s">
        <v>124</v>
      </c>
      <c r="FAH232" s="297" t="s">
        <v>124</v>
      </c>
      <c r="FAI232" s="297" t="s">
        <v>124</v>
      </c>
      <c r="FAJ232" s="297" t="s">
        <v>124</v>
      </c>
      <c r="FAK232" s="297" t="s">
        <v>124</v>
      </c>
      <c r="FAL232" s="297" t="s">
        <v>124</v>
      </c>
      <c r="FAM232" s="297" t="s">
        <v>124</v>
      </c>
      <c r="FAN232" s="297" t="s">
        <v>124</v>
      </c>
      <c r="FAO232" s="297" t="s">
        <v>124</v>
      </c>
      <c r="FAP232" s="297" t="s">
        <v>124</v>
      </c>
      <c r="FAQ232" s="297" t="s">
        <v>124</v>
      </c>
      <c r="FAR232" s="297" t="s">
        <v>124</v>
      </c>
      <c r="FAS232" s="297" t="s">
        <v>124</v>
      </c>
      <c r="FAT232" s="297" t="s">
        <v>124</v>
      </c>
      <c r="FAU232" s="297" t="s">
        <v>124</v>
      </c>
      <c r="FAV232" s="297" t="s">
        <v>124</v>
      </c>
      <c r="FAW232" s="297" t="s">
        <v>124</v>
      </c>
      <c r="FAX232" s="297" t="s">
        <v>124</v>
      </c>
      <c r="FAY232" s="297" t="s">
        <v>124</v>
      </c>
      <c r="FAZ232" s="297" t="s">
        <v>124</v>
      </c>
      <c r="FBA232" s="297" t="s">
        <v>124</v>
      </c>
      <c r="FBB232" s="297" t="s">
        <v>124</v>
      </c>
      <c r="FBC232" s="297" t="s">
        <v>124</v>
      </c>
      <c r="FBD232" s="297" t="s">
        <v>124</v>
      </c>
      <c r="FBE232" s="297" t="s">
        <v>124</v>
      </c>
      <c r="FBF232" s="297" t="s">
        <v>124</v>
      </c>
      <c r="FBG232" s="297" t="s">
        <v>124</v>
      </c>
      <c r="FBH232" s="297" t="s">
        <v>124</v>
      </c>
      <c r="FBI232" s="297" t="s">
        <v>124</v>
      </c>
      <c r="FBJ232" s="297" t="s">
        <v>124</v>
      </c>
      <c r="FBK232" s="297" t="s">
        <v>124</v>
      </c>
      <c r="FBL232" s="297" t="s">
        <v>124</v>
      </c>
      <c r="FBM232" s="297" t="s">
        <v>124</v>
      </c>
      <c r="FBN232" s="297" t="s">
        <v>124</v>
      </c>
      <c r="FBO232" s="297" t="s">
        <v>124</v>
      </c>
      <c r="FBP232" s="297" t="s">
        <v>124</v>
      </c>
      <c r="FBQ232" s="297" t="s">
        <v>124</v>
      </c>
      <c r="FBR232" s="297" t="s">
        <v>124</v>
      </c>
      <c r="FBS232" s="297" t="s">
        <v>124</v>
      </c>
      <c r="FBT232" s="297" t="s">
        <v>124</v>
      </c>
      <c r="FBU232" s="297" t="s">
        <v>124</v>
      </c>
      <c r="FBV232" s="297" t="s">
        <v>124</v>
      </c>
      <c r="FBW232" s="297" t="s">
        <v>124</v>
      </c>
      <c r="FBX232" s="297" t="s">
        <v>124</v>
      </c>
      <c r="FBY232" s="297" t="s">
        <v>124</v>
      </c>
      <c r="FBZ232" s="297" t="s">
        <v>124</v>
      </c>
      <c r="FCA232" s="297" t="s">
        <v>124</v>
      </c>
      <c r="FCB232" s="297" t="s">
        <v>124</v>
      </c>
      <c r="FCC232" s="297" t="s">
        <v>124</v>
      </c>
      <c r="FCD232" s="297" t="s">
        <v>124</v>
      </c>
      <c r="FCE232" s="297" t="s">
        <v>124</v>
      </c>
      <c r="FCF232" s="297" t="s">
        <v>124</v>
      </c>
      <c r="FCG232" s="297" t="s">
        <v>124</v>
      </c>
      <c r="FCH232" s="297" t="s">
        <v>124</v>
      </c>
      <c r="FCI232" s="297" t="s">
        <v>124</v>
      </c>
      <c r="FCJ232" s="297" t="s">
        <v>124</v>
      </c>
      <c r="FCK232" s="297" t="s">
        <v>124</v>
      </c>
      <c r="FCL232" s="297" t="s">
        <v>124</v>
      </c>
      <c r="FCM232" s="297" t="s">
        <v>124</v>
      </c>
      <c r="FCN232" s="297" t="s">
        <v>124</v>
      </c>
      <c r="FCO232" s="297" t="s">
        <v>124</v>
      </c>
      <c r="FCP232" s="297" t="s">
        <v>124</v>
      </c>
      <c r="FCQ232" s="297" t="s">
        <v>124</v>
      </c>
      <c r="FCR232" s="297" t="s">
        <v>124</v>
      </c>
      <c r="FCS232" s="297" t="s">
        <v>124</v>
      </c>
      <c r="FCT232" s="297" t="s">
        <v>124</v>
      </c>
      <c r="FCU232" s="297" t="s">
        <v>124</v>
      </c>
      <c r="FCV232" s="297" t="s">
        <v>124</v>
      </c>
      <c r="FCW232" s="297" t="s">
        <v>124</v>
      </c>
      <c r="FCX232" s="297" t="s">
        <v>124</v>
      </c>
      <c r="FCY232" s="297" t="s">
        <v>124</v>
      </c>
      <c r="FCZ232" s="297" t="s">
        <v>124</v>
      </c>
      <c r="FDA232" s="297" t="s">
        <v>124</v>
      </c>
      <c r="FDB232" s="297" t="s">
        <v>124</v>
      </c>
      <c r="FDC232" s="297" t="s">
        <v>124</v>
      </c>
      <c r="FDD232" s="297" t="s">
        <v>124</v>
      </c>
      <c r="FDE232" s="297" t="s">
        <v>124</v>
      </c>
      <c r="FDF232" s="297" t="s">
        <v>124</v>
      </c>
      <c r="FDG232" s="297" t="s">
        <v>124</v>
      </c>
      <c r="FDH232" s="297" t="s">
        <v>124</v>
      </c>
      <c r="FDI232" s="297" t="s">
        <v>124</v>
      </c>
      <c r="FDJ232" s="297" t="s">
        <v>124</v>
      </c>
      <c r="FDK232" s="297" t="s">
        <v>124</v>
      </c>
      <c r="FDL232" s="297" t="s">
        <v>124</v>
      </c>
      <c r="FDM232" s="297" t="s">
        <v>124</v>
      </c>
      <c r="FDN232" s="297" t="s">
        <v>124</v>
      </c>
      <c r="FDO232" s="297" t="s">
        <v>124</v>
      </c>
      <c r="FDP232" s="297" t="s">
        <v>124</v>
      </c>
      <c r="FDQ232" s="297" t="s">
        <v>124</v>
      </c>
      <c r="FDR232" s="297" t="s">
        <v>124</v>
      </c>
      <c r="FDS232" s="297" t="s">
        <v>124</v>
      </c>
      <c r="FDT232" s="297" t="s">
        <v>124</v>
      </c>
      <c r="FDU232" s="297" t="s">
        <v>124</v>
      </c>
      <c r="FDV232" s="297" t="s">
        <v>124</v>
      </c>
      <c r="FDW232" s="297" t="s">
        <v>124</v>
      </c>
      <c r="FDX232" s="297" t="s">
        <v>124</v>
      </c>
      <c r="FDY232" s="297" t="s">
        <v>124</v>
      </c>
      <c r="FDZ232" s="297" t="s">
        <v>124</v>
      </c>
      <c r="FEA232" s="297" t="s">
        <v>124</v>
      </c>
      <c r="FEB232" s="297" t="s">
        <v>124</v>
      </c>
      <c r="FEC232" s="297" t="s">
        <v>124</v>
      </c>
      <c r="FED232" s="297" t="s">
        <v>124</v>
      </c>
      <c r="FEE232" s="297" t="s">
        <v>124</v>
      </c>
      <c r="FEF232" s="297" t="s">
        <v>124</v>
      </c>
      <c r="FEG232" s="297" t="s">
        <v>124</v>
      </c>
      <c r="FEH232" s="297" t="s">
        <v>124</v>
      </c>
      <c r="FEI232" s="297" t="s">
        <v>124</v>
      </c>
      <c r="FEJ232" s="297" t="s">
        <v>124</v>
      </c>
      <c r="FEK232" s="297" t="s">
        <v>124</v>
      </c>
      <c r="FEL232" s="297" t="s">
        <v>124</v>
      </c>
      <c r="FEM232" s="297" t="s">
        <v>124</v>
      </c>
      <c r="FEN232" s="297" t="s">
        <v>124</v>
      </c>
      <c r="FEO232" s="297" t="s">
        <v>124</v>
      </c>
      <c r="FEP232" s="297" t="s">
        <v>124</v>
      </c>
      <c r="FEQ232" s="297" t="s">
        <v>124</v>
      </c>
      <c r="FER232" s="297" t="s">
        <v>124</v>
      </c>
      <c r="FES232" s="297" t="s">
        <v>124</v>
      </c>
      <c r="FET232" s="297" t="s">
        <v>124</v>
      </c>
      <c r="FEU232" s="297" t="s">
        <v>124</v>
      </c>
      <c r="FEV232" s="297" t="s">
        <v>124</v>
      </c>
      <c r="FEW232" s="297" t="s">
        <v>124</v>
      </c>
      <c r="FEX232" s="297" t="s">
        <v>124</v>
      </c>
      <c r="FEY232" s="297" t="s">
        <v>124</v>
      </c>
      <c r="FEZ232" s="297" t="s">
        <v>124</v>
      </c>
      <c r="FFA232" s="297" t="s">
        <v>124</v>
      </c>
      <c r="FFB232" s="297" t="s">
        <v>124</v>
      </c>
      <c r="FFC232" s="297" t="s">
        <v>124</v>
      </c>
      <c r="FFD232" s="297" t="s">
        <v>124</v>
      </c>
      <c r="FFE232" s="297" t="s">
        <v>124</v>
      </c>
      <c r="FFF232" s="297" t="s">
        <v>124</v>
      </c>
      <c r="FFG232" s="297" t="s">
        <v>124</v>
      </c>
      <c r="FFH232" s="297" t="s">
        <v>124</v>
      </c>
      <c r="FFI232" s="297" t="s">
        <v>124</v>
      </c>
      <c r="FFJ232" s="297" t="s">
        <v>124</v>
      </c>
      <c r="FFK232" s="297" t="s">
        <v>124</v>
      </c>
      <c r="FFL232" s="297" t="s">
        <v>124</v>
      </c>
      <c r="FFM232" s="297" t="s">
        <v>124</v>
      </c>
      <c r="FFN232" s="297" t="s">
        <v>124</v>
      </c>
      <c r="FFO232" s="297" t="s">
        <v>124</v>
      </c>
      <c r="FFP232" s="297" t="s">
        <v>124</v>
      </c>
      <c r="FFQ232" s="297" t="s">
        <v>124</v>
      </c>
      <c r="FFR232" s="297" t="s">
        <v>124</v>
      </c>
      <c r="FFS232" s="297" t="s">
        <v>124</v>
      </c>
      <c r="FFT232" s="297" t="s">
        <v>124</v>
      </c>
      <c r="FFU232" s="297" t="s">
        <v>124</v>
      </c>
      <c r="FFV232" s="297" t="s">
        <v>124</v>
      </c>
      <c r="FFW232" s="297" t="s">
        <v>124</v>
      </c>
      <c r="FFX232" s="297" t="s">
        <v>124</v>
      </c>
      <c r="FFY232" s="297" t="s">
        <v>124</v>
      </c>
      <c r="FFZ232" s="297" t="s">
        <v>124</v>
      </c>
      <c r="FGA232" s="297" t="s">
        <v>124</v>
      </c>
      <c r="FGB232" s="297" t="s">
        <v>124</v>
      </c>
      <c r="FGC232" s="297" t="s">
        <v>124</v>
      </c>
      <c r="FGD232" s="297" t="s">
        <v>124</v>
      </c>
      <c r="FGE232" s="297" t="s">
        <v>124</v>
      </c>
      <c r="FGF232" s="297" t="s">
        <v>124</v>
      </c>
      <c r="FGG232" s="297" t="s">
        <v>124</v>
      </c>
      <c r="FGH232" s="297" t="s">
        <v>124</v>
      </c>
      <c r="FGI232" s="297" t="s">
        <v>124</v>
      </c>
      <c r="FGJ232" s="297" t="s">
        <v>124</v>
      </c>
      <c r="FGK232" s="297" t="s">
        <v>124</v>
      </c>
      <c r="FGL232" s="297" t="s">
        <v>124</v>
      </c>
      <c r="FGM232" s="297" t="s">
        <v>124</v>
      </c>
      <c r="FGN232" s="297" t="s">
        <v>124</v>
      </c>
      <c r="FGO232" s="297" t="s">
        <v>124</v>
      </c>
      <c r="FGP232" s="297" t="s">
        <v>124</v>
      </c>
      <c r="FGQ232" s="297" t="s">
        <v>124</v>
      </c>
      <c r="FGR232" s="297" t="s">
        <v>124</v>
      </c>
      <c r="FGS232" s="297" t="s">
        <v>124</v>
      </c>
      <c r="FGT232" s="297" t="s">
        <v>124</v>
      </c>
      <c r="FGU232" s="297" t="s">
        <v>124</v>
      </c>
      <c r="FGV232" s="297" t="s">
        <v>124</v>
      </c>
      <c r="FGW232" s="297" t="s">
        <v>124</v>
      </c>
      <c r="FGX232" s="297" t="s">
        <v>124</v>
      </c>
      <c r="FGY232" s="297" t="s">
        <v>124</v>
      </c>
      <c r="FGZ232" s="297" t="s">
        <v>124</v>
      </c>
      <c r="FHA232" s="297" t="s">
        <v>124</v>
      </c>
      <c r="FHB232" s="297" t="s">
        <v>124</v>
      </c>
      <c r="FHC232" s="297" t="s">
        <v>124</v>
      </c>
      <c r="FHD232" s="297" t="s">
        <v>124</v>
      </c>
      <c r="FHE232" s="297" t="s">
        <v>124</v>
      </c>
      <c r="FHF232" s="297" t="s">
        <v>124</v>
      </c>
      <c r="FHG232" s="297" t="s">
        <v>124</v>
      </c>
      <c r="FHH232" s="297" t="s">
        <v>124</v>
      </c>
      <c r="FHI232" s="297" t="s">
        <v>124</v>
      </c>
      <c r="FHJ232" s="297" t="s">
        <v>124</v>
      </c>
      <c r="FHK232" s="297" t="s">
        <v>124</v>
      </c>
      <c r="FHL232" s="297" t="s">
        <v>124</v>
      </c>
      <c r="FHM232" s="297" t="s">
        <v>124</v>
      </c>
      <c r="FHN232" s="297" t="s">
        <v>124</v>
      </c>
      <c r="FHO232" s="297" t="s">
        <v>124</v>
      </c>
      <c r="FHP232" s="297" t="s">
        <v>124</v>
      </c>
      <c r="FHQ232" s="297" t="s">
        <v>124</v>
      </c>
      <c r="FHR232" s="297" t="s">
        <v>124</v>
      </c>
      <c r="FHS232" s="297" t="s">
        <v>124</v>
      </c>
      <c r="FHT232" s="297" t="s">
        <v>124</v>
      </c>
      <c r="FHU232" s="297" t="s">
        <v>124</v>
      </c>
      <c r="FHV232" s="297" t="s">
        <v>124</v>
      </c>
      <c r="FHW232" s="297" t="s">
        <v>124</v>
      </c>
      <c r="FHX232" s="297" t="s">
        <v>124</v>
      </c>
      <c r="FHY232" s="297" t="s">
        <v>124</v>
      </c>
      <c r="FHZ232" s="297" t="s">
        <v>124</v>
      </c>
      <c r="FIA232" s="297" t="s">
        <v>124</v>
      </c>
      <c r="FIB232" s="297" t="s">
        <v>124</v>
      </c>
      <c r="FIC232" s="297" t="s">
        <v>124</v>
      </c>
      <c r="FID232" s="297" t="s">
        <v>124</v>
      </c>
      <c r="FIE232" s="297" t="s">
        <v>124</v>
      </c>
      <c r="FIF232" s="297" t="s">
        <v>124</v>
      </c>
      <c r="FIG232" s="297" t="s">
        <v>124</v>
      </c>
      <c r="FIH232" s="297" t="s">
        <v>124</v>
      </c>
      <c r="FII232" s="297" t="s">
        <v>124</v>
      </c>
      <c r="FIJ232" s="297" t="s">
        <v>124</v>
      </c>
      <c r="FIK232" s="297" t="s">
        <v>124</v>
      </c>
      <c r="FIL232" s="297" t="s">
        <v>124</v>
      </c>
      <c r="FIM232" s="297" t="s">
        <v>124</v>
      </c>
      <c r="FIN232" s="297" t="s">
        <v>124</v>
      </c>
      <c r="FIO232" s="297" t="s">
        <v>124</v>
      </c>
      <c r="FIP232" s="297" t="s">
        <v>124</v>
      </c>
      <c r="FIQ232" s="297" t="s">
        <v>124</v>
      </c>
      <c r="FIR232" s="297" t="s">
        <v>124</v>
      </c>
      <c r="FIS232" s="297" t="s">
        <v>124</v>
      </c>
      <c r="FIT232" s="297" t="s">
        <v>124</v>
      </c>
      <c r="FIU232" s="297" t="s">
        <v>124</v>
      </c>
      <c r="FIV232" s="297" t="s">
        <v>124</v>
      </c>
      <c r="FIW232" s="297" t="s">
        <v>124</v>
      </c>
      <c r="FIX232" s="297" t="s">
        <v>124</v>
      </c>
      <c r="FIY232" s="297" t="s">
        <v>124</v>
      </c>
      <c r="FIZ232" s="297" t="s">
        <v>124</v>
      </c>
      <c r="FJA232" s="297" t="s">
        <v>124</v>
      </c>
      <c r="FJB232" s="297" t="s">
        <v>124</v>
      </c>
      <c r="FJC232" s="297" t="s">
        <v>124</v>
      </c>
      <c r="FJD232" s="297" t="s">
        <v>124</v>
      </c>
      <c r="FJE232" s="297" t="s">
        <v>124</v>
      </c>
      <c r="FJF232" s="297" t="s">
        <v>124</v>
      </c>
      <c r="FJG232" s="297" t="s">
        <v>124</v>
      </c>
      <c r="FJH232" s="297" t="s">
        <v>124</v>
      </c>
      <c r="FJI232" s="297" t="s">
        <v>124</v>
      </c>
      <c r="FJJ232" s="297" t="s">
        <v>124</v>
      </c>
      <c r="FJK232" s="297" t="s">
        <v>124</v>
      </c>
      <c r="FJL232" s="297" t="s">
        <v>124</v>
      </c>
      <c r="FJM232" s="297" t="s">
        <v>124</v>
      </c>
      <c r="FJN232" s="297" t="s">
        <v>124</v>
      </c>
      <c r="FJO232" s="297" t="s">
        <v>124</v>
      </c>
      <c r="FJP232" s="297" t="s">
        <v>124</v>
      </c>
      <c r="FJQ232" s="297" t="s">
        <v>124</v>
      </c>
      <c r="FJR232" s="297" t="s">
        <v>124</v>
      </c>
      <c r="FJS232" s="297" t="s">
        <v>124</v>
      </c>
      <c r="FJT232" s="297" t="s">
        <v>124</v>
      </c>
      <c r="FJU232" s="297" t="s">
        <v>124</v>
      </c>
      <c r="FJV232" s="297" t="s">
        <v>124</v>
      </c>
      <c r="FJW232" s="297" t="s">
        <v>124</v>
      </c>
      <c r="FJX232" s="297" t="s">
        <v>124</v>
      </c>
      <c r="FJY232" s="297" t="s">
        <v>124</v>
      </c>
      <c r="FJZ232" s="297" t="s">
        <v>124</v>
      </c>
      <c r="FKA232" s="297" t="s">
        <v>124</v>
      </c>
      <c r="FKB232" s="297" t="s">
        <v>124</v>
      </c>
      <c r="FKC232" s="297" t="s">
        <v>124</v>
      </c>
      <c r="FKD232" s="297" t="s">
        <v>124</v>
      </c>
      <c r="FKE232" s="297" t="s">
        <v>124</v>
      </c>
      <c r="FKF232" s="297" t="s">
        <v>124</v>
      </c>
      <c r="FKG232" s="297" t="s">
        <v>124</v>
      </c>
      <c r="FKH232" s="297" t="s">
        <v>124</v>
      </c>
      <c r="FKI232" s="297" t="s">
        <v>124</v>
      </c>
      <c r="FKJ232" s="297" t="s">
        <v>124</v>
      </c>
      <c r="FKK232" s="297" t="s">
        <v>124</v>
      </c>
      <c r="FKL232" s="297" t="s">
        <v>124</v>
      </c>
      <c r="FKM232" s="297" t="s">
        <v>124</v>
      </c>
      <c r="FKN232" s="297" t="s">
        <v>124</v>
      </c>
      <c r="FKO232" s="297" t="s">
        <v>124</v>
      </c>
      <c r="FKP232" s="297" t="s">
        <v>124</v>
      </c>
      <c r="FKQ232" s="297" t="s">
        <v>124</v>
      </c>
      <c r="FKR232" s="297" t="s">
        <v>124</v>
      </c>
      <c r="FKS232" s="297" t="s">
        <v>124</v>
      </c>
      <c r="FKT232" s="297" t="s">
        <v>124</v>
      </c>
      <c r="FKU232" s="297" t="s">
        <v>124</v>
      </c>
      <c r="FKV232" s="297" t="s">
        <v>124</v>
      </c>
      <c r="FKW232" s="297" t="s">
        <v>124</v>
      </c>
      <c r="FKX232" s="297" t="s">
        <v>124</v>
      </c>
      <c r="FKY232" s="297" t="s">
        <v>124</v>
      </c>
      <c r="FKZ232" s="297" t="s">
        <v>124</v>
      </c>
      <c r="FLA232" s="297" t="s">
        <v>124</v>
      </c>
      <c r="FLB232" s="297" t="s">
        <v>124</v>
      </c>
      <c r="FLC232" s="297" t="s">
        <v>124</v>
      </c>
      <c r="FLD232" s="297" t="s">
        <v>124</v>
      </c>
      <c r="FLE232" s="297" t="s">
        <v>124</v>
      </c>
      <c r="FLF232" s="297" t="s">
        <v>124</v>
      </c>
      <c r="FLG232" s="297" t="s">
        <v>124</v>
      </c>
      <c r="FLH232" s="297" t="s">
        <v>124</v>
      </c>
      <c r="FLI232" s="297" t="s">
        <v>124</v>
      </c>
      <c r="FLJ232" s="297" t="s">
        <v>124</v>
      </c>
      <c r="FLK232" s="297" t="s">
        <v>124</v>
      </c>
      <c r="FLL232" s="297" t="s">
        <v>124</v>
      </c>
      <c r="FLM232" s="297" t="s">
        <v>124</v>
      </c>
      <c r="FLN232" s="297" t="s">
        <v>124</v>
      </c>
      <c r="FLO232" s="297" t="s">
        <v>124</v>
      </c>
      <c r="FLP232" s="297" t="s">
        <v>124</v>
      </c>
      <c r="FLQ232" s="297" t="s">
        <v>124</v>
      </c>
      <c r="FLR232" s="297" t="s">
        <v>124</v>
      </c>
      <c r="FLS232" s="297" t="s">
        <v>124</v>
      </c>
      <c r="FLT232" s="297" t="s">
        <v>124</v>
      </c>
      <c r="FLU232" s="297" t="s">
        <v>124</v>
      </c>
      <c r="FLV232" s="297" t="s">
        <v>124</v>
      </c>
      <c r="FLW232" s="297" t="s">
        <v>124</v>
      </c>
      <c r="FLX232" s="297" t="s">
        <v>124</v>
      </c>
      <c r="FLY232" s="297" t="s">
        <v>124</v>
      </c>
      <c r="FLZ232" s="297" t="s">
        <v>124</v>
      </c>
      <c r="FMA232" s="297" t="s">
        <v>124</v>
      </c>
      <c r="FMB232" s="297" t="s">
        <v>124</v>
      </c>
      <c r="FMC232" s="297" t="s">
        <v>124</v>
      </c>
      <c r="FMD232" s="297" t="s">
        <v>124</v>
      </c>
      <c r="FME232" s="297" t="s">
        <v>124</v>
      </c>
      <c r="FMF232" s="297" t="s">
        <v>124</v>
      </c>
      <c r="FMG232" s="297" t="s">
        <v>124</v>
      </c>
      <c r="FMH232" s="297" t="s">
        <v>124</v>
      </c>
      <c r="FMI232" s="297" t="s">
        <v>124</v>
      </c>
      <c r="FMJ232" s="297" t="s">
        <v>124</v>
      </c>
      <c r="FMK232" s="297" t="s">
        <v>124</v>
      </c>
      <c r="FML232" s="297" t="s">
        <v>124</v>
      </c>
      <c r="FMM232" s="297" t="s">
        <v>124</v>
      </c>
      <c r="FMN232" s="297" t="s">
        <v>124</v>
      </c>
      <c r="FMO232" s="297" t="s">
        <v>124</v>
      </c>
      <c r="FMP232" s="297" t="s">
        <v>124</v>
      </c>
      <c r="FMQ232" s="297" t="s">
        <v>124</v>
      </c>
      <c r="FMR232" s="297" t="s">
        <v>124</v>
      </c>
      <c r="FMS232" s="297" t="s">
        <v>124</v>
      </c>
      <c r="FMT232" s="297" t="s">
        <v>124</v>
      </c>
      <c r="FMU232" s="297" t="s">
        <v>124</v>
      </c>
      <c r="FMV232" s="297" t="s">
        <v>124</v>
      </c>
      <c r="FMW232" s="297" t="s">
        <v>124</v>
      </c>
      <c r="FMX232" s="297" t="s">
        <v>124</v>
      </c>
      <c r="FMY232" s="297" t="s">
        <v>124</v>
      </c>
      <c r="FMZ232" s="297" t="s">
        <v>124</v>
      </c>
      <c r="FNA232" s="297" t="s">
        <v>124</v>
      </c>
      <c r="FNB232" s="297" t="s">
        <v>124</v>
      </c>
      <c r="FNC232" s="297" t="s">
        <v>124</v>
      </c>
      <c r="FND232" s="297" t="s">
        <v>124</v>
      </c>
      <c r="FNE232" s="297" t="s">
        <v>124</v>
      </c>
      <c r="FNF232" s="297" t="s">
        <v>124</v>
      </c>
      <c r="FNG232" s="297" t="s">
        <v>124</v>
      </c>
      <c r="FNH232" s="297" t="s">
        <v>124</v>
      </c>
      <c r="FNI232" s="297" t="s">
        <v>124</v>
      </c>
      <c r="FNJ232" s="297" t="s">
        <v>124</v>
      </c>
      <c r="FNK232" s="297" t="s">
        <v>124</v>
      </c>
      <c r="FNL232" s="297" t="s">
        <v>124</v>
      </c>
      <c r="FNM232" s="297" t="s">
        <v>124</v>
      </c>
      <c r="FNN232" s="297" t="s">
        <v>124</v>
      </c>
      <c r="FNO232" s="297" t="s">
        <v>124</v>
      </c>
      <c r="FNP232" s="297" t="s">
        <v>124</v>
      </c>
      <c r="FNQ232" s="297" t="s">
        <v>124</v>
      </c>
      <c r="FNR232" s="297" t="s">
        <v>124</v>
      </c>
      <c r="FNS232" s="297" t="s">
        <v>124</v>
      </c>
      <c r="FNT232" s="297" t="s">
        <v>124</v>
      </c>
      <c r="FNU232" s="297" t="s">
        <v>124</v>
      </c>
      <c r="FNV232" s="297" t="s">
        <v>124</v>
      </c>
      <c r="FNW232" s="297" t="s">
        <v>124</v>
      </c>
      <c r="FNX232" s="297" t="s">
        <v>124</v>
      </c>
      <c r="FNY232" s="297" t="s">
        <v>124</v>
      </c>
      <c r="FNZ232" s="297" t="s">
        <v>124</v>
      </c>
      <c r="FOA232" s="297" t="s">
        <v>124</v>
      </c>
      <c r="FOB232" s="297" t="s">
        <v>124</v>
      </c>
      <c r="FOC232" s="297" t="s">
        <v>124</v>
      </c>
      <c r="FOD232" s="297" t="s">
        <v>124</v>
      </c>
      <c r="FOE232" s="297" t="s">
        <v>124</v>
      </c>
      <c r="FOF232" s="297" t="s">
        <v>124</v>
      </c>
      <c r="FOG232" s="297" t="s">
        <v>124</v>
      </c>
      <c r="FOH232" s="297" t="s">
        <v>124</v>
      </c>
      <c r="FOI232" s="297" t="s">
        <v>124</v>
      </c>
      <c r="FOJ232" s="297" t="s">
        <v>124</v>
      </c>
      <c r="FOK232" s="297" t="s">
        <v>124</v>
      </c>
      <c r="FOL232" s="297" t="s">
        <v>124</v>
      </c>
      <c r="FOM232" s="297" t="s">
        <v>124</v>
      </c>
      <c r="FON232" s="297" t="s">
        <v>124</v>
      </c>
      <c r="FOO232" s="297" t="s">
        <v>124</v>
      </c>
      <c r="FOP232" s="297" t="s">
        <v>124</v>
      </c>
      <c r="FOQ232" s="297" t="s">
        <v>124</v>
      </c>
      <c r="FOR232" s="297" t="s">
        <v>124</v>
      </c>
      <c r="FOS232" s="297" t="s">
        <v>124</v>
      </c>
      <c r="FOT232" s="297" t="s">
        <v>124</v>
      </c>
      <c r="FOU232" s="297" t="s">
        <v>124</v>
      </c>
      <c r="FOV232" s="297" t="s">
        <v>124</v>
      </c>
      <c r="FOW232" s="297" t="s">
        <v>124</v>
      </c>
      <c r="FOX232" s="297" t="s">
        <v>124</v>
      </c>
      <c r="FOY232" s="297" t="s">
        <v>124</v>
      </c>
      <c r="FOZ232" s="297" t="s">
        <v>124</v>
      </c>
      <c r="FPA232" s="297" t="s">
        <v>124</v>
      </c>
      <c r="FPB232" s="297" t="s">
        <v>124</v>
      </c>
      <c r="FPC232" s="297" t="s">
        <v>124</v>
      </c>
      <c r="FPD232" s="297" t="s">
        <v>124</v>
      </c>
      <c r="FPE232" s="297" t="s">
        <v>124</v>
      </c>
      <c r="FPF232" s="297" t="s">
        <v>124</v>
      </c>
      <c r="FPG232" s="297" t="s">
        <v>124</v>
      </c>
      <c r="FPH232" s="297" t="s">
        <v>124</v>
      </c>
      <c r="FPI232" s="297" t="s">
        <v>124</v>
      </c>
      <c r="FPJ232" s="297" t="s">
        <v>124</v>
      </c>
      <c r="FPK232" s="297" t="s">
        <v>124</v>
      </c>
      <c r="FPL232" s="297" t="s">
        <v>124</v>
      </c>
      <c r="FPM232" s="297" t="s">
        <v>124</v>
      </c>
      <c r="FPN232" s="297" t="s">
        <v>124</v>
      </c>
      <c r="FPO232" s="297" t="s">
        <v>124</v>
      </c>
      <c r="FPP232" s="297" t="s">
        <v>124</v>
      </c>
      <c r="FPQ232" s="297" t="s">
        <v>124</v>
      </c>
      <c r="FPR232" s="297" t="s">
        <v>124</v>
      </c>
      <c r="FPS232" s="297" t="s">
        <v>124</v>
      </c>
      <c r="FPT232" s="297" t="s">
        <v>124</v>
      </c>
      <c r="FPU232" s="297" t="s">
        <v>124</v>
      </c>
      <c r="FPV232" s="297" t="s">
        <v>124</v>
      </c>
      <c r="FPW232" s="297" t="s">
        <v>124</v>
      </c>
      <c r="FPX232" s="297" t="s">
        <v>124</v>
      </c>
      <c r="FPY232" s="297" t="s">
        <v>124</v>
      </c>
      <c r="FPZ232" s="297" t="s">
        <v>124</v>
      </c>
      <c r="FQA232" s="297" t="s">
        <v>124</v>
      </c>
      <c r="FQB232" s="297" t="s">
        <v>124</v>
      </c>
      <c r="FQC232" s="297" t="s">
        <v>124</v>
      </c>
      <c r="FQD232" s="297" t="s">
        <v>124</v>
      </c>
      <c r="FQE232" s="297" t="s">
        <v>124</v>
      </c>
      <c r="FQF232" s="297" t="s">
        <v>124</v>
      </c>
      <c r="FQG232" s="297" t="s">
        <v>124</v>
      </c>
      <c r="FQH232" s="297" t="s">
        <v>124</v>
      </c>
      <c r="FQI232" s="297" t="s">
        <v>124</v>
      </c>
      <c r="FQJ232" s="297" t="s">
        <v>124</v>
      </c>
      <c r="FQK232" s="297" t="s">
        <v>124</v>
      </c>
      <c r="FQL232" s="297" t="s">
        <v>124</v>
      </c>
      <c r="FQM232" s="297" t="s">
        <v>124</v>
      </c>
      <c r="FQN232" s="297" t="s">
        <v>124</v>
      </c>
      <c r="FQO232" s="297" t="s">
        <v>124</v>
      </c>
      <c r="FQP232" s="297" t="s">
        <v>124</v>
      </c>
      <c r="FQQ232" s="297" t="s">
        <v>124</v>
      </c>
      <c r="FQR232" s="297" t="s">
        <v>124</v>
      </c>
      <c r="FQS232" s="297" t="s">
        <v>124</v>
      </c>
      <c r="FQT232" s="297" t="s">
        <v>124</v>
      </c>
      <c r="FQU232" s="297" t="s">
        <v>124</v>
      </c>
      <c r="FQV232" s="297" t="s">
        <v>124</v>
      </c>
      <c r="FQW232" s="297" t="s">
        <v>124</v>
      </c>
      <c r="FQX232" s="297" t="s">
        <v>124</v>
      </c>
      <c r="FQY232" s="297" t="s">
        <v>124</v>
      </c>
      <c r="FQZ232" s="297" t="s">
        <v>124</v>
      </c>
      <c r="FRA232" s="297" t="s">
        <v>124</v>
      </c>
      <c r="FRB232" s="297" t="s">
        <v>124</v>
      </c>
      <c r="FRC232" s="297" t="s">
        <v>124</v>
      </c>
      <c r="FRD232" s="297" t="s">
        <v>124</v>
      </c>
      <c r="FRE232" s="297" t="s">
        <v>124</v>
      </c>
      <c r="FRF232" s="297" t="s">
        <v>124</v>
      </c>
      <c r="FRG232" s="297" t="s">
        <v>124</v>
      </c>
      <c r="FRH232" s="297" t="s">
        <v>124</v>
      </c>
      <c r="FRI232" s="297" t="s">
        <v>124</v>
      </c>
      <c r="FRJ232" s="297" t="s">
        <v>124</v>
      </c>
      <c r="FRK232" s="297" t="s">
        <v>124</v>
      </c>
      <c r="FRL232" s="297" t="s">
        <v>124</v>
      </c>
      <c r="FRM232" s="297" t="s">
        <v>124</v>
      </c>
      <c r="FRN232" s="297" t="s">
        <v>124</v>
      </c>
      <c r="FRO232" s="297" t="s">
        <v>124</v>
      </c>
      <c r="FRP232" s="297" t="s">
        <v>124</v>
      </c>
      <c r="FRQ232" s="297" t="s">
        <v>124</v>
      </c>
      <c r="FRR232" s="297" t="s">
        <v>124</v>
      </c>
      <c r="FRS232" s="297" t="s">
        <v>124</v>
      </c>
      <c r="FRT232" s="297" t="s">
        <v>124</v>
      </c>
      <c r="FRU232" s="297" t="s">
        <v>124</v>
      </c>
      <c r="FRV232" s="297" t="s">
        <v>124</v>
      </c>
      <c r="FRW232" s="297" t="s">
        <v>124</v>
      </c>
      <c r="FRX232" s="297" t="s">
        <v>124</v>
      </c>
      <c r="FRY232" s="297" t="s">
        <v>124</v>
      </c>
      <c r="FRZ232" s="297" t="s">
        <v>124</v>
      </c>
      <c r="FSA232" s="297" t="s">
        <v>124</v>
      </c>
      <c r="FSB232" s="297" t="s">
        <v>124</v>
      </c>
      <c r="FSC232" s="297" t="s">
        <v>124</v>
      </c>
      <c r="FSD232" s="297" t="s">
        <v>124</v>
      </c>
      <c r="FSE232" s="297" t="s">
        <v>124</v>
      </c>
      <c r="FSF232" s="297" t="s">
        <v>124</v>
      </c>
      <c r="FSG232" s="297" t="s">
        <v>124</v>
      </c>
      <c r="FSH232" s="297" t="s">
        <v>124</v>
      </c>
      <c r="FSI232" s="297" t="s">
        <v>124</v>
      </c>
      <c r="FSJ232" s="297" t="s">
        <v>124</v>
      </c>
      <c r="FSK232" s="297" t="s">
        <v>124</v>
      </c>
      <c r="FSL232" s="297" t="s">
        <v>124</v>
      </c>
      <c r="FSM232" s="297" t="s">
        <v>124</v>
      </c>
      <c r="FSN232" s="297" t="s">
        <v>124</v>
      </c>
      <c r="FSO232" s="297" t="s">
        <v>124</v>
      </c>
      <c r="FSP232" s="297" t="s">
        <v>124</v>
      </c>
      <c r="FSQ232" s="297" t="s">
        <v>124</v>
      </c>
      <c r="FSR232" s="297" t="s">
        <v>124</v>
      </c>
      <c r="FSS232" s="297" t="s">
        <v>124</v>
      </c>
      <c r="FST232" s="297" t="s">
        <v>124</v>
      </c>
      <c r="FSU232" s="297" t="s">
        <v>124</v>
      </c>
      <c r="FSV232" s="297" t="s">
        <v>124</v>
      </c>
      <c r="FSW232" s="297" t="s">
        <v>124</v>
      </c>
      <c r="FSX232" s="297" t="s">
        <v>124</v>
      </c>
      <c r="FSY232" s="297" t="s">
        <v>124</v>
      </c>
      <c r="FSZ232" s="297" t="s">
        <v>124</v>
      </c>
      <c r="FTA232" s="297" t="s">
        <v>124</v>
      </c>
      <c r="FTB232" s="297" t="s">
        <v>124</v>
      </c>
      <c r="FTC232" s="297" t="s">
        <v>124</v>
      </c>
      <c r="FTD232" s="297" t="s">
        <v>124</v>
      </c>
      <c r="FTE232" s="297" t="s">
        <v>124</v>
      </c>
      <c r="FTF232" s="297" t="s">
        <v>124</v>
      </c>
      <c r="FTG232" s="297" t="s">
        <v>124</v>
      </c>
      <c r="FTH232" s="297" t="s">
        <v>124</v>
      </c>
      <c r="FTI232" s="297" t="s">
        <v>124</v>
      </c>
      <c r="FTJ232" s="297" t="s">
        <v>124</v>
      </c>
      <c r="FTK232" s="297" t="s">
        <v>124</v>
      </c>
      <c r="FTL232" s="297" t="s">
        <v>124</v>
      </c>
      <c r="FTM232" s="297" t="s">
        <v>124</v>
      </c>
      <c r="FTN232" s="297" t="s">
        <v>124</v>
      </c>
      <c r="FTO232" s="297" t="s">
        <v>124</v>
      </c>
      <c r="FTP232" s="297" t="s">
        <v>124</v>
      </c>
      <c r="FTQ232" s="297" t="s">
        <v>124</v>
      </c>
      <c r="FTR232" s="297" t="s">
        <v>124</v>
      </c>
      <c r="FTS232" s="297" t="s">
        <v>124</v>
      </c>
      <c r="FTT232" s="297" t="s">
        <v>124</v>
      </c>
      <c r="FTU232" s="297" t="s">
        <v>124</v>
      </c>
      <c r="FTV232" s="297" t="s">
        <v>124</v>
      </c>
      <c r="FTW232" s="297" t="s">
        <v>124</v>
      </c>
      <c r="FTX232" s="297" t="s">
        <v>124</v>
      </c>
      <c r="FTY232" s="297" t="s">
        <v>124</v>
      </c>
      <c r="FTZ232" s="297" t="s">
        <v>124</v>
      </c>
      <c r="FUA232" s="297" t="s">
        <v>124</v>
      </c>
      <c r="FUB232" s="297" t="s">
        <v>124</v>
      </c>
      <c r="FUC232" s="297" t="s">
        <v>124</v>
      </c>
      <c r="FUD232" s="297" t="s">
        <v>124</v>
      </c>
      <c r="FUE232" s="297" t="s">
        <v>124</v>
      </c>
      <c r="FUF232" s="297" t="s">
        <v>124</v>
      </c>
      <c r="FUG232" s="297" t="s">
        <v>124</v>
      </c>
      <c r="FUH232" s="297" t="s">
        <v>124</v>
      </c>
      <c r="FUI232" s="297" t="s">
        <v>124</v>
      </c>
      <c r="FUJ232" s="297" t="s">
        <v>124</v>
      </c>
      <c r="FUK232" s="297" t="s">
        <v>124</v>
      </c>
      <c r="FUL232" s="297" t="s">
        <v>124</v>
      </c>
      <c r="FUM232" s="297" t="s">
        <v>124</v>
      </c>
      <c r="FUN232" s="297" t="s">
        <v>124</v>
      </c>
      <c r="FUO232" s="297" t="s">
        <v>124</v>
      </c>
      <c r="FUP232" s="297" t="s">
        <v>124</v>
      </c>
      <c r="FUQ232" s="297" t="s">
        <v>124</v>
      </c>
      <c r="FUR232" s="297" t="s">
        <v>124</v>
      </c>
      <c r="FUS232" s="297" t="s">
        <v>124</v>
      </c>
      <c r="FUT232" s="297" t="s">
        <v>124</v>
      </c>
      <c r="FUU232" s="297" t="s">
        <v>124</v>
      </c>
      <c r="FUV232" s="297" t="s">
        <v>124</v>
      </c>
      <c r="FUW232" s="297" t="s">
        <v>124</v>
      </c>
      <c r="FUX232" s="297" t="s">
        <v>124</v>
      </c>
      <c r="FUY232" s="297" t="s">
        <v>124</v>
      </c>
      <c r="FUZ232" s="297" t="s">
        <v>124</v>
      </c>
      <c r="FVA232" s="297" t="s">
        <v>124</v>
      </c>
      <c r="FVB232" s="297" t="s">
        <v>124</v>
      </c>
      <c r="FVC232" s="297" t="s">
        <v>124</v>
      </c>
      <c r="FVD232" s="297" t="s">
        <v>124</v>
      </c>
      <c r="FVE232" s="297" t="s">
        <v>124</v>
      </c>
      <c r="FVF232" s="297" t="s">
        <v>124</v>
      </c>
      <c r="FVG232" s="297" t="s">
        <v>124</v>
      </c>
      <c r="FVH232" s="297" t="s">
        <v>124</v>
      </c>
      <c r="FVI232" s="297" t="s">
        <v>124</v>
      </c>
      <c r="FVJ232" s="297" t="s">
        <v>124</v>
      </c>
      <c r="FVK232" s="297" t="s">
        <v>124</v>
      </c>
      <c r="FVL232" s="297" t="s">
        <v>124</v>
      </c>
      <c r="FVM232" s="297" t="s">
        <v>124</v>
      </c>
      <c r="FVN232" s="297" t="s">
        <v>124</v>
      </c>
      <c r="FVO232" s="297" t="s">
        <v>124</v>
      </c>
      <c r="FVP232" s="297" t="s">
        <v>124</v>
      </c>
      <c r="FVQ232" s="297" t="s">
        <v>124</v>
      </c>
      <c r="FVR232" s="297" t="s">
        <v>124</v>
      </c>
      <c r="FVS232" s="297" t="s">
        <v>124</v>
      </c>
      <c r="FVT232" s="297" t="s">
        <v>124</v>
      </c>
      <c r="FVU232" s="297" t="s">
        <v>124</v>
      </c>
      <c r="FVV232" s="297" t="s">
        <v>124</v>
      </c>
      <c r="FVW232" s="297" t="s">
        <v>124</v>
      </c>
      <c r="FVX232" s="297" t="s">
        <v>124</v>
      </c>
      <c r="FVY232" s="297" t="s">
        <v>124</v>
      </c>
      <c r="FVZ232" s="297" t="s">
        <v>124</v>
      </c>
      <c r="FWA232" s="297" t="s">
        <v>124</v>
      </c>
      <c r="FWB232" s="297" t="s">
        <v>124</v>
      </c>
      <c r="FWC232" s="297" t="s">
        <v>124</v>
      </c>
      <c r="FWD232" s="297" t="s">
        <v>124</v>
      </c>
      <c r="FWE232" s="297" t="s">
        <v>124</v>
      </c>
      <c r="FWF232" s="297" t="s">
        <v>124</v>
      </c>
      <c r="FWG232" s="297" t="s">
        <v>124</v>
      </c>
      <c r="FWH232" s="297" t="s">
        <v>124</v>
      </c>
      <c r="FWI232" s="297" t="s">
        <v>124</v>
      </c>
      <c r="FWJ232" s="297" t="s">
        <v>124</v>
      </c>
      <c r="FWK232" s="297" t="s">
        <v>124</v>
      </c>
      <c r="FWL232" s="297" t="s">
        <v>124</v>
      </c>
      <c r="FWM232" s="297" t="s">
        <v>124</v>
      </c>
      <c r="FWN232" s="297" t="s">
        <v>124</v>
      </c>
      <c r="FWO232" s="297" t="s">
        <v>124</v>
      </c>
      <c r="FWP232" s="297" t="s">
        <v>124</v>
      </c>
      <c r="FWQ232" s="297" t="s">
        <v>124</v>
      </c>
      <c r="FWR232" s="297" t="s">
        <v>124</v>
      </c>
      <c r="FWS232" s="297" t="s">
        <v>124</v>
      </c>
      <c r="FWT232" s="297" t="s">
        <v>124</v>
      </c>
      <c r="FWU232" s="297" t="s">
        <v>124</v>
      </c>
      <c r="FWV232" s="297" t="s">
        <v>124</v>
      </c>
      <c r="FWW232" s="297" t="s">
        <v>124</v>
      </c>
      <c r="FWX232" s="297" t="s">
        <v>124</v>
      </c>
      <c r="FWY232" s="297" t="s">
        <v>124</v>
      </c>
      <c r="FWZ232" s="297" t="s">
        <v>124</v>
      </c>
      <c r="FXA232" s="297" t="s">
        <v>124</v>
      </c>
      <c r="FXB232" s="297" t="s">
        <v>124</v>
      </c>
      <c r="FXC232" s="297" t="s">
        <v>124</v>
      </c>
      <c r="FXD232" s="297" t="s">
        <v>124</v>
      </c>
      <c r="FXE232" s="297" t="s">
        <v>124</v>
      </c>
      <c r="FXF232" s="297" t="s">
        <v>124</v>
      </c>
      <c r="FXG232" s="297" t="s">
        <v>124</v>
      </c>
      <c r="FXH232" s="297" t="s">
        <v>124</v>
      </c>
      <c r="FXI232" s="297" t="s">
        <v>124</v>
      </c>
      <c r="FXJ232" s="297" t="s">
        <v>124</v>
      </c>
      <c r="FXK232" s="297" t="s">
        <v>124</v>
      </c>
      <c r="FXL232" s="297" t="s">
        <v>124</v>
      </c>
      <c r="FXM232" s="297" t="s">
        <v>124</v>
      </c>
      <c r="FXN232" s="297" t="s">
        <v>124</v>
      </c>
      <c r="FXO232" s="297" t="s">
        <v>124</v>
      </c>
      <c r="FXP232" s="297" t="s">
        <v>124</v>
      </c>
      <c r="FXQ232" s="297" t="s">
        <v>124</v>
      </c>
      <c r="FXR232" s="297" t="s">
        <v>124</v>
      </c>
      <c r="FXS232" s="297" t="s">
        <v>124</v>
      </c>
      <c r="FXT232" s="297" t="s">
        <v>124</v>
      </c>
      <c r="FXU232" s="297" t="s">
        <v>124</v>
      </c>
      <c r="FXV232" s="297" t="s">
        <v>124</v>
      </c>
      <c r="FXW232" s="297" t="s">
        <v>124</v>
      </c>
      <c r="FXX232" s="297" t="s">
        <v>124</v>
      </c>
      <c r="FXY232" s="297" t="s">
        <v>124</v>
      </c>
      <c r="FXZ232" s="297" t="s">
        <v>124</v>
      </c>
      <c r="FYA232" s="297" t="s">
        <v>124</v>
      </c>
      <c r="FYB232" s="297" t="s">
        <v>124</v>
      </c>
      <c r="FYC232" s="297" t="s">
        <v>124</v>
      </c>
      <c r="FYD232" s="297" t="s">
        <v>124</v>
      </c>
      <c r="FYE232" s="297" t="s">
        <v>124</v>
      </c>
      <c r="FYF232" s="297" t="s">
        <v>124</v>
      </c>
      <c r="FYG232" s="297" t="s">
        <v>124</v>
      </c>
      <c r="FYH232" s="297" t="s">
        <v>124</v>
      </c>
      <c r="FYI232" s="297" t="s">
        <v>124</v>
      </c>
      <c r="FYJ232" s="297" t="s">
        <v>124</v>
      </c>
      <c r="FYK232" s="297" t="s">
        <v>124</v>
      </c>
      <c r="FYL232" s="297" t="s">
        <v>124</v>
      </c>
      <c r="FYM232" s="297" t="s">
        <v>124</v>
      </c>
      <c r="FYN232" s="297" t="s">
        <v>124</v>
      </c>
      <c r="FYO232" s="297" t="s">
        <v>124</v>
      </c>
      <c r="FYP232" s="297" t="s">
        <v>124</v>
      </c>
      <c r="FYQ232" s="297" t="s">
        <v>124</v>
      </c>
      <c r="FYR232" s="297" t="s">
        <v>124</v>
      </c>
      <c r="FYS232" s="297" t="s">
        <v>124</v>
      </c>
      <c r="FYT232" s="297" t="s">
        <v>124</v>
      </c>
      <c r="FYU232" s="297" t="s">
        <v>124</v>
      </c>
      <c r="FYV232" s="297" t="s">
        <v>124</v>
      </c>
      <c r="FYW232" s="297" t="s">
        <v>124</v>
      </c>
      <c r="FYX232" s="297" t="s">
        <v>124</v>
      </c>
      <c r="FYY232" s="297" t="s">
        <v>124</v>
      </c>
      <c r="FYZ232" s="297" t="s">
        <v>124</v>
      </c>
      <c r="FZA232" s="297" t="s">
        <v>124</v>
      </c>
      <c r="FZB232" s="297" t="s">
        <v>124</v>
      </c>
      <c r="FZC232" s="297" t="s">
        <v>124</v>
      </c>
      <c r="FZD232" s="297" t="s">
        <v>124</v>
      </c>
      <c r="FZE232" s="297" t="s">
        <v>124</v>
      </c>
      <c r="FZF232" s="297" t="s">
        <v>124</v>
      </c>
      <c r="FZG232" s="297" t="s">
        <v>124</v>
      </c>
      <c r="FZH232" s="297" t="s">
        <v>124</v>
      </c>
      <c r="FZI232" s="297" t="s">
        <v>124</v>
      </c>
      <c r="FZJ232" s="297" t="s">
        <v>124</v>
      </c>
      <c r="FZK232" s="297" t="s">
        <v>124</v>
      </c>
      <c r="FZL232" s="297" t="s">
        <v>124</v>
      </c>
      <c r="FZM232" s="297" t="s">
        <v>124</v>
      </c>
      <c r="FZN232" s="297" t="s">
        <v>124</v>
      </c>
      <c r="FZO232" s="297" t="s">
        <v>124</v>
      </c>
      <c r="FZP232" s="297" t="s">
        <v>124</v>
      </c>
      <c r="FZQ232" s="297" t="s">
        <v>124</v>
      </c>
      <c r="FZR232" s="297" t="s">
        <v>124</v>
      </c>
      <c r="FZS232" s="297" t="s">
        <v>124</v>
      </c>
      <c r="FZT232" s="297" t="s">
        <v>124</v>
      </c>
      <c r="FZU232" s="297" t="s">
        <v>124</v>
      </c>
      <c r="FZV232" s="297" t="s">
        <v>124</v>
      </c>
      <c r="FZW232" s="297" t="s">
        <v>124</v>
      </c>
      <c r="FZX232" s="297" t="s">
        <v>124</v>
      </c>
      <c r="FZY232" s="297" t="s">
        <v>124</v>
      </c>
      <c r="FZZ232" s="297" t="s">
        <v>124</v>
      </c>
      <c r="GAA232" s="297" t="s">
        <v>124</v>
      </c>
      <c r="GAB232" s="297" t="s">
        <v>124</v>
      </c>
      <c r="GAC232" s="297" t="s">
        <v>124</v>
      </c>
      <c r="GAD232" s="297" t="s">
        <v>124</v>
      </c>
      <c r="GAE232" s="297" t="s">
        <v>124</v>
      </c>
      <c r="GAF232" s="297" t="s">
        <v>124</v>
      </c>
      <c r="GAG232" s="297" t="s">
        <v>124</v>
      </c>
      <c r="GAH232" s="297" t="s">
        <v>124</v>
      </c>
      <c r="GAI232" s="297" t="s">
        <v>124</v>
      </c>
      <c r="GAJ232" s="297" t="s">
        <v>124</v>
      </c>
      <c r="GAK232" s="297" t="s">
        <v>124</v>
      </c>
      <c r="GAL232" s="297" t="s">
        <v>124</v>
      </c>
      <c r="GAM232" s="297" t="s">
        <v>124</v>
      </c>
      <c r="GAN232" s="297" t="s">
        <v>124</v>
      </c>
      <c r="GAO232" s="297" t="s">
        <v>124</v>
      </c>
      <c r="GAP232" s="297" t="s">
        <v>124</v>
      </c>
      <c r="GAQ232" s="297" t="s">
        <v>124</v>
      </c>
      <c r="GAR232" s="297" t="s">
        <v>124</v>
      </c>
      <c r="GAS232" s="297" t="s">
        <v>124</v>
      </c>
      <c r="GAT232" s="297" t="s">
        <v>124</v>
      </c>
      <c r="GAU232" s="297" t="s">
        <v>124</v>
      </c>
      <c r="GAV232" s="297" t="s">
        <v>124</v>
      </c>
      <c r="GAW232" s="297" t="s">
        <v>124</v>
      </c>
      <c r="GAX232" s="297" t="s">
        <v>124</v>
      </c>
      <c r="GAY232" s="297" t="s">
        <v>124</v>
      </c>
      <c r="GAZ232" s="297" t="s">
        <v>124</v>
      </c>
      <c r="GBA232" s="297" t="s">
        <v>124</v>
      </c>
      <c r="GBB232" s="297" t="s">
        <v>124</v>
      </c>
      <c r="GBC232" s="297" t="s">
        <v>124</v>
      </c>
      <c r="GBD232" s="297" t="s">
        <v>124</v>
      </c>
      <c r="GBE232" s="297" t="s">
        <v>124</v>
      </c>
      <c r="GBF232" s="297" t="s">
        <v>124</v>
      </c>
      <c r="GBG232" s="297" t="s">
        <v>124</v>
      </c>
      <c r="GBH232" s="297" t="s">
        <v>124</v>
      </c>
      <c r="GBI232" s="297" t="s">
        <v>124</v>
      </c>
      <c r="GBJ232" s="297" t="s">
        <v>124</v>
      </c>
      <c r="GBK232" s="297" t="s">
        <v>124</v>
      </c>
      <c r="GBL232" s="297" t="s">
        <v>124</v>
      </c>
      <c r="GBM232" s="297" t="s">
        <v>124</v>
      </c>
      <c r="GBN232" s="297" t="s">
        <v>124</v>
      </c>
      <c r="GBO232" s="297" t="s">
        <v>124</v>
      </c>
      <c r="GBP232" s="297" t="s">
        <v>124</v>
      </c>
      <c r="GBQ232" s="297" t="s">
        <v>124</v>
      </c>
      <c r="GBR232" s="297" t="s">
        <v>124</v>
      </c>
      <c r="GBS232" s="297" t="s">
        <v>124</v>
      </c>
      <c r="GBT232" s="297" t="s">
        <v>124</v>
      </c>
      <c r="GBU232" s="297" t="s">
        <v>124</v>
      </c>
      <c r="GBV232" s="297" t="s">
        <v>124</v>
      </c>
      <c r="GBW232" s="297" t="s">
        <v>124</v>
      </c>
      <c r="GBX232" s="297" t="s">
        <v>124</v>
      </c>
      <c r="GBY232" s="297" t="s">
        <v>124</v>
      </c>
      <c r="GBZ232" s="297" t="s">
        <v>124</v>
      </c>
      <c r="GCA232" s="297" t="s">
        <v>124</v>
      </c>
      <c r="GCB232" s="297" t="s">
        <v>124</v>
      </c>
      <c r="GCC232" s="297" t="s">
        <v>124</v>
      </c>
      <c r="GCD232" s="297" t="s">
        <v>124</v>
      </c>
      <c r="GCE232" s="297" t="s">
        <v>124</v>
      </c>
      <c r="GCF232" s="297" t="s">
        <v>124</v>
      </c>
      <c r="GCG232" s="297" t="s">
        <v>124</v>
      </c>
      <c r="GCH232" s="297" t="s">
        <v>124</v>
      </c>
      <c r="GCI232" s="297" t="s">
        <v>124</v>
      </c>
      <c r="GCJ232" s="297" t="s">
        <v>124</v>
      </c>
      <c r="GCK232" s="297" t="s">
        <v>124</v>
      </c>
      <c r="GCL232" s="297" t="s">
        <v>124</v>
      </c>
      <c r="GCM232" s="297" t="s">
        <v>124</v>
      </c>
      <c r="GCN232" s="297" t="s">
        <v>124</v>
      </c>
      <c r="GCO232" s="297" t="s">
        <v>124</v>
      </c>
      <c r="GCP232" s="297" t="s">
        <v>124</v>
      </c>
      <c r="GCQ232" s="297" t="s">
        <v>124</v>
      </c>
      <c r="GCR232" s="297" t="s">
        <v>124</v>
      </c>
      <c r="GCS232" s="297" t="s">
        <v>124</v>
      </c>
      <c r="GCT232" s="297" t="s">
        <v>124</v>
      </c>
      <c r="GCU232" s="297" t="s">
        <v>124</v>
      </c>
      <c r="GCV232" s="297" t="s">
        <v>124</v>
      </c>
      <c r="GCW232" s="297" t="s">
        <v>124</v>
      </c>
      <c r="GCX232" s="297" t="s">
        <v>124</v>
      </c>
      <c r="GCY232" s="297" t="s">
        <v>124</v>
      </c>
      <c r="GCZ232" s="297" t="s">
        <v>124</v>
      </c>
      <c r="GDA232" s="297" t="s">
        <v>124</v>
      </c>
      <c r="GDB232" s="297" t="s">
        <v>124</v>
      </c>
      <c r="GDC232" s="297" t="s">
        <v>124</v>
      </c>
      <c r="GDD232" s="297" t="s">
        <v>124</v>
      </c>
      <c r="GDE232" s="297" t="s">
        <v>124</v>
      </c>
      <c r="GDF232" s="297" t="s">
        <v>124</v>
      </c>
      <c r="GDG232" s="297" t="s">
        <v>124</v>
      </c>
      <c r="GDH232" s="297" t="s">
        <v>124</v>
      </c>
      <c r="GDI232" s="297" t="s">
        <v>124</v>
      </c>
      <c r="GDJ232" s="297" t="s">
        <v>124</v>
      </c>
      <c r="GDK232" s="297" t="s">
        <v>124</v>
      </c>
      <c r="GDL232" s="297" t="s">
        <v>124</v>
      </c>
      <c r="GDM232" s="297" t="s">
        <v>124</v>
      </c>
      <c r="GDN232" s="297" t="s">
        <v>124</v>
      </c>
      <c r="GDO232" s="297" t="s">
        <v>124</v>
      </c>
      <c r="GDP232" s="297" t="s">
        <v>124</v>
      </c>
      <c r="GDQ232" s="297" t="s">
        <v>124</v>
      </c>
      <c r="GDR232" s="297" t="s">
        <v>124</v>
      </c>
      <c r="GDS232" s="297" t="s">
        <v>124</v>
      </c>
      <c r="GDT232" s="297" t="s">
        <v>124</v>
      </c>
      <c r="GDU232" s="297" t="s">
        <v>124</v>
      </c>
      <c r="GDV232" s="297" t="s">
        <v>124</v>
      </c>
      <c r="GDW232" s="297" t="s">
        <v>124</v>
      </c>
      <c r="GDX232" s="297" t="s">
        <v>124</v>
      </c>
      <c r="GDY232" s="297" t="s">
        <v>124</v>
      </c>
      <c r="GDZ232" s="297" t="s">
        <v>124</v>
      </c>
      <c r="GEA232" s="297" t="s">
        <v>124</v>
      </c>
      <c r="GEB232" s="297" t="s">
        <v>124</v>
      </c>
      <c r="GEC232" s="297" t="s">
        <v>124</v>
      </c>
      <c r="GED232" s="297" t="s">
        <v>124</v>
      </c>
      <c r="GEE232" s="297" t="s">
        <v>124</v>
      </c>
      <c r="GEF232" s="297" t="s">
        <v>124</v>
      </c>
      <c r="GEG232" s="297" t="s">
        <v>124</v>
      </c>
      <c r="GEH232" s="297" t="s">
        <v>124</v>
      </c>
      <c r="GEI232" s="297" t="s">
        <v>124</v>
      </c>
      <c r="GEJ232" s="297" t="s">
        <v>124</v>
      </c>
      <c r="GEK232" s="297" t="s">
        <v>124</v>
      </c>
      <c r="GEL232" s="297" t="s">
        <v>124</v>
      </c>
      <c r="GEM232" s="297" t="s">
        <v>124</v>
      </c>
      <c r="GEN232" s="297" t="s">
        <v>124</v>
      </c>
      <c r="GEO232" s="297" t="s">
        <v>124</v>
      </c>
      <c r="GEP232" s="297" t="s">
        <v>124</v>
      </c>
      <c r="GEQ232" s="297" t="s">
        <v>124</v>
      </c>
      <c r="GER232" s="297" t="s">
        <v>124</v>
      </c>
      <c r="GES232" s="297" t="s">
        <v>124</v>
      </c>
      <c r="GET232" s="297" t="s">
        <v>124</v>
      </c>
      <c r="GEU232" s="297" t="s">
        <v>124</v>
      </c>
      <c r="GEV232" s="297" t="s">
        <v>124</v>
      </c>
      <c r="GEW232" s="297" t="s">
        <v>124</v>
      </c>
      <c r="GEX232" s="297" t="s">
        <v>124</v>
      </c>
      <c r="GEY232" s="297" t="s">
        <v>124</v>
      </c>
      <c r="GEZ232" s="297" t="s">
        <v>124</v>
      </c>
      <c r="GFA232" s="297" t="s">
        <v>124</v>
      </c>
      <c r="GFB232" s="297" t="s">
        <v>124</v>
      </c>
      <c r="GFC232" s="297" t="s">
        <v>124</v>
      </c>
      <c r="GFD232" s="297" t="s">
        <v>124</v>
      </c>
      <c r="GFE232" s="297" t="s">
        <v>124</v>
      </c>
      <c r="GFF232" s="297" t="s">
        <v>124</v>
      </c>
      <c r="GFG232" s="297" t="s">
        <v>124</v>
      </c>
      <c r="GFH232" s="297" t="s">
        <v>124</v>
      </c>
      <c r="GFI232" s="297" t="s">
        <v>124</v>
      </c>
      <c r="GFJ232" s="297" t="s">
        <v>124</v>
      </c>
      <c r="GFK232" s="297" t="s">
        <v>124</v>
      </c>
      <c r="GFL232" s="297" t="s">
        <v>124</v>
      </c>
      <c r="GFM232" s="297" t="s">
        <v>124</v>
      </c>
      <c r="GFN232" s="297" t="s">
        <v>124</v>
      </c>
      <c r="GFO232" s="297" t="s">
        <v>124</v>
      </c>
      <c r="GFP232" s="297" t="s">
        <v>124</v>
      </c>
      <c r="GFQ232" s="297" t="s">
        <v>124</v>
      </c>
      <c r="GFR232" s="297" t="s">
        <v>124</v>
      </c>
      <c r="GFS232" s="297" t="s">
        <v>124</v>
      </c>
      <c r="GFT232" s="297" t="s">
        <v>124</v>
      </c>
      <c r="GFU232" s="297" t="s">
        <v>124</v>
      </c>
      <c r="GFV232" s="297" t="s">
        <v>124</v>
      </c>
      <c r="GFW232" s="297" t="s">
        <v>124</v>
      </c>
      <c r="GFX232" s="297" t="s">
        <v>124</v>
      </c>
      <c r="GFY232" s="297" t="s">
        <v>124</v>
      </c>
      <c r="GFZ232" s="297" t="s">
        <v>124</v>
      </c>
      <c r="GGA232" s="297" t="s">
        <v>124</v>
      </c>
      <c r="GGB232" s="297" t="s">
        <v>124</v>
      </c>
      <c r="GGC232" s="297" t="s">
        <v>124</v>
      </c>
      <c r="GGD232" s="297" t="s">
        <v>124</v>
      </c>
      <c r="GGE232" s="297" t="s">
        <v>124</v>
      </c>
      <c r="GGF232" s="297" t="s">
        <v>124</v>
      </c>
      <c r="GGG232" s="297" t="s">
        <v>124</v>
      </c>
      <c r="GGH232" s="297" t="s">
        <v>124</v>
      </c>
      <c r="GGI232" s="297" t="s">
        <v>124</v>
      </c>
      <c r="GGJ232" s="297" t="s">
        <v>124</v>
      </c>
      <c r="GGK232" s="297" t="s">
        <v>124</v>
      </c>
      <c r="GGL232" s="297" t="s">
        <v>124</v>
      </c>
      <c r="GGM232" s="297" t="s">
        <v>124</v>
      </c>
      <c r="GGN232" s="297" t="s">
        <v>124</v>
      </c>
      <c r="GGO232" s="297" t="s">
        <v>124</v>
      </c>
      <c r="GGP232" s="297" t="s">
        <v>124</v>
      </c>
      <c r="GGQ232" s="297" t="s">
        <v>124</v>
      </c>
      <c r="GGR232" s="297" t="s">
        <v>124</v>
      </c>
      <c r="GGS232" s="297" t="s">
        <v>124</v>
      </c>
      <c r="GGT232" s="297" t="s">
        <v>124</v>
      </c>
      <c r="GGU232" s="297" t="s">
        <v>124</v>
      </c>
      <c r="GGV232" s="297" t="s">
        <v>124</v>
      </c>
      <c r="GGW232" s="297" t="s">
        <v>124</v>
      </c>
      <c r="GGX232" s="297" t="s">
        <v>124</v>
      </c>
      <c r="GGY232" s="297" t="s">
        <v>124</v>
      </c>
      <c r="GGZ232" s="297" t="s">
        <v>124</v>
      </c>
      <c r="GHA232" s="297" t="s">
        <v>124</v>
      </c>
      <c r="GHB232" s="297" t="s">
        <v>124</v>
      </c>
      <c r="GHC232" s="297" t="s">
        <v>124</v>
      </c>
      <c r="GHD232" s="297" t="s">
        <v>124</v>
      </c>
      <c r="GHE232" s="297" t="s">
        <v>124</v>
      </c>
      <c r="GHF232" s="297" t="s">
        <v>124</v>
      </c>
      <c r="GHG232" s="297" t="s">
        <v>124</v>
      </c>
      <c r="GHH232" s="297" t="s">
        <v>124</v>
      </c>
      <c r="GHI232" s="297" t="s">
        <v>124</v>
      </c>
      <c r="GHJ232" s="297" t="s">
        <v>124</v>
      </c>
      <c r="GHK232" s="297" t="s">
        <v>124</v>
      </c>
      <c r="GHL232" s="297" t="s">
        <v>124</v>
      </c>
      <c r="GHM232" s="297" t="s">
        <v>124</v>
      </c>
      <c r="GHN232" s="297" t="s">
        <v>124</v>
      </c>
      <c r="GHO232" s="297" t="s">
        <v>124</v>
      </c>
      <c r="GHP232" s="297" t="s">
        <v>124</v>
      </c>
      <c r="GHQ232" s="297" t="s">
        <v>124</v>
      </c>
      <c r="GHR232" s="297" t="s">
        <v>124</v>
      </c>
      <c r="GHS232" s="297" t="s">
        <v>124</v>
      </c>
      <c r="GHT232" s="297" t="s">
        <v>124</v>
      </c>
      <c r="GHU232" s="297" t="s">
        <v>124</v>
      </c>
      <c r="GHV232" s="297" t="s">
        <v>124</v>
      </c>
      <c r="GHW232" s="297" t="s">
        <v>124</v>
      </c>
      <c r="GHX232" s="297" t="s">
        <v>124</v>
      </c>
      <c r="GHY232" s="297" t="s">
        <v>124</v>
      </c>
      <c r="GHZ232" s="297" t="s">
        <v>124</v>
      </c>
      <c r="GIA232" s="297" t="s">
        <v>124</v>
      </c>
      <c r="GIB232" s="297" t="s">
        <v>124</v>
      </c>
      <c r="GIC232" s="297" t="s">
        <v>124</v>
      </c>
      <c r="GID232" s="297" t="s">
        <v>124</v>
      </c>
      <c r="GIE232" s="297" t="s">
        <v>124</v>
      </c>
      <c r="GIF232" s="297" t="s">
        <v>124</v>
      </c>
      <c r="GIG232" s="297" t="s">
        <v>124</v>
      </c>
      <c r="GIH232" s="297" t="s">
        <v>124</v>
      </c>
      <c r="GII232" s="297" t="s">
        <v>124</v>
      </c>
      <c r="GIJ232" s="297" t="s">
        <v>124</v>
      </c>
      <c r="GIK232" s="297" t="s">
        <v>124</v>
      </c>
      <c r="GIL232" s="297" t="s">
        <v>124</v>
      </c>
      <c r="GIM232" s="297" t="s">
        <v>124</v>
      </c>
      <c r="GIN232" s="297" t="s">
        <v>124</v>
      </c>
      <c r="GIO232" s="297" t="s">
        <v>124</v>
      </c>
      <c r="GIP232" s="297" t="s">
        <v>124</v>
      </c>
      <c r="GIQ232" s="297" t="s">
        <v>124</v>
      </c>
      <c r="GIR232" s="297" t="s">
        <v>124</v>
      </c>
      <c r="GIS232" s="297" t="s">
        <v>124</v>
      </c>
      <c r="GIT232" s="297" t="s">
        <v>124</v>
      </c>
      <c r="GIU232" s="297" t="s">
        <v>124</v>
      </c>
      <c r="GIV232" s="297" t="s">
        <v>124</v>
      </c>
      <c r="GIW232" s="297" t="s">
        <v>124</v>
      </c>
      <c r="GIX232" s="297" t="s">
        <v>124</v>
      </c>
      <c r="GIY232" s="297" t="s">
        <v>124</v>
      </c>
      <c r="GIZ232" s="297" t="s">
        <v>124</v>
      </c>
      <c r="GJA232" s="297" t="s">
        <v>124</v>
      </c>
      <c r="GJB232" s="297" t="s">
        <v>124</v>
      </c>
      <c r="GJC232" s="297" t="s">
        <v>124</v>
      </c>
      <c r="GJD232" s="297" t="s">
        <v>124</v>
      </c>
      <c r="GJE232" s="297" t="s">
        <v>124</v>
      </c>
      <c r="GJF232" s="297" t="s">
        <v>124</v>
      </c>
      <c r="GJG232" s="297" t="s">
        <v>124</v>
      </c>
      <c r="GJH232" s="297" t="s">
        <v>124</v>
      </c>
      <c r="GJI232" s="297" t="s">
        <v>124</v>
      </c>
      <c r="GJJ232" s="297" t="s">
        <v>124</v>
      </c>
      <c r="GJK232" s="297" t="s">
        <v>124</v>
      </c>
      <c r="GJL232" s="297" t="s">
        <v>124</v>
      </c>
      <c r="GJM232" s="297" t="s">
        <v>124</v>
      </c>
      <c r="GJN232" s="297" t="s">
        <v>124</v>
      </c>
      <c r="GJO232" s="297" t="s">
        <v>124</v>
      </c>
      <c r="GJP232" s="297" t="s">
        <v>124</v>
      </c>
      <c r="GJQ232" s="297" t="s">
        <v>124</v>
      </c>
      <c r="GJR232" s="297" t="s">
        <v>124</v>
      </c>
      <c r="GJS232" s="297" t="s">
        <v>124</v>
      </c>
      <c r="GJT232" s="297" t="s">
        <v>124</v>
      </c>
      <c r="GJU232" s="297" t="s">
        <v>124</v>
      </c>
      <c r="GJV232" s="297" t="s">
        <v>124</v>
      </c>
      <c r="GJW232" s="297" t="s">
        <v>124</v>
      </c>
      <c r="GJX232" s="297" t="s">
        <v>124</v>
      </c>
      <c r="GJY232" s="297" t="s">
        <v>124</v>
      </c>
      <c r="GJZ232" s="297" t="s">
        <v>124</v>
      </c>
      <c r="GKA232" s="297" t="s">
        <v>124</v>
      </c>
      <c r="GKB232" s="297" t="s">
        <v>124</v>
      </c>
      <c r="GKC232" s="297" t="s">
        <v>124</v>
      </c>
      <c r="GKD232" s="297" t="s">
        <v>124</v>
      </c>
      <c r="GKE232" s="297" t="s">
        <v>124</v>
      </c>
      <c r="GKF232" s="297" t="s">
        <v>124</v>
      </c>
      <c r="GKG232" s="297" t="s">
        <v>124</v>
      </c>
      <c r="GKH232" s="297" t="s">
        <v>124</v>
      </c>
      <c r="GKI232" s="297" t="s">
        <v>124</v>
      </c>
      <c r="GKJ232" s="297" t="s">
        <v>124</v>
      </c>
      <c r="GKK232" s="297" t="s">
        <v>124</v>
      </c>
      <c r="GKL232" s="297" t="s">
        <v>124</v>
      </c>
      <c r="GKM232" s="297" t="s">
        <v>124</v>
      </c>
      <c r="GKN232" s="297" t="s">
        <v>124</v>
      </c>
      <c r="GKO232" s="297" t="s">
        <v>124</v>
      </c>
      <c r="GKP232" s="297" t="s">
        <v>124</v>
      </c>
      <c r="GKQ232" s="297" t="s">
        <v>124</v>
      </c>
      <c r="GKR232" s="297" t="s">
        <v>124</v>
      </c>
      <c r="GKS232" s="297" t="s">
        <v>124</v>
      </c>
      <c r="GKT232" s="297" t="s">
        <v>124</v>
      </c>
      <c r="GKU232" s="297" t="s">
        <v>124</v>
      </c>
      <c r="GKV232" s="297" t="s">
        <v>124</v>
      </c>
      <c r="GKW232" s="297" t="s">
        <v>124</v>
      </c>
      <c r="GKX232" s="297" t="s">
        <v>124</v>
      </c>
      <c r="GKY232" s="297" t="s">
        <v>124</v>
      </c>
      <c r="GKZ232" s="297" t="s">
        <v>124</v>
      </c>
      <c r="GLA232" s="297" t="s">
        <v>124</v>
      </c>
      <c r="GLB232" s="297" t="s">
        <v>124</v>
      </c>
      <c r="GLC232" s="297" t="s">
        <v>124</v>
      </c>
      <c r="GLD232" s="297" t="s">
        <v>124</v>
      </c>
      <c r="GLE232" s="297" t="s">
        <v>124</v>
      </c>
      <c r="GLF232" s="297" t="s">
        <v>124</v>
      </c>
      <c r="GLG232" s="297" t="s">
        <v>124</v>
      </c>
      <c r="GLH232" s="297" t="s">
        <v>124</v>
      </c>
      <c r="GLI232" s="297" t="s">
        <v>124</v>
      </c>
      <c r="GLJ232" s="297" t="s">
        <v>124</v>
      </c>
      <c r="GLK232" s="297" t="s">
        <v>124</v>
      </c>
      <c r="GLL232" s="297" t="s">
        <v>124</v>
      </c>
      <c r="GLM232" s="297" t="s">
        <v>124</v>
      </c>
      <c r="GLN232" s="297" t="s">
        <v>124</v>
      </c>
      <c r="GLO232" s="297" t="s">
        <v>124</v>
      </c>
      <c r="GLP232" s="297" t="s">
        <v>124</v>
      </c>
      <c r="GLQ232" s="297" t="s">
        <v>124</v>
      </c>
      <c r="GLR232" s="297" t="s">
        <v>124</v>
      </c>
      <c r="GLS232" s="297" t="s">
        <v>124</v>
      </c>
      <c r="GLT232" s="297" t="s">
        <v>124</v>
      </c>
      <c r="GLU232" s="297" t="s">
        <v>124</v>
      </c>
      <c r="GLV232" s="297" t="s">
        <v>124</v>
      </c>
      <c r="GLW232" s="297" t="s">
        <v>124</v>
      </c>
      <c r="GLX232" s="297" t="s">
        <v>124</v>
      </c>
      <c r="GLY232" s="297" t="s">
        <v>124</v>
      </c>
      <c r="GLZ232" s="297" t="s">
        <v>124</v>
      </c>
      <c r="GMA232" s="297" t="s">
        <v>124</v>
      </c>
      <c r="GMB232" s="297" t="s">
        <v>124</v>
      </c>
      <c r="GMC232" s="297" t="s">
        <v>124</v>
      </c>
      <c r="GMD232" s="297" t="s">
        <v>124</v>
      </c>
      <c r="GME232" s="297" t="s">
        <v>124</v>
      </c>
      <c r="GMF232" s="297" t="s">
        <v>124</v>
      </c>
      <c r="GMG232" s="297" t="s">
        <v>124</v>
      </c>
      <c r="GMH232" s="297" t="s">
        <v>124</v>
      </c>
      <c r="GMI232" s="297" t="s">
        <v>124</v>
      </c>
      <c r="GMJ232" s="297" t="s">
        <v>124</v>
      </c>
      <c r="GMK232" s="297" t="s">
        <v>124</v>
      </c>
      <c r="GML232" s="297" t="s">
        <v>124</v>
      </c>
      <c r="GMM232" s="297" t="s">
        <v>124</v>
      </c>
      <c r="GMN232" s="297" t="s">
        <v>124</v>
      </c>
      <c r="GMO232" s="297" t="s">
        <v>124</v>
      </c>
      <c r="GMP232" s="297" t="s">
        <v>124</v>
      </c>
      <c r="GMQ232" s="297" t="s">
        <v>124</v>
      </c>
      <c r="GMR232" s="297" t="s">
        <v>124</v>
      </c>
      <c r="GMS232" s="297" t="s">
        <v>124</v>
      </c>
      <c r="GMT232" s="297" t="s">
        <v>124</v>
      </c>
      <c r="GMU232" s="297" t="s">
        <v>124</v>
      </c>
      <c r="GMV232" s="297" t="s">
        <v>124</v>
      </c>
      <c r="GMW232" s="297" t="s">
        <v>124</v>
      </c>
      <c r="GMX232" s="297" t="s">
        <v>124</v>
      </c>
      <c r="GMY232" s="297" t="s">
        <v>124</v>
      </c>
      <c r="GMZ232" s="297" t="s">
        <v>124</v>
      </c>
      <c r="GNA232" s="297" t="s">
        <v>124</v>
      </c>
      <c r="GNB232" s="297" t="s">
        <v>124</v>
      </c>
      <c r="GNC232" s="297" t="s">
        <v>124</v>
      </c>
      <c r="GND232" s="297" t="s">
        <v>124</v>
      </c>
      <c r="GNE232" s="297" t="s">
        <v>124</v>
      </c>
      <c r="GNF232" s="297" t="s">
        <v>124</v>
      </c>
      <c r="GNG232" s="297" t="s">
        <v>124</v>
      </c>
      <c r="GNH232" s="297" t="s">
        <v>124</v>
      </c>
      <c r="GNI232" s="297" t="s">
        <v>124</v>
      </c>
      <c r="GNJ232" s="297" t="s">
        <v>124</v>
      </c>
      <c r="GNK232" s="297" t="s">
        <v>124</v>
      </c>
      <c r="GNL232" s="297" t="s">
        <v>124</v>
      </c>
      <c r="GNM232" s="297" t="s">
        <v>124</v>
      </c>
      <c r="GNN232" s="297" t="s">
        <v>124</v>
      </c>
      <c r="GNO232" s="297" t="s">
        <v>124</v>
      </c>
      <c r="GNP232" s="297" t="s">
        <v>124</v>
      </c>
      <c r="GNQ232" s="297" t="s">
        <v>124</v>
      </c>
      <c r="GNR232" s="297" t="s">
        <v>124</v>
      </c>
      <c r="GNS232" s="297" t="s">
        <v>124</v>
      </c>
      <c r="GNT232" s="297" t="s">
        <v>124</v>
      </c>
      <c r="GNU232" s="297" t="s">
        <v>124</v>
      </c>
      <c r="GNV232" s="297" t="s">
        <v>124</v>
      </c>
      <c r="GNW232" s="297" t="s">
        <v>124</v>
      </c>
      <c r="GNX232" s="297" t="s">
        <v>124</v>
      </c>
      <c r="GNY232" s="297" t="s">
        <v>124</v>
      </c>
      <c r="GNZ232" s="297" t="s">
        <v>124</v>
      </c>
      <c r="GOA232" s="297" t="s">
        <v>124</v>
      </c>
      <c r="GOB232" s="297" t="s">
        <v>124</v>
      </c>
      <c r="GOC232" s="297" t="s">
        <v>124</v>
      </c>
      <c r="GOD232" s="297" t="s">
        <v>124</v>
      </c>
      <c r="GOE232" s="297" t="s">
        <v>124</v>
      </c>
      <c r="GOF232" s="297" t="s">
        <v>124</v>
      </c>
      <c r="GOG232" s="297" t="s">
        <v>124</v>
      </c>
      <c r="GOH232" s="297" t="s">
        <v>124</v>
      </c>
      <c r="GOI232" s="297" t="s">
        <v>124</v>
      </c>
      <c r="GOJ232" s="297" t="s">
        <v>124</v>
      </c>
      <c r="GOK232" s="297" t="s">
        <v>124</v>
      </c>
      <c r="GOL232" s="297" t="s">
        <v>124</v>
      </c>
      <c r="GOM232" s="297" t="s">
        <v>124</v>
      </c>
      <c r="GON232" s="297" t="s">
        <v>124</v>
      </c>
      <c r="GOO232" s="297" t="s">
        <v>124</v>
      </c>
      <c r="GOP232" s="297" t="s">
        <v>124</v>
      </c>
      <c r="GOQ232" s="297" t="s">
        <v>124</v>
      </c>
      <c r="GOR232" s="297" t="s">
        <v>124</v>
      </c>
      <c r="GOS232" s="297" t="s">
        <v>124</v>
      </c>
      <c r="GOT232" s="297" t="s">
        <v>124</v>
      </c>
      <c r="GOU232" s="297" t="s">
        <v>124</v>
      </c>
      <c r="GOV232" s="297" t="s">
        <v>124</v>
      </c>
      <c r="GOW232" s="297" t="s">
        <v>124</v>
      </c>
      <c r="GOX232" s="297" t="s">
        <v>124</v>
      </c>
      <c r="GOY232" s="297" t="s">
        <v>124</v>
      </c>
      <c r="GOZ232" s="297" t="s">
        <v>124</v>
      </c>
      <c r="GPA232" s="297" t="s">
        <v>124</v>
      </c>
      <c r="GPB232" s="297" t="s">
        <v>124</v>
      </c>
      <c r="GPC232" s="297" t="s">
        <v>124</v>
      </c>
      <c r="GPD232" s="297" t="s">
        <v>124</v>
      </c>
      <c r="GPE232" s="297" t="s">
        <v>124</v>
      </c>
      <c r="GPF232" s="297" t="s">
        <v>124</v>
      </c>
      <c r="GPG232" s="297" t="s">
        <v>124</v>
      </c>
      <c r="GPH232" s="297" t="s">
        <v>124</v>
      </c>
      <c r="GPI232" s="297" t="s">
        <v>124</v>
      </c>
      <c r="GPJ232" s="297" t="s">
        <v>124</v>
      </c>
      <c r="GPK232" s="297" t="s">
        <v>124</v>
      </c>
      <c r="GPL232" s="297" t="s">
        <v>124</v>
      </c>
      <c r="GPM232" s="297" t="s">
        <v>124</v>
      </c>
      <c r="GPN232" s="297" t="s">
        <v>124</v>
      </c>
      <c r="GPO232" s="297" t="s">
        <v>124</v>
      </c>
      <c r="GPP232" s="297" t="s">
        <v>124</v>
      </c>
      <c r="GPQ232" s="297" t="s">
        <v>124</v>
      </c>
      <c r="GPR232" s="297" t="s">
        <v>124</v>
      </c>
      <c r="GPS232" s="297" t="s">
        <v>124</v>
      </c>
      <c r="GPT232" s="297" t="s">
        <v>124</v>
      </c>
      <c r="GPU232" s="297" t="s">
        <v>124</v>
      </c>
      <c r="GPV232" s="297" t="s">
        <v>124</v>
      </c>
      <c r="GPW232" s="297" t="s">
        <v>124</v>
      </c>
      <c r="GPX232" s="297" t="s">
        <v>124</v>
      </c>
      <c r="GPY232" s="297" t="s">
        <v>124</v>
      </c>
      <c r="GPZ232" s="297" t="s">
        <v>124</v>
      </c>
      <c r="GQA232" s="297" t="s">
        <v>124</v>
      </c>
      <c r="GQB232" s="297" t="s">
        <v>124</v>
      </c>
      <c r="GQC232" s="297" t="s">
        <v>124</v>
      </c>
      <c r="GQD232" s="297" t="s">
        <v>124</v>
      </c>
      <c r="GQE232" s="297" t="s">
        <v>124</v>
      </c>
      <c r="GQF232" s="297" t="s">
        <v>124</v>
      </c>
      <c r="GQG232" s="297" t="s">
        <v>124</v>
      </c>
      <c r="GQH232" s="297" t="s">
        <v>124</v>
      </c>
      <c r="GQI232" s="297" t="s">
        <v>124</v>
      </c>
      <c r="GQJ232" s="297" t="s">
        <v>124</v>
      </c>
      <c r="GQK232" s="297" t="s">
        <v>124</v>
      </c>
      <c r="GQL232" s="297" t="s">
        <v>124</v>
      </c>
      <c r="GQM232" s="297" t="s">
        <v>124</v>
      </c>
      <c r="GQN232" s="297" t="s">
        <v>124</v>
      </c>
      <c r="GQO232" s="297" t="s">
        <v>124</v>
      </c>
      <c r="GQP232" s="297" t="s">
        <v>124</v>
      </c>
      <c r="GQQ232" s="297" t="s">
        <v>124</v>
      </c>
      <c r="GQR232" s="297" t="s">
        <v>124</v>
      </c>
      <c r="GQS232" s="297" t="s">
        <v>124</v>
      </c>
      <c r="GQT232" s="297" t="s">
        <v>124</v>
      </c>
      <c r="GQU232" s="297" t="s">
        <v>124</v>
      </c>
      <c r="GQV232" s="297" t="s">
        <v>124</v>
      </c>
      <c r="GQW232" s="297" t="s">
        <v>124</v>
      </c>
      <c r="GQX232" s="297" t="s">
        <v>124</v>
      </c>
      <c r="GQY232" s="297" t="s">
        <v>124</v>
      </c>
      <c r="GQZ232" s="297" t="s">
        <v>124</v>
      </c>
      <c r="GRA232" s="297" t="s">
        <v>124</v>
      </c>
      <c r="GRB232" s="297" t="s">
        <v>124</v>
      </c>
      <c r="GRC232" s="297" t="s">
        <v>124</v>
      </c>
      <c r="GRD232" s="297" t="s">
        <v>124</v>
      </c>
      <c r="GRE232" s="297" t="s">
        <v>124</v>
      </c>
      <c r="GRF232" s="297" t="s">
        <v>124</v>
      </c>
      <c r="GRG232" s="297" t="s">
        <v>124</v>
      </c>
      <c r="GRH232" s="297" t="s">
        <v>124</v>
      </c>
      <c r="GRI232" s="297" t="s">
        <v>124</v>
      </c>
      <c r="GRJ232" s="297" t="s">
        <v>124</v>
      </c>
      <c r="GRK232" s="297" t="s">
        <v>124</v>
      </c>
      <c r="GRL232" s="297" t="s">
        <v>124</v>
      </c>
      <c r="GRM232" s="297" t="s">
        <v>124</v>
      </c>
      <c r="GRN232" s="297" t="s">
        <v>124</v>
      </c>
      <c r="GRO232" s="297" t="s">
        <v>124</v>
      </c>
      <c r="GRP232" s="297" t="s">
        <v>124</v>
      </c>
      <c r="GRQ232" s="297" t="s">
        <v>124</v>
      </c>
      <c r="GRR232" s="297" t="s">
        <v>124</v>
      </c>
      <c r="GRS232" s="297" t="s">
        <v>124</v>
      </c>
      <c r="GRT232" s="297" t="s">
        <v>124</v>
      </c>
      <c r="GRU232" s="297" t="s">
        <v>124</v>
      </c>
      <c r="GRV232" s="297" t="s">
        <v>124</v>
      </c>
      <c r="GRW232" s="297" t="s">
        <v>124</v>
      </c>
      <c r="GRX232" s="297" t="s">
        <v>124</v>
      </c>
      <c r="GRY232" s="297" t="s">
        <v>124</v>
      </c>
      <c r="GRZ232" s="297" t="s">
        <v>124</v>
      </c>
      <c r="GSA232" s="297" t="s">
        <v>124</v>
      </c>
      <c r="GSB232" s="297" t="s">
        <v>124</v>
      </c>
      <c r="GSC232" s="297" t="s">
        <v>124</v>
      </c>
      <c r="GSD232" s="297" t="s">
        <v>124</v>
      </c>
      <c r="GSE232" s="297" t="s">
        <v>124</v>
      </c>
      <c r="GSF232" s="297" t="s">
        <v>124</v>
      </c>
      <c r="GSG232" s="297" t="s">
        <v>124</v>
      </c>
      <c r="GSH232" s="297" t="s">
        <v>124</v>
      </c>
      <c r="GSI232" s="297" t="s">
        <v>124</v>
      </c>
      <c r="GSJ232" s="297" t="s">
        <v>124</v>
      </c>
      <c r="GSK232" s="297" t="s">
        <v>124</v>
      </c>
      <c r="GSL232" s="297" t="s">
        <v>124</v>
      </c>
      <c r="GSM232" s="297" t="s">
        <v>124</v>
      </c>
      <c r="GSN232" s="297" t="s">
        <v>124</v>
      </c>
      <c r="GSO232" s="297" t="s">
        <v>124</v>
      </c>
      <c r="GSP232" s="297" t="s">
        <v>124</v>
      </c>
      <c r="GSQ232" s="297" t="s">
        <v>124</v>
      </c>
      <c r="GSR232" s="297" t="s">
        <v>124</v>
      </c>
      <c r="GSS232" s="297" t="s">
        <v>124</v>
      </c>
      <c r="GST232" s="297" t="s">
        <v>124</v>
      </c>
      <c r="GSU232" s="297" t="s">
        <v>124</v>
      </c>
      <c r="GSV232" s="297" t="s">
        <v>124</v>
      </c>
      <c r="GSW232" s="297" t="s">
        <v>124</v>
      </c>
      <c r="GSX232" s="297" t="s">
        <v>124</v>
      </c>
      <c r="GSY232" s="297" t="s">
        <v>124</v>
      </c>
      <c r="GSZ232" s="297" t="s">
        <v>124</v>
      </c>
      <c r="GTA232" s="297" t="s">
        <v>124</v>
      </c>
      <c r="GTB232" s="297" t="s">
        <v>124</v>
      </c>
      <c r="GTC232" s="297" t="s">
        <v>124</v>
      </c>
      <c r="GTD232" s="297" t="s">
        <v>124</v>
      </c>
      <c r="GTE232" s="297" t="s">
        <v>124</v>
      </c>
      <c r="GTF232" s="297" t="s">
        <v>124</v>
      </c>
      <c r="GTG232" s="297" t="s">
        <v>124</v>
      </c>
      <c r="GTH232" s="297" t="s">
        <v>124</v>
      </c>
      <c r="GTI232" s="297" t="s">
        <v>124</v>
      </c>
      <c r="GTJ232" s="297" t="s">
        <v>124</v>
      </c>
      <c r="GTK232" s="297" t="s">
        <v>124</v>
      </c>
      <c r="GTL232" s="297" t="s">
        <v>124</v>
      </c>
      <c r="GTM232" s="297" t="s">
        <v>124</v>
      </c>
      <c r="GTN232" s="297" t="s">
        <v>124</v>
      </c>
      <c r="GTO232" s="297" t="s">
        <v>124</v>
      </c>
      <c r="GTP232" s="297" t="s">
        <v>124</v>
      </c>
      <c r="GTQ232" s="297" t="s">
        <v>124</v>
      </c>
      <c r="GTR232" s="297" t="s">
        <v>124</v>
      </c>
      <c r="GTS232" s="297" t="s">
        <v>124</v>
      </c>
      <c r="GTT232" s="297" t="s">
        <v>124</v>
      </c>
      <c r="GTU232" s="297" t="s">
        <v>124</v>
      </c>
      <c r="GTV232" s="297" t="s">
        <v>124</v>
      </c>
      <c r="GTW232" s="297" t="s">
        <v>124</v>
      </c>
      <c r="GTX232" s="297" t="s">
        <v>124</v>
      </c>
      <c r="GTY232" s="297" t="s">
        <v>124</v>
      </c>
      <c r="GTZ232" s="297" t="s">
        <v>124</v>
      </c>
      <c r="GUA232" s="297" t="s">
        <v>124</v>
      </c>
      <c r="GUB232" s="297" t="s">
        <v>124</v>
      </c>
      <c r="GUC232" s="297" t="s">
        <v>124</v>
      </c>
      <c r="GUD232" s="297" t="s">
        <v>124</v>
      </c>
      <c r="GUE232" s="297" t="s">
        <v>124</v>
      </c>
      <c r="GUF232" s="297" t="s">
        <v>124</v>
      </c>
      <c r="GUG232" s="297" t="s">
        <v>124</v>
      </c>
      <c r="GUH232" s="297" t="s">
        <v>124</v>
      </c>
      <c r="GUI232" s="297" t="s">
        <v>124</v>
      </c>
      <c r="GUJ232" s="297" t="s">
        <v>124</v>
      </c>
      <c r="GUK232" s="297" t="s">
        <v>124</v>
      </c>
      <c r="GUL232" s="297" t="s">
        <v>124</v>
      </c>
      <c r="GUM232" s="297" t="s">
        <v>124</v>
      </c>
      <c r="GUN232" s="297" t="s">
        <v>124</v>
      </c>
      <c r="GUO232" s="297" t="s">
        <v>124</v>
      </c>
      <c r="GUP232" s="297" t="s">
        <v>124</v>
      </c>
      <c r="GUQ232" s="297" t="s">
        <v>124</v>
      </c>
      <c r="GUR232" s="297" t="s">
        <v>124</v>
      </c>
      <c r="GUS232" s="297" t="s">
        <v>124</v>
      </c>
      <c r="GUT232" s="297" t="s">
        <v>124</v>
      </c>
      <c r="GUU232" s="297" t="s">
        <v>124</v>
      </c>
      <c r="GUV232" s="297" t="s">
        <v>124</v>
      </c>
      <c r="GUW232" s="297" t="s">
        <v>124</v>
      </c>
      <c r="GUX232" s="297" t="s">
        <v>124</v>
      </c>
      <c r="GUY232" s="297" t="s">
        <v>124</v>
      </c>
      <c r="GUZ232" s="297" t="s">
        <v>124</v>
      </c>
      <c r="GVA232" s="297" t="s">
        <v>124</v>
      </c>
      <c r="GVB232" s="297" t="s">
        <v>124</v>
      </c>
      <c r="GVC232" s="297" t="s">
        <v>124</v>
      </c>
      <c r="GVD232" s="297" t="s">
        <v>124</v>
      </c>
      <c r="GVE232" s="297" t="s">
        <v>124</v>
      </c>
      <c r="GVF232" s="297" t="s">
        <v>124</v>
      </c>
      <c r="GVG232" s="297" t="s">
        <v>124</v>
      </c>
      <c r="GVH232" s="297" t="s">
        <v>124</v>
      </c>
      <c r="GVI232" s="297" t="s">
        <v>124</v>
      </c>
      <c r="GVJ232" s="297" t="s">
        <v>124</v>
      </c>
      <c r="GVK232" s="297" t="s">
        <v>124</v>
      </c>
      <c r="GVL232" s="297" t="s">
        <v>124</v>
      </c>
      <c r="GVM232" s="297" t="s">
        <v>124</v>
      </c>
      <c r="GVN232" s="297" t="s">
        <v>124</v>
      </c>
      <c r="GVO232" s="297" t="s">
        <v>124</v>
      </c>
      <c r="GVP232" s="297" t="s">
        <v>124</v>
      </c>
      <c r="GVQ232" s="297" t="s">
        <v>124</v>
      </c>
      <c r="GVR232" s="297" t="s">
        <v>124</v>
      </c>
      <c r="GVS232" s="297" t="s">
        <v>124</v>
      </c>
      <c r="GVT232" s="297" t="s">
        <v>124</v>
      </c>
      <c r="GVU232" s="297" t="s">
        <v>124</v>
      </c>
      <c r="GVV232" s="297" t="s">
        <v>124</v>
      </c>
      <c r="GVW232" s="297" t="s">
        <v>124</v>
      </c>
      <c r="GVX232" s="297" t="s">
        <v>124</v>
      </c>
      <c r="GVY232" s="297" t="s">
        <v>124</v>
      </c>
      <c r="GVZ232" s="297" t="s">
        <v>124</v>
      </c>
      <c r="GWA232" s="297" t="s">
        <v>124</v>
      </c>
      <c r="GWB232" s="297" t="s">
        <v>124</v>
      </c>
      <c r="GWC232" s="297" t="s">
        <v>124</v>
      </c>
      <c r="GWD232" s="297" t="s">
        <v>124</v>
      </c>
      <c r="GWE232" s="297" t="s">
        <v>124</v>
      </c>
      <c r="GWF232" s="297" t="s">
        <v>124</v>
      </c>
      <c r="GWG232" s="297" t="s">
        <v>124</v>
      </c>
      <c r="GWH232" s="297" t="s">
        <v>124</v>
      </c>
      <c r="GWI232" s="297" t="s">
        <v>124</v>
      </c>
      <c r="GWJ232" s="297" t="s">
        <v>124</v>
      </c>
      <c r="GWK232" s="297" t="s">
        <v>124</v>
      </c>
      <c r="GWL232" s="297" t="s">
        <v>124</v>
      </c>
      <c r="GWM232" s="297" t="s">
        <v>124</v>
      </c>
      <c r="GWN232" s="297" t="s">
        <v>124</v>
      </c>
      <c r="GWO232" s="297" t="s">
        <v>124</v>
      </c>
      <c r="GWP232" s="297" t="s">
        <v>124</v>
      </c>
      <c r="GWQ232" s="297" t="s">
        <v>124</v>
      </c>
      <c r="GWR232" s="297" t="s">
        <v>124</v>
      </c>
      <c r="GWS232" s="297" t="s">
        <v>124</v>
      </c>
      <c r="GWT232" s="297" t="s">
        <v>124</v>
      </c>
      <c r="GWU232" s="297" t="s">
        <v>124</v>
      </c>
      <c r="GWV232" s="297" t="s">
        <v>124</v>
      </c>
      <c r="GWW232" s="297" t="s">
        <v>124</v>
      </c>
      <c r="GWX232" s="297" t="s">
        <v>124</v>
      </c>
      <c r="GWY232" s="297" t="s">
        <v>124</v>
      </c>
      <c r="GWZ232" s="297" t="s">
        <v>124</v>
      </c>
      <c r="GXA232" s="297" t="s">
        <v>124</v>
      </c>
      <c r="GXB232" s="297" t="s">
        <v>124</v>
      </c>
      <c r="GXC232" s="297" t="s">
        <v>124</v>
      </c>
      <c r="GXD232" s="297" t="s">
        <v>124</v>
      </c>
      <c r="GXE232" s="297" t="s">
        <v>124</v>
      </c>
      <c r="GXF232" s="297" t="s">
        <v>124</v>
      </c>
      <c r="GXG232" s="297" t="s">
        <v>124</v>
      </c>
      <c r="GXH232" s="297" t="s">
        <v>124</v>
      </c>
      <c r="GXI232" s="297" t="s">
        <v>124</v>
      </c>
      <c r="GXJ232" s="297" t="s">
        <v>124</v>
      </c>
      <c r="GXK232" s="297" t="s">
        <v>124</v>
      </c>
      <c r="GXL232" s="297" t="s">
        <v>124</v>
      </c>
      <c r="GXM232" s="297" t="s">
        <v>124</v>
      </c>
      <c r="GXN232" s="297" t="s">
        <v>124</v>
      </c>
      <c r="GXO232" s="297" t="s">
        <v>124</v>
      </c>
      <c r="GXP232" s="297" t="s">
        <v>124</v>
      </c>
      <c r="GXQ232" s="297" t="s">
        <v>124</v>
      </c>
      <c r="GXR232" s="297" t="s">
        <v>124</v>
      </c>
      <c r="GXS232" s="297" t="s">
        <v>124</v>
      </c>
      <c r="GXT232" s="297" t="s">
        <v>124</v>
      </c>
      <c r="GXU232" s="297" t="s">
        <v>124</v>
      </c>
      <c r="GXV232" s="297" t="s">
        <v>124</v>
      </c>
      <c r="GXW232" s="297" t="s">
        <v>124</v>
      </c>
      <c r="GXX232" s="297" t="s">
        <v>124</v>
      </c>
      <c r="GXY232" s="297" t="s">
        <v>124</v>
      </c>
      <c r="GXZ232" s="297" t="s">
        <v>124</v>
      </c>
      <c r="GYA232" s="297" t="s">
        <v>124</v>
      </c>
      <c r="GYB232" s="297" t="s">
        <v>124</v>
      </c>
      <c r="GYC232" s="297" t="s">
        <v>124</v>
      </c>
      <c r="GYD232" s="297" t="s">
        <v>124</v>
      </c>
      <c r="GYE232" s="297" t="s">
        <v>124</v>
      </c>
      <c r="GYF232" s="297" t="s">
        <v>124</v>
      </c>
      <c r="GYG232" s="297" t="s">
        <v>124</v>
      </c>
      <c r="GYH232" s="297" t="s">
        <v>124</v>
      </c>
      <c r="GYI232" s="297" t="s">
        <v>124</v>
      </c>
      <c r="GYJ232" s="297" t="s">
        <v>124</v>
      </c>
      <c r="GYK232" s="297" t="s">
        <v>124</v>
      </c>
      <c r="GYL232" s="297" t="s">
        <v>124</v>
      </c>
      <c r="GYM232" s="297" t="s">
        <v>124</v>
      </c>
      <c r="GYN232" s="297" t="s">
        <v>124</v>
      </c>
      <c r="GYO232" s="297" t="s">
        <v>124</v>
      </c>
      <c r="GYP232" s="297" t="s">
        <v>124</v>
      </c>
      <c r="GYQ232" s="297" t="s">
        <v>124</v>
      </c>
      <c r="GYR232" s="297" t="s">
        <v>124</v>
      </c>
      <c r="GYS232" s="297" t="s">
        <v>124</v>
      </c>
      <c r="GYT232" s="297" t="s">
        <v>124</v>
      </c>
      <c r="GYU232" s="297" t="s">
        <v>124</v>
      </c>
      <c r="GYV232" s="297" t="s">
        <v>124</v>
      </c>
      <c r="GYW232" s="297" t="s">
        <v>124</v>
      </c>
      <c r="GYX232" s="297" t="s">
        <v>124</v>
      </c>
      <c r="GYY232" s="297" t="s">
        <v>124</v>
      </c>
      <c r="GYZ232" s="297" t="s">
        <v>124</v>
      </c>
      <c r="GZA232" s="297" t="s">
        <v>124</v>
      </c>
      <c r="GZB232" s="297" t="s">
        <v>124</v>
      </c>
      <c r="GZC232" s="297" t="s">
        <v>124</v>
      </c>
      <c r="GZD232" s="297" t="s">
        <v>124</v>
      </c>
      <c r="GZE232" s="297" t="s">
        <v>124</v>
      </c>
      <c r="GZF232" s="297" t="s">
        <v>124</v>
      </c>
      <c r="GZG232" s="297" t="s">
        <v>124</v>
      </c>
      <c r="GZH232" s="297" t="s">
        <v>124</v>
      </c>
      <c r="GZI232" s="297" t="s">
        <v>124</v>
      </c>
      <c r="GZJ232" s="297" t="s">
        <v>124</v>
      </c>
      <c r="GZK232" s="297" t="s">
        <v>124</v>
      </c>
      <c r="GZL232" s="297" t="s">
        <v>124</v>
      </c>
      <c r="GZM232" s="297" t="s">
        <v>124</v>
      </c>
      <c r="GZN232" s="297" t="s">
        <v>124</v>
      </c>
      <c r="GZO232" s="297" t="s">
        <v>124</v>
      </c>
      <c r="GZP232" s="297" t="s">
        <v>124</v>
      </c>
      <c r="GZQ232" s="297" t="s">
        <v>124</v>
      </c>
      <c r="GZR232" s="297" t="s">
        <v>124</v>
      </c>
      <c r="GZS232" s="297" t="s">
        <v>124</v>
      </c>
      <c r="GZT232" s="297" t="s">
        <v>124</v>
      </c>
      <c r="GZU232" s="297" t="s">
        <v>124</v>
      </c>
      <c r="GZV232" s="297" t="s">
        <v>124</v>
      </c>
      <c r="GZW232" s="297" t="s">
        <v>124</v>
      </c>
      <c r="GZX232" s="297" t="s">
        <v>124</v>
      </c>
      <c r="GZY232" s="297" t="s">
        <v>124</v>
      </c>
      <c r="GZZ232" s="297" t="s">
        <v>124</v>
      </c>
      <c r="HAA232" s="297" t="s">
        <v>124</v>
      </c>
      <c r="HAB232" s="297" t="s">
        <v>124</v>
      </c>
      <c r="HAC232" s="297" t="s">
        <v>124</v>
      </c>
      <c r="HAD232" s="297" t="s">
        <v>124</v>
      </c>
      <c r="HAE232" s="297" t="s">
        <v>124</v>
      </c>
      <c r="HAF232" s="297" t="s">
        <v>124</v>
      </c>
      <c r="HAG232" s="297" t="s">
        <v>124</v>
      </c>
      <c r="HAH232" s="297" t="s">
        <v>124</v>
      </c>
      <c r="HAI232" s="297" t="s">
        <v>124</v>
      </c>
      <c r="HAJ232" s="297" t="s">
        <v>124</v>
      </c>
      <c r="HAK232" s="297" t="s">
        <v>124</v>
      </c>
      <c r="HAL232" s="297" t="s">
        <v>124</v>
      </c>
      <c r="HAM232" s="297" t="s">
        <v>124</v>
      </c>
      <c r="HAN232" s="297" t="s">
        <v>124</v>
      </c>
      <c r="HAO232" s="297" t="s">
        <v>124</v>
      </c>
      <c r="HAP232" s="297" t="s">
        <v>124</v>
      </c>
      <c r="HAQ232" s="297" t="s">
        <v>124</v>
      </c>
      <c r="HAR232" s="297" t="s">
        <v>124</v>
      </c>
      <c r="HAS232" s="297" t="s">
        <v>124</v>
      </c>
      <c r="HAT232" s="297" t="s">
        <v>124</v>
      </c>
      <c r="HAU232" s="297" t="s">
        <v>124</v>
      </c>
      <c r="HAV232" s="297" t="s">
        <v>124</v>
      </c>
      <c r="HAW232" s="297" t="s">
        <v>124</v>
      </c>
      <c r="HAX232" s="297" t="s">
        <v>124</v>
      </c>
      <c r="HAY232" s="297" t="s">
        <v>124</v>
      </c>
      <c r="HAZ232" s="297" t="s">
        <v>124</v>
      </c>
      <c r="HBA232" s="297" t="s">
        <v>124</v>
      </c>
      <c r="HBB232" s="297" t="s">
        <v>124</v>
      </c>
      <c r="HBC232" s="297" t="s">
        <v>124</v>
      </c>
      <c r="HBD232" s="297" t="s">
        <v>124</v>
      </c>
      <c r="HBE232" s="297" t="s">
        <v>124</v>
      </c>
      <c r="HBF232" s="297" t="s">
        <v>124</v>
      </c>
      <c r="HBG232" s="297" t="s">
        <v>124</v>
      </c>
      <c r="HBH232" s="297" t="s">
        <v>124</v>
      </c>
      <c r="HBI232" s="297" t="s">
        <v>124</v>
      </c>
      <c r="HBJ232" s="297" t="s">
        <v>124</v>
      </c>
      <c r="HBK232" s="297" t="s">
        <v>124</v>
      </c>
      <c r="HBL232" s="297" t="s">
        <v>124</v>
      </c>
      <c r="HBM232" s="297" t="s">
        <v>124</v>
      </c>
      <c r="HBN232" s="297" t="s">
        <v>124</v>
      </c>
      <c r="HBO232" s="297" t="s">
        <v>124</v>
      </c>
      <c r="HBP232" s="297" t="s">
        <v>124</v>
      </c>
      <c r="HBQ232" s="297" t="s">
        <v>124</v>
      </c>
      <c r="HBR232" s="297" t="s">
        <v>124</v>
      </c>
      <c r="HBS232" s="297" t="s">
        <v>124</v>
      </c>
      <c r="HBT232" s="297" t="s">
        <v>124</v>
      </c>
      <c r="HBU232" s="297" t="s">
        <v>124</v>
      </c>
      <c r="HBV232" s="297" t="s">
        <v>124</v>
      </c>
      <c r="HBW232" s="297" t="s">
        <v>124</v>
      </c>
      <c r="HBX232" s="297" t="s">
        <v>124</v>
      </c>
      <c r="HBY232" s="297" t="s">
        <v>124</v>
      </c>
      <c r="HBZ232" s="297" t="s">
        <v>124</v>
      </c>
      <c r="HCA232" s="297" t="s">
        <v>124</v>
      </c>
      <c r="HCB232" s="297" t="s">
        <v>124</v>
      </c>
      <c r="HCC232" s="297" t="s">
        <v>124</v>
      </c>
      <c r="HCD232" s="297" t="s">
        <v>124</v>
      </c>
      <c r="HCE232" s="297" t="s">
        <v>124</v>
      </c>
      <c r="HCF232" s="297" t="s">
        <v>124</v>
      </c>
      <c r="HCG232" s="297" t="s">
        <v>124</v>
      </c>
      <c r="HCH232" s="297" t="s">
        <v>124</v>
      </c>
      <c r="HCI232" s="297" t="s">
        <v>124</v>
      </c>
      <c r="HCJ232" s="297" t="s">
        <v>124</v>
      </c>
      <c r="HCK232" s="297" t="s">
        <v>124</v>
      </c>
      <c r="HCL232" s="297" t="s">
        <v>124</v>
      </c>
      <c r="HCM232" s="297" t="s">
        <v>124</v>
      </c>
      <c r="HCN232" s="297" t="s">
        <v>124</v>
      </c>
      <c r="HCO232" s="297" t="s">
        <v>124</v>
      </c>
      <c r="HCP232" s="297" t="s">
        <v>124</v>
      </c>
      <c r="HCQ232" s="297" t="s">
        <v>124</v>
      </c>
      <c r="HCR232" s="297" t="s">
        <v>124</v>
      </c>
      <c r="HCS232" s="297" t="s">
        <v>124</v>
      </c>
      <c r="HCT232" s="297" t="s">
        <v>124</v>
      </c>
      <c r="HCU232" s="297" t="s">
        <v>124</v>
      </c>
      <c r="HCV232" s="297" t="s">
        <v>124</v>
      </c>
      <c r="HCW232" s="297" t="s">
        <v>124</v>
      </c>
      <c r="HCX232" s="297" t="s">
        <v>124</v>
      </c>
      <c r="HCY232" s="297" t="s">
        <v>124</v>
      </c>
      <c r="HCZ232" s="297" t="s">
        <v>124</v>
      </c>
      <c r="HDA232" s="297" t="s">
        <v>124</v>
      </c>
      <c r="HDB232" s="297" t="s">
        <v>124</v>
      </c>
      <c r="HDC232" s="297" t="s">
        <v>124</v>
      </c>
      <c r="HDD232" s="297" t="s">
        <v>124</v>
      </c>
      <c r="HDE232" s="297" t="s">
        <v>124</v>
      </c>
      <c r="HDF232" s="297" t="s">
        <v>124</v>
      </c>
      <c r="HDG232" s="297" t="s">
        <v>124</v>
      </c>
      <c r="HDH232" s="297" t="s">
        <v>124</v>
      </c>
      <c r="HDI232" s="297" t="s">
        <v>124</v>
      </c>
      <c r="HDJ232" s="297" t="s">
        <v>124</v>
      </c>
      <c r="HDK232" s="297" t="s">
        <v>124</v>
      </c>
      <c r="HDL232" s="297" t="s">
        <v>124</v>
      </c>
      <c r="HDM232" s="297" t="s">
        <v>124</v>
      </c>
      <c r="HDN232" s="297" t="s">
        <v>124</v>
      </c>
      <c r="HDO232" s="297" t="s">
        <v>124</v>
      </c>
      <c r="HDP232" s="297" t="s">
        <v>124</v>
      </c>
      <c r="HDQ232" s="297" t="s">
        <v>124</v>
      </c>
      <c r="HDR232" s="297" t="s">
        <v>124</v>
      </c>
      <c r="HDS232" s="297" t="s">
        <v>124</v>
      </c>
      <c r="HDT232" s="297" t="s">
        <v>124</v>
      </c>
      <c r="HDU232" s="297" t="s">
        <v>124</v>
      </c>
      <c r="HDV232" s="297" t="s">
        <v>124</v>
      </c>
      <c r="HDW232" s="297" t="s">
        <v>124</v>
      </c>
      <c r="HDX232" s="297" t="s">
        <v>124</v>
      </c>
      <c r="HDY232" s="297" t="s">
        <v>124</v>
      </c>
      <c r="HDZ232" s="297" t="s">
        <v>124</v>
      </c>
      <c r="HEA232" s="297" t="s">
        <v>124</v>
      </c>
      <c r="HEB232" s="297" t="s">
        <v>124</v>
      </c>
      <c r="HEC232" s="297" t="s">
        <v>124</v>
      </c>
      <c r="HED232" s="297" t="s">
        <v>124</v>
      </c>
      <c r="HEE232" s="297" t="s">
        <v>124</v>
      </c>
      <c r="HEF232" s="297" t="s">
        <v>124</v>
      </c>
      <c r="HEG232" s="297" t="s">
        <v>124</v>
      </c>
      <c r="HEH232" s="297" t="s">
        <v>124</v>
      </c>
      <c r="HEI232" s="297" t="s">
        <v>124</v>
      </c>
      <c r="HEJ232" s="297" t="s">
        <v>124</v>
      </c>
      <c r="HEK232" s="297" t="s">
        <v>124</v>
      </c>
      <c r="HEL232" s="297" t="s">
        <v>124</v>
      </c>
      <c r="HEM232" s="297" t="s">
        <v>124</v>
      </c>
      <c r="HEN232" s="297" t="s">
        <v>124</v>
      </c>
      <c r="HEO232" s="297" t="s">
        <v>124</v>
      </c>
      <c r="HEP232" s="297" t="s">
        <v>124</v>
      </c>
      <c r="HEQ232" s="297" t="s">
        <v>124</v>
      </c>
      <c r="HER232" s="297" t="s">
        <v>124</v>
      </c>
      <c r="HES232" s="297" t="s">
        <v>124</v>
      </c>
      <c r="HET232" s="297" t="s">
        <v>124</v>
      </c>
      <c r="HEU232" s="297" t="s">
        <v>124</v>
      </c>
      <c r="HEV232" s="297" t="s">
        <v>124</v>
      </c>
      <c r="HEW232" s="297" t="s">
        <v>124</v>
      </c>
      <c r="HEX232" s="297" t="s">
        <v>124</v>
      </c>
      <c r="HEY232" s="297" t="s">
        <v>124</v>
      </c>
      <c r="HEZ232" s="297" t="s">
        <v>124</v>
      </c>
      <c r="HFA232" s="297" t="s">
        <v>124</v>
      </c>
      <c r="HFB232" s="297" t="s">
        <v>124</v>
      </c>
      <c r="HFC232" s="297" t="s">
        <v>124</v>
      </c>
      <c r="HFD232" s="297" t="s">
        <v>124</v>
      </c>
      <c r="HFE232" s="297" t="s">
        <v>124</v>
      </c>
      <c r="HFF232" s="297" t="s">
        <v>124</v>
      </c>
      <c r="HFG232" s="297" t="s">
        <v>124</v>
      </c>
      <c r="HFH232" s="297" t="s">
        <v>124</v>
      </c>
      <c r="HFI232" s="297" t="s">
        <v>124</v>
      </c>
      <c r="HFJ232" s="297" t="s">
        <v>124</v>
      </c>
      <c r="HFK232" s="297" t="s">
        <v>124</v>
      </c>
      <c r="HFL232" s="297" t="s">
        <v>124</v>
      </c>
      <c r="HFM232" s="297" t="s">
        <v>124</v>
      </c>
      <c r="HFN232" s="297" t="s">
        <v>124</v>
      </c>
      <c r="HFO232" s="297" t="s">
        <v>124</v>
      </c>
      <c r="HFP232" s="297" t="s">
        <v>124</v>
      </c>
      <c r="HFQ232" s="297" t="s">
        <v>124</v>
      </c>
      <c r="HFR232" s="297" t="s">
        <v>124</v>
      </c>
      <c r="HFS232" s="297" t="s">
        <v>124</v>
      </c>
      <c r="HFT232" s="297" t="s">
        <v>124</v>
      </c>
      <c r="HFU232" s="297" t="s">
        <v>124</v>
      </c>
      <c r="HFV232" s="297" t="s">
        <v>124</v>
      </c>
      <c r="HFW232" s="297" t="s">
        <v>124</v>
      </c>
      <c r="HFX232" s="297" t="s">
        <v>124</v>
      </c>
      <c r="HFY232" s="297" t="s">
        <v>124</v>
      </c>
      <c r="HFZ232" s="297" t="s">
        <v>124</v>
      </c>
      <c r="HGA232" s="297" t="s">
        <v>124</v>
      </c>
      <c r="HGB232" s="297" t="s">
        <v>124</v>
      </c>
      <c r="HGC232" s="297" t="s">
        <v>124</v>
      </c>
      <c r="HGD232" s="297" t="s">
        <v>124</v>
      </c>
      <c r="HGE232" s="297" t="s">
        <v>124</v>
      </c>
      <c r="HGF232" s="297" t="s">
        <v>124</v>
      </c>
      <c r="HGG232" s="297" t="s">
        <v>124</v>
      </c>
      <c r="HGH232" s="297" t="s">
        <v>124</v>
      </c>
      <c r="HGI232" s="297" t="s">
        <v>124</v>
      </c>
      <c r="HGJ232" s="297" t="s">
        <v>124</v>
      </c>
      <c r="HGK232" s="297" t="s">
        <v>124</v>
      </c>
      <c r="HGL232" s="297" t="s">
        <v>124</v>
      </c>
      <c r="HGM232" s="297" t="s">
        <v>124</v>
      </c>
      <c r="HGN232" s="297" t="s">
        <v>124</v>
      </c>
      <c r="HGO232" s="297" t="s">
        <v>124</v>
      </c>
      <c r="HGP232" s="297" t="s">
        <v>124</v>
      </c>
      <c r="HGQ232" s="297" t="s">
        <v>124</v>
      </c>
      <c r="HGR232" s="297" t="s">
        <v>124</v>
      </c>
      <c r="HGS232" s="297" t="s">
        <v>124</v>
      </c>
      <c r="HGT232" s="297" t="s">
        <v>124</v>
      </c>
      <c r="HGU232" s="297" t="s">
        <v>124</v>
      </c>
      <c r="HGV232" s="297" t="s">
        <v>124</v>
      </c>
      <c r="HGW232" s="297" t="s">
        <v>124</v>
      </c>
      <c r="HGX232" s="297" t="s">
        <v>124</v>
      </c>
      <c r="HGY232" s="297" t="s">
        <v>124</v>
      </c>
      <c r="HGZ232" s="297" t="s">
        <v>124</v>
      </c>
      <c r="HHA232" s="297" t="s">
        <v>124</v>
      </c>
      <c r="HHB232" s="297" t="s">
        <v>124</v>
      </c>
      <c r="HHC232" s="297" t="s">
        <v>124</v>
      </c>
      <c r="HHD232" s="297" t="s">
        <v>124</v>
      </c>
      <c r="HHE232" s="297" t="s">
        <v>124</v>
      </c>
      <c r="HHF232" s="297" t="s">
        <v>124</v>
      </c>
      <c r="HHG232" s="297" t="s">
        <v>124</v>
      </c>
      <c r="HHH232" s="297" t="s">
        <v>124</v>
      </c>
      <c r="HHI232" s="297" t="s">
        <v>124</v>
      </c>
      <c r="HHJ232" s="297" t="s">
        <v>124</v>
      </c>
      <c r="HHK232" s="297" t="s">
        <v>124</v>
      </c>
      <c r="HHL232" s="297" t="s">
        <v>124</v>
      </c>
      <c r="HHM232" s="297" t="s">
        <v>124</v>
      </c>
      <c r="HHN232" s="297" t="s">
        <v>124</v>
      </c>
      <c r="HHO232" s="297" t="s">
        <v>124</v>
      </c>
      <c r="HHP232" s="297" t="s">
        <v>124</v>
      </c>
      <c r="HHQ232" s="297" t="s">
        <v>124</v>
      </c>
      <c r="HHR232" s="297" t="s">
        <v>124</v>
      </c>
      <c r="HHS232" s="297" t="s">
        <v>124</v>
      </c>
      <c r="HHT232" s="297" t="s">
        <v>124</v>
      </c>
      <c r="HHU232" s="297" t="s">
        <v>124</v>
      </c>
      <c r="HHV232" s="297" t="s">
        <v>124</v>
      </c>
      <c r="HHW232" s="297" t="s">
        <v>124</v>
      </c>
      <c r="HHX232" s="297" t="s">
        <v>124</v>
      </c>
      <c r="HHY232" s="297" t="s">
        <v>124</v>
      </c>
      <c r="HHZ232" s="297" t="s">
        <v>124</v>
      </c>
      <c r="HIA232" s="297" t="s">
        <v>124</v>
      </c>
      <c r="HIB232" s="297" t="s">
        <v>124</v>
      </c>
      <c r="HIC232" s="297" t="s">
        <v>124</v>
      </c>
      <c r="HID232" s="297" t="s">
        <v>124</v>
      </c>
      <c r="HIE232" s="297" t="s">
        <v>124</v>
      </c>
      <c r="HIF232" s="297" t="s">
        <v>124</v>
      </c>
      <c r="HIG232" s="297" t="s">
        <v>124</v>
      </c>
      <c r="HIH232" s="297" t="s">
        <v>124</v>
      </c>
      <c r="HII232" s="297" t="s">
        <v>124</v>
      </c>
      <c r="HIJ232" s="297" t="s">
        <v>124</v>
      </c>
      <c r="HIK232" s="297" t="s">
        <v>124</v>
      </c>
      <c r="HIL232" s="297" t="s">
        <v>124</v>
      </c>
      <c r="HIM232" s="297" t="s">
        <v>124</v>
      </c>
      <c r="HIN232" s="297" t="s">
        <v>124</v>
      </c>
      <c r="HIO232" s="297" t="s">
        <v>124</v>
      </c>
      <c r="HIP232" s="297" t="s">
        <v>124</v>
      </c>
      <c r="HIQ232" s="297" t="s">
        <v>124</v>
      </c>
      <c r="HIR232" s="297" t="s">
        <v>124</v>
      </c>
      <c r="HIS232" s="297" t="s">
        <v>124</v>
      </c>
      <c r="HIT232" s="297" t="s">
        <v>124</v>
      </c>
      <c r="HIU232" s="297" t="s">
        <v>124</v>
      </c>
      <c r="HIV232" s="297" t="s">
        <v>124</v>
      </c>
      <c r="HIW232" s="297" t="s">
        <v>124</v>
      </c>
      <c r="HIX232" s="297" t="s">
        <v>124</v>
      </c>
      <c r="HIY232" s="297" t="s">
        <v>124</v>
      </c>
      <c r="HIZ232" s="297" t="s">
        <v>124</v>
      </c>
      <c r="HJA232" s="297" t="s">
        <v>124</v>
      </c>
      <c r="HJB232" s="297" t="s">
        <v>124</v>
      </c>
      <c r="HJC232" s="297" t="s">
        <v>124</v>
      </c>
      <c r="HJD232" s="297" t="s">
        <v>124</v>
      </c>
      <c r="HJE232" s="297" t="s">
        <v>124</v>
      </c>
      <c r="HJF232" s="297" t="s">
        <v>124</v>
      </c>
      <c r="HJG232" s="297" t="s">
        <v>124</v>
      </c>
      <c r="HJH232" s="297" t="s">
        <v>124</v>
      </c>
      <c r="HJI232" s="297" t="s">
        <v>124</v>
      </c>
      <c r="HJJ232" s="297" t="s">
        <v>124</v>
      </c>
      <c r="HJK232" s="297" t="s">
        <v>124</v>
      </c>
      <c r="HJL232" s="297" t="s">
        <v>124</v>
      </c>
      <c r="HJM232" s="297" t="s">
        <v>124</v>
      </c>
      <c r="HJN232" s="297" t="s">
        <v>124</v>
      </c>
      <c r="HJO232" s="297" t="s">
        <v>124</v>
      </c>
      <c r="HJP232" s="297" t="s">
        <v>124</v>
      </c>
      <c r="HJQ232" s="297" t="s">
        <v>124</v>
      </c>
      <c r="HJR232" s="297" t="s">
        <v>124</v>
      </c>
      <c r="HJS232" s="297" t="s">
        <v>124</v>
      </c>
      <c r="HJT232" s="297" t="s">
        <v>124</v>
      </c>
      <c r="HJU232" s="297" t="s">
        <v>124</v>
      </c>
      <c r="HJV232" s="297" t="s">
        <v>124</v>
      </c>
      <c r="HJW232" s="297" t="s">
        <v>124</v>
      </c>
      <c r="HJX232" s="297" t="s">
        <v>124</v>
      </c>
      <c r="HJY232" s="297" t="s">
        <v>124</v>
      </c>
      <c r="HJZ232" s="297" t="s">
        <v>124</v>
      </c>
      <c r="HKA232" s="297" t="s">
        <v>124</v>
      </c>
      <c r="HKB232" s="297" t="s">
        <v>124</v>
      </c>
      <c r="HKC232" s="297" t="s">
        <v>124</v>
      </c>
      <c r="HKD232" s="297" t="s">
        <v>124</v>
      </c>
      <c r="HKE232" s="297" t="s">
        <v>124</v>
      </c>
      <c r="HKF232" s="297" t="s">
        <v>124</v>
      </c>
      <c r="HKG232" s="297" t="s">
        <v>124</v>
      </c>
      <c r="HKH232" s="297" t="s">
        <v>124</v>
      </c>
      <c r="HKI232" s="297" t="s">
        <v>124</v>
      </c>
      <c r="HKJ232" s="297" t="s">
        <v>124</v>
      </c>
      <c r="HKK232" s="297" t="s">
        <v>124</v>
      </c>
      <c r="HKL232" s="297" t="s">
        <v>124</v>
      </c>
      <c r="HKM232" s="297" t="s">
        <v>124</v>
      </c>
      <c r="HKN232" s="297" t="s">
        <v>124</v>
      </c>
      <c r="HKO232" s="297" t="s">
        <v>124</v>
      </c>
      <c r="HKP232" s="297" t="s">
        <v>124</v>
      </c>
      <c r="HKQ232" s="297" t="s">
        <v>124</v>
      </c>
      <c r="HKR232" s="297" t="s">
        <v>124</v>
      </c>
      <c r="HKS232" s="297" t="s">
        <v>124</v>
      </c>
      <c r="HKT232" s="297" t="s">
        <v>124</v>
      </c>
      <c r="HKU232" s="297" t="s">
        <v>124</v>
      </c>
      <c r="HKV232" s="297" t="s">
        <v>124</v>
      </c>
      <c r="HKW232" s="297" t="s">
        <v>124</v>
      </c>
      <c r="HKX232" s="297" t="s">
        <v>124</v>
      </c>
      <c r="HKY232" s="297" t="s">
        <v>124</v>
      </c>
      <c r="HKZ232" s="297" t="s">
        <v>124</v>
      </c>
      <c r="HLA232" s="297" t="s">
        <v>124</v>
      </c>
      <c r="HLB232" s="297" t="s">
        <v>124</v>
      </c>
      <c r="HLC232" s="297" t="s">
        <v>124</v>
      </c>
      <c r="HLD232" s="297" t="s">
        <v>124</v>
      </c>
      <c r="HLE232" s="297" t="s">
        <v>124</v>
      </c>
      <c r="HLF232" s="297" t="s">
        <v>124</v>
      </c>
      <c r="HLG232" s="297" t="s">
        <v>124</v>
      </c>
      <c r="HLH232" s="297" t="s">
        <v>124</v>
      </c>
      <c r="HLI232" s="297" t="s">
        <v>124</v>
      </c>
      <c r="HLJ232" s="297" t="s">
        <v>124</v>
      </c>
      <c r="HLK232" s="297" t="s">
        <v>124</v>
      </c>
      <c r="HLL232" s="297" t="s">
        <v>124</v>
      </c>
      <c r="HLM232" s="297" t="s">
        <v>124</v>
      </c>
      <c r="HLN232" s="297" t="s">
        <v>124</v>
      </c>
      <c r="HLO232" s="297" t="s">
        <v>124</v>
      </c>
      <c r="HLP232" s="297" t="s">
        <v>124</v>
      </c>
      <c r="HLQ232" s="297" t="s">
        <v>124</v>
      </c>
      <c r="HLR232" s="297" t="s">
        <v>124</v>
      </c>
      <c r="HLS232" s="297" t="s">
        <v>124</v>
      </c>
      <c r="HLT232" s="297" t="s">
        <v>124</v>
      </c>
      <c r="HLU232" s="297" t="s">
        <v>124</v>
      </c>
      <c r="HLV232" s="297" t="s">
        <v>124</v>
      </c>
      <c r="HLW232" s="297" t="s">
        <v>124</v>
      </c>
      <c r="HLX232" s="297" t="s">
        <v>124</v>
      </c>
      <c r="HLY232" s="297" t="s">
        <v>124</v>
      </c>
      <c r="HLZ232" s="297" t="s">
        <v>124</v>
      </c>
      <c r="HMA232" s="297" t="s">
        <v>124</v>
      </c>
      <c r="HMB232" s="297" t="s">
        <v>124</v>
      </c>
      <c r="HMC232" s="297" t="s">
        <v>124</v>
      </c>
      <c r="HMD232" s="297" t="s">
        <v>124</v>
      </c>
      <c r="HME232" s="297" t="s">
        <v>124</v>
      </c>
      <c r="HMF232" s="297" t="s">
        <v>124</v>
      </c>
      <c r="HMG232" s="297" t="s">
        <v>124</v>
      </c>
      <c r="HMH232" s="297" t="s">
        <v>124</v>
      </c>
      <c r="HMI232" s="297" t="s">
        <v>124</v>
      </c>
      <c r="HMJ232" s="297" t="s">
        <v>124</v>
      </c>
      <c r="HMK232" s="297" t="s">
        <v>124</v>
      </c>
      <c r="HML232" s="297" t="s">
        <v>124</v>
      </c>
      <c r="HMM232" s="297" t="s">
        <v>124</v>
      </c>
      <c r="HMN232" s="297" t="s">
        <v>124</v>
      </c>
      <c r="HMO232" s="297" t="s">
        <v>124</v>
      </c>
      <c r="HMP232" s="297" t="s">
        <v>124</v>
      </c>
      <c r="HMQ232" s="297" t="s">
        <v>124</v>
      </c>
      <c r="HMR232" s="297" t="s">
        <v>124</v>
      </c>
      <c r="HMS232" s="297" t="s">
        <v>124</v>
      </c>
      <c r="HMT232" s="297" t="s">
        <v>124</v>
      </c>
      <c r="HMU232" s="297" t="s">
        <v>124</v>
      </c>
      <c r="HMV232" s="297" t="s">
        <v>124</v>
      </c>
      <c r="HMW232" s="297" t="s">
        <v>124</v>
      </c>
      <c r="HMX232" s="297" t="s">
        <v>124</v>
      </c>
      <c r="HMY232" s="297" t="s">
        <v>124</v>
      </c>
      <c r="HMZ232" s="297" t="s">
        <v>124</v>
      </c>
      <c r="HNA232" s="297" t="s">
        <v>124</v>
      </c>
      <c r="HNB232" s="297" t="s">
        <v>124</v>
      </c>
      <c r="HNC232" s="297" t="s">
        <v>124</v>
      </c>
      <c r="HND232" s="297" t="s">
        <v>124</v>
      </c>
      <c r="HNE232" s="297" t="s">
        <v>124</v>
      </c>
      <c r="HNF232" s="297" t="s">
        <v>124</v>
      </c>
      <c r="HNG232" s="297" t="s">
        <v>124</v>
      </c>
      <c r="HNH232" s="297" t="s">
        <v>124</v>
      </c>
      <c r="HNI232" s="297" t="s">
        <v>124</v>
      </c>
      <c r="HNJ232" s="297" t="s">
        <v>124</v>
      </c>
      <c r="HNK232" s="297" t="s">
        <v>124</v>
      </c>
      <c r="HNL232" s="297" t="s">
        <v>124</v>
      </c>
      <c r="HNM232" s="297" t="s">
        <v>124</v>
      </c>
      <c r="HNN232" s="297" t="s">
        <v>124</v>
      </c>
      <c r="HNO232" s="297" t="s">
        <v>124</v>
      </c>
      <c r="HNP232" s="297" t="s">
        <v>124</v>
      </c>
      <c r="HNQ232" s="297" t="s">
        <v>124</v>
      </c>
      <c r="HNR232" s="297" t="s">
        <v>124</v>
      </c>
      <c r="HNS232" s="297" t="s">
        <v>124</v>
      </c>
      <c r="HNT232" s="297" t="s">
        <v>124</v>
      </c>
      <c r="HNU232" s="297" t="s">
        <v>124</v>
      </c>
      <c r="HNV232" s="297" t="s">
        <v>124</v>
      </c>
      <c r="HNW232" s="297" t="s">
        <v>124</v>
      </c>
      <c r="HNX232" s="297" t="s">
        <v>124</v>
      </c>
      <c r="HNY232" s="297" t="s">
        <v>124</v>
      </c>
      <c r="HNZ232" s="297" t="s">
        <v>124</v>
      </c>
      <c r="HOA232" s="297" t="s">
        <v>124</v>
      </c>
      <c r="HOB232" s="297" t="s">
        <v>124</v>
      </c>
      <c r="HOC232" s="297" t="s">
        <v>124</v>
      </c>
      <c r="HOD232" s="297" t="s">
        <v>124</v>
      </c>
      <c r="HOE232" s="297" t="s">
        <v>124</v>
      </c>
      <c r="HOF232" s="297" t="s">
        <v>124</v>
      </c>
      <c r="HOG232" s="297" t="s">
        <v>124</v>
      </c>
      <c r="HOH232" s="297" t="s">
        <v>124</v>
      </c>
      <c r="HOI232" s="297" t="s">
        <v>124</v>
      </c>
      <c r="HOJ232" s="297" t="s">
        <v>124</v>
      </c>
      <c r="HOK232" s="297" t="s">
        <v>124</v>
      </c>
      <c r="HOL232" s="297" t="s">
        <v>124</v>
      </c>
      <c r="HOM232" s="297" t="s">
        <v>124</v>
      </c>
      <c r="HON232" s="297" t="s">
        <v>124</v>
      </c>
      <c r="HOO232" s="297" t="s">
        <v>124</v>
      </c>
      <c r="HOP232" s="297" t="s">
        <v>124</v>
      </c>
      <c r="HOQ232" s="297" t="s">
        <v>124</v>
      </c>
      <c r="HOR232" s="297" t="s">
        <v>124</v>
      </c>
      <c r="HOS232" s="297" t="s">
        <v>124</v>
      </c>
      <c r="HOT232" s="297" t="s">
        <v>124</v>
      </c>
      <c r="HOU232" s="297" t="s">
        <v>124</v>
      </c>
      <c r="HOV232" s="297" t="s">
        <v>124</v>
      </c>
      <c r="HOW232" s="297" t="s">
        <v>124</v>
      </c>
      <c r="HOX232" s="297" t="s">
        <v>124</v>
      </c>
      <c r="HOY232" s="297" t="s">
        <v>124</v>
      </c>
      <c r="HOZ232" s="297" t="s">
        <v>124</v>
      </c>
      <c r="HPA232" s="297" t="s">
        <v>124</v>
      </c>
      <c r="HPB232" s="297" t="s">
        <v>124</v>
      </c>
      <c r="HPC232" s="297" t="s">
        <v>124</v>
      </c>
      <c r="HPD232" s="297" t="s">
        <v>124</v>
      </c>
      <c r="HPE232" s="297" t="s">
        <v>124</v>
      </c>
      <c r="HPF232" s="297" t="s">
        <v>124</v>
      </c>
      <c r="HPG232" s="297" t="s">
        <v>124</v>
      </c>
      <c r="HPH232" s="297" t="s">
        <v>124</v>
      </c>
      <c r="HPI232" s="297" t="s">
        <v>124</v>
      </c>
      <c r="HPJ232" s="297" t="s">
        <v>124</v>
      </c>
      <c r="HPK232" s="297" t="s">
        <v>124</v>
      </c>
      <c r="HPL232" s="297" t="s">
        <v>124</v>
      </c>
      <c r="HPM232" s="297" t="s">
        <v>124</v>
      </c>
      <c r="HPN232" s="297" t="s">
        <v>124</v>
      </c>
      <c r="HPO232" s="297" t="s">
        <v>124</v>
      </c>
      <c r="HPP232" s="297" t="s">
        <v>124</v>
      </c>
      <c r="HPQ232" s="297" t="s">
        <v>124</v>
      </c>
      <c r="HPR232" s="297" t="s">
        <v>124</v>
      </c>
      <c r="HPS232" s="297" t="s">
        <v>124</v>
      </c>
      <c r="HPT232" s="297" t="s">
        <v>124</v>
      </c>
      <c r="HPU232" s="297" t="s">
        <v>124</v>
      </c>
      <c r="HPV232" s="297" t="s">
        <v>124</v>
      </c>
      <c r="HPW232" s="297" t="s">
        <v>124</v>
      </c>
      <c r="HPX232" s="297" t="s">
        <v>124</v>
      </c>
      <c r="HPY232" s="297" t="s">
        <v>124</v>
      </c>
      <c r="HPZ232" s="297" t="s">
        <v>124</v>
      </c>
      <c r="HQA232" s="297" t="s">
        <v>124</v>
      </c>
      <c r="HQB232" s="297" t="s">
        <v>124</v>
      </c>
      <c r="HQC232" s="297" t="s">
        <v>124</v>
      </c>
      <c r="HQD232" s="297" t="s">
        <v>124</v>
      </c>
      <c r="HQE232" s="297" t="s">
        <v>124</v>
      </c>
      <c r="HQF232" s="297" t="s">
        <v>124</v>
      </c>
      <c r="HQG232" s="297" t="s">
        <v>124</v>
      </c>
      <c r="HQH232" s="297" t="s">
        <v>124</v>
      </c>
      <c r="HQI232" s="297" t="s">
        <v>124</v>
      </c>
      <c r="HQJ232" s="297" t="s">
        <v>124</v>
      </c>
      <c r="HQK232" s="297" t="s">
        <v>124</v>
      </c>
      <c r="HQL232" s="297" t="s">
        <v>124</v>
      </c>
      <c r="HQM232" s="297" t="s">
        <v>124</v>
      </c>
      <c r="HQN232" s="297" t="s">
        <v>124</v>
      </c>
      <c r="HQO232" s="297" t="s">
        <v>124</v>
      </c>
      <c r="HQP232" s="297" t="s">
        <v>124</v>
      </c>
      <c r="HQQ232" s="297" t="s">
        <v>124</v>
      </c>
      <c r="HQR232" s="297" t="s">
        <v>124</v>
      </c>
      <c r="HQS232" s="297" t="s">
        <v>124</v>
      </c>
      <c r="HQT232" s="297" t="s">
        <v>124</v>
      </c>
      <c r="HQU232" s="297" t="s">
        <v>124</v>
      </c>
      <c r="HQV232" s="297" t="s">
        <v>124</v>
      </c>
      <c r="HQW232" s="297" t="s">
        <v>124</v>
      </c>
      <c r="HQX232" s="297" t="s">
        <v>124</v>
      </c>
      <c r="HQY232" s="297" t="s">
        <v>124</v>
      </c>
      <c r="HQZ232" s="297" t="s">
        <v>124</v>
      </c>
      <c r="HRA232" s="297" t="s">
        <v>124</v>
      </c>
      <c r="HRB232" s="297" t="s">
        <v>124</v>
      </c>
      <c r="HRC232" s="297" t="s">
        <v>124</v>
      </c>
      <c r="HRD232" s="297" t="s">
        <v>124</v>
      </c>
      <c r="HRE232" s="297" t="s">
        <v>124</v>
      </c>
      <c r="HRF232" s="297" t="s">
        <v>124</v>
      </c>
      <c r="HRG232" s="297" t="s">
        <v>124</v>
      </c>
      <c r="HRH232" s="297" t="s">
        <v>124</v>
      </c>
      <c r="HRI232" s="297" t="s">
        <v>124</v>
      </c>
      <c r="HRJ232" s="297" t="s">
        <v>124</v>
      </c>
      <c r="HRK232" s="297" t="s">
        <v>124</v>
      </c>
      <c r="HRL232" s="297" t="s">
        <v>124</v>
      </c>
      <c r="HRM232" s="297" t="s">
        <v>124</v>
      </c>
      <c r="HRN232" s="297" t="s">
        <v>124</v>
      </c>
      <c r="HRO232" s="297" t="s">
        <v>124</v>
      </c>
      <c r="HRP232" s="297" t="s">
        <v>124</v>
      </c>
      <c r="HRQ232" s="297" t="s">
        <v>124</v>
      </c>
      <c r="HRR232" s="297" t="s">
        <v>124</v>
      </c>
      <c r="HRS232" s="297" t="s">
        <v>124</v>
      </c>
      <c r="HRT232" s="297" t="s">
        <v>124</v>
      </c>
      <c r="HRU232" s="297" t="s">
        <v>124</v>
      </c>
      <c r="HRV232" s="297" t="s">
        <v>124</v>
      </c>
      <c r="HRW232" s="297" t="s">
        <v>124</v>
      </c>
      <c r="HRX232" s="297" t="s">
        <v>124</v>
      </c>
      <c r="HRY232" s="297" t="s">
        <v>124</v>
      </c>
      <c r="HRZ232" s="297" t="s">
        <v>124</v>
      </c>
      <c r="HSA232" s="297" t="s">
        <v>124</v>
      </c>
      <c r="HSB232" s="297" t="s">
        <v>124</v>
      </c>
      <c r="HSC232" s="297" t="s">
        <v>124</v>
      </c>
      <c r="HSD232" s="297" t="s">
        <v>124</v>
      </c>
      <c r="HSE232" s="297" t="s">
        <v>124</v>
      </c>
      <c r="HSF232" s="297" t="s">
        <v>124</v>
      </c>
      <c r="HSG232" s="297" t="s">
        <v>124</v>
      </c>
      <c r="HSH232" s="297" t="s">
        <v>124</v>
      </c>
      <c r="HSI232" s="297" t="s">
        <v>124</v>
      </c>
      <c r="HSJ232" s="297" t="s">
        <v>124</v>
      </c>
      <c r="HSK232" s="297" t="s">
        <v>124</v>
      </c>
      <c r="HSL232" s="297" t="s">
        <v>124</v>
      </c>
      <c r="HSM232" s="297" t="s">
        <v>124</v>
      </c>
      <c r="HSN232" s="297" t="s">
        <v>124</v>
      </c>
      <c r="HSO232" s="297" t="s">
        <v>124</v>
      </c>
      <c r="HSP232" s="297" t="s">
        <v>124</v>
      </c>
      <c r="HSQ232" s="297" t="s">
        <v>124</v>
      </c>
      <c r="HSR232" s="297" t="s">
        <v>124</v>
      </c>
      <c r="HSS232" s="297" t="s">
        <v>124</v>
      </c>
      <c r="HST232" s="297" t="s">
        <v>124</v>
      </c>
      <c r="HSU232" s="297" t="s">
        <v>124</v>
      </c>
      <c r="HSV232" s="297" t="s">
        <v>124</v>
      </c>
      <c r="HSW232" s="297" t="s">
        <v>124</v>
      </c>
      <c r="HSX232" s="297" t="s">
        <v>124</v>
      </c>
      <c r="HSY232" s="297" t="s">
        <v>124</v>
      </c>
      <c r="HSZ232" s="297" t="s">
        <v>124</v>
      </c>
      <c r="HTA232" s="297" t="s">
        <v>124</v>
      </c>
      <c r="HTB232" s="297" t="s">
        <v>124</v>
      </c>
      <c r="HTC232" s="297" t="s">
        <v>124</v>
      </c>
      <c r="HTD232" s="297" t="s">
        <v>124</v>
      </c>
      <c r="HTE232" s="297" t="s">
        <v>124</v>
      </c>
      <c r="HTF232" s="297" t="s">
        <v>124</v>
      </c>
      <c r="HTG232" s="297" t="s">
        <v>124</v>
      </c>
      <c r="HTH232" s="297" t="s">
        <v>124</v>
      </c>
      <c r="HTI232" s="297" t="s">
        <v>124</v>
      </c>
      <c r="HTJ232" s="297" t="s">
        <v>124</v>
      </c>
      <c r="HTK232" s="297" t="s">
        <v>124</v>
      </c>
      <c r="HTL232" s="297" t="s">
        <v>124</v>
      </c>
      <c r="HTM232" s="297" t="s">
        <v>124</v>
      </c>
      <c r="HTN232" s="297" t="s">
        <v>124</v>
      </c>
      <c r="HTO232" s="297" t="s">
        <v>124</v>
      </c>
      <c r="HTP232" s="297" t="s">
        <v>124</v>
      </c>
      <c r="HTQ232" s="297" t="s">
        <v>124</v>
      </c>
      <c r="HTR232" s="297" t="s">
        <v>124</v>
      </c>
      <c r="HTS232" s="297" t="s">
        <v>124</v>
      </c>
      <c r="HTT232" s="297" t="s">
        <v>124</v>
      </c>
      <c r="HTU232" s="297" t="s">
        <v>124</v>
      </c>
      <c r="HTV232" s="297" t="s">
        <v>124</v>
      </c>
      <c r="HTW232" s="297" t="s">
        <v>124</v>
      </c>
      <c r="HTX232" s="297" t="s">
        <v>124</v>
      </c>
      <c r="HTY232" s="297" t="s">
        <v>124</v>
      </c>
      <c r="HTZ232" s="297" t="s">
        <v>124</v>
      </c>
      <c r="HUA232" s="297" t="s">
        <v>124</v>
      </c>
      <c r="HUB232" s="297" t="s">
        <v>124</v>
      </c>
      <c r="HUC232" s="297" t="s">
        <v>124</v>
      </c>
      <c r="HUD232" s="297" t="s">
        <v>124</v>
      </c>
      <c r="HUE232" s="297" t="s">
        <v>124</v>
      </c>
      <c r="HUF232" s="297" t="s">
        <v>124</v>
      </c>
      <c r="HUG232" s="297" t="s">
        <v>124</v>
      </c>
      <c r="HUH232" s="297" t="s">
        <v>124</v>
      </c>
      <c r="HUI232" s="297" t="s">
        <v>124</v>
      </c>
      <c r="HUJ232" s="297" t="s">
        <v>124</v>
      </c>
      <c r="HUK232" s="297" t="s">
        <v>124</v>
      </c>
      <c r="HUL232" s="297" t="s">
        <v>124</v>
      </c>
      <c r="HUM232" s="297" t="s">
        <v>124</v>
      </c>
      <c r="HUN232" s="297" t="s">
        <v>124</v>
      </c>
      <c r="HUO232" s="297" t="s">
        <v>124</v>
      </c>
      <c r="HUP232" s="297" t="s">
        <v>124</v>
      </c>
      <c r="HUQ232" s="297" t="s">
        <v>124</v>
      </c>
      <c r="HUR232" s="297" t="s">
        <v>124</v>
      </c>
      <c r="HUS232" s="297" t="s">
        <v>124</v>
      </c>
      <c r="HUT232" s="297" t="s">
        <v>124</v>
      </c>
      <c r="HUU232" s="297" t="s">
        <v>124</v>
      </c>
      <c r="HUV232" s="297" t="s">
        <v>124</v>
      </c>
      <c r="HUW232" s="297" t="s">
        <v>124</v>
      </c>
      <c r="HUX232" s="297" t="s">
        <v>124</v>
      </c>
      <c r="HUY232" s="297" t="s">
        <v>124</v>
      </c>
      <c r="HUZ232" s="297" t="s">
        <v>124</v>
      </c>
      <c r="HVA232" s="297" t="s">
        <v>124</v>
      </c>
      <c r="HVB232" s="297" t="s">
        <v>124</v>
      </c>
      <c r="HVC232" s="297" t="s">
        <v>124</v>
      </c>
      <c r="HVD232" s="297" t="s">
        <v>124</v>
      </c>
      <c r="HVE232" s="297" t="s">
        <v>124</v>
      </c>
      <c r="HVF232" s="297" t="s">
        <v>124</v>
      </c>
      <c r="HVG232" s="297" t="s">
        <v>124</v>
      </c>
      <c r="HVH232" s="297" t="s">
        <v>124</v>
      </c>
      <c r="HVI232" s="297" t="s">
        <v>124</v>
      </c>
      <c r="HVJ232" s="297" t="s">
        <v>124</v>
      </c>
      <c r="HVK232" s="297" t="s">
        <v>124</v>
      </c>
      <c r="HVL232" s="297" t="s">
        <v>124</v>
      </c>
      <c r="HVM232" s="297" t="s">
        <v>124</v>
      </c>
      <c r="HVN232" s="297" t="s">
        <v>124</v>
      </c>
      <c r="HVO232" s="297" t="s">
        <v>124</v>
      </c>
      <c r="HVP232" s="297" t="s">
        <v>124</v>
      </c>
      <c r="HVQ232" s="297" t="s">
        <v>124</v>
      </c>
      <c r="HVR232" s="297" t="s">
        <v>124</v>
      </c>
      <c r="HVS232" s="297" t="s">
        <v>124</v>
      </c>
      <c r="HVT232" s="297" t="s">
        <v>124</v>
      </c>
      <c r="HVU232" s="297" t="s">
        <v>124</v>
      </c>
      <c r="HVV232" s="297" t="s">
        <v>124</v>
      </c>
      <c r="HVW232" s="297" t="s">
        <v>124</v>
      </c>
      <c r="HVX232" s="297" t="s">
        <v>124</v>
      </c>
      <c r="HVY232" s="297" t="s">
        <v>124</v>
      </c>
      <c r="HVZ232" s="297" t="s">
        <v>124</v>
      </c>
      <c r="HWA232" s="297" t="s">
        <v>124</v>
      </c>
      <c r="HWB232" s="297" t="s">
        <v>124</v>
      </c>
      <c r="HWC232" s="297" t="s">
        <v>124</v>
      </c>
      <c r="HWD232" s="297" t="s">
        <v>124</v>
      </c>
      <c r="HWE232" s="297" t="s">
        <v>124</v>
      </c>
      <c r="HWF232" s="297" t="s">
        <v>124</v>
      </c>
      <c r="HWG232" s="297" t="s">
        <v>124</v>
      </c>
      <c r="HWH232" s="297" t="s">
        <v>124</v>
      </c>
      <c r="HWI232" s="297" t="s">
        <v>124</v>
      </c>
      <c r="HWJ232" s="297" t="s">
        <v>124</v>
      </c>
      <c r="HWK232" s="297" t="s">
        <v>124</v>
      </c>
      <c r="HWL232" s="297" t="s">
        <v>124</v>
      </c>
      <c r="HWM232" s="297" t="s">
        <v>124</v>
      </c>
      <c r="HWN232" s="297" t="s">
        <v>124</v>
      </c>
      <c r="HWO232" s="297" t="s">
        <v>124</v>
      </c>
      <c r="HWP232" s="297" t="s">
        <v>124</v>
      </c>
      <c r="HWQ232" s="297" t="s">
        <v>124</v>
      </c>
      <c r="HWR232" s="297" t="s">
        <v>124</v>
      </c>
      <c r="HWS232" s="297" t="s">
        <v>124</v>
      </c>
      <c r="HWT232" s="297" t="s">
        <v>124</v>
      </c>
      <c r="HWU232" s="297" t="s">
        <v>124</v>
      </c>
      <c r="HWV232" s="297" t="s">
        <v>124</v>
      </c>
      <c r="HWW232" s="297" t="s">
        <v>124</v>
      </c>
      <c r="HWX232" s="297" t="s">
        <v>124</v>
      </c>
      <c r="HWY232" s="297" t="s">
        <v>124</v>
      </c>
      <c r="HWZ232" s="297" t="s">
        <v>124</v>
      </c>
      <c r="HXA232" s="297" t="s">
        <v>124</v>
      </c>
      <c r="HXB232" s="297" t="s">
        <v>124</v>
      </c>
      <c r="HXC232" s="297" t="s">
        <v>124</v>
      </c>
      <c r="HXD232" s="297" t="s">
        <v>124</v>
      </c>
      <c r="HXE232" s="297" t="s">
        <v>124</v>
      </c>
      <c r="HXF232" s="297" t="s">
        <v>124</v>
      </c>
      <c r="HXG232" s="297" t="s">
        <v>124</v>
      </c>
      <c r="HXH232" s="297" t="s">
        <v>124</v>
      </c>
      <c r="HXI232" s="297" t="s">
        <v>124</v>
      </c>
      <c r="HXJ232" s="297" t="s">
        <v>124</v>
      </c>
      <c r="HXK232" s="297" t="s">
        <v>124</v>
      </c>
      <c r="HXL232" s="297" t="s">
        <v>124</v>
      </c>
      <c r="HXM232" s="297" t="s">
        <v>124</v>
      </c>
      <c r="HXN232" s="297" t="s">
        <v>124</v>
      </c>
      <c r="HXO232" s="297" t="s">
        <v>124</v>
      </c>
      <c r="HXP232" s="297" t="s">
        <v>124</v>
      </c>
      <c r="HXQ232" s="297" t="s">
        <v>124</v>
      </c>
      <c r="HXR232" s="297" t="s">
        <v>124</v>
      </c>
      <c r="HXS232" s="297" t="s">
        <v>124</v>
      </c>
      <c r="HXT232" s="297" t="s">
        <v>124</v>
      </c>
      <c r="HXU232" s="297" t="s">
        <v>124</v>
      </c>
      <c r="HXV232" s="297" t="s">
        <v>124</v>
      </c>
      <c r="HXW232" s="297" t="s">
        <v>124</v>
      </c>
      <c r="HXX232" s="297" t="s">
        <v>124</v>
      </c>
      <c r="HXY232" s="297" t="s">
        <v>124</v>
      </c>
      <c r="HXZ232" s="297" t="s">
        <v>124</v>
      </c>
      <c r="HYA232" s="297" t="s">
        <v>124</v>
      </c>
      <c r="HYB232" s="297" t="s">
        <v>124</v>
      </c>
      <c r="HYC232" s="297" t="s">
        <v>124</v>
      </c>
      <c r="HYD232" s="297" t="s">
        <v>124</v>
      </c>
      <c r="HYE232" s="297" t="s">
        <v>124</v>
      </c>
      <c r="HYF232" s="297" t="s">
        <v>124</v>
      </c>
      <c r="HYG232" s="297" t="s">
        <v>124</v>
      </c>
      <c r="HYH232" s="297" t="s">
        <v>124</v>
      </c>
      <c r="HYI232" s="297" t="s">
        <v>124</v>
      </c>
      <c r="HYJ232" s="297" t="s">
        <v>124</v>
      </c>
      <c r="HYK232" s="297" t="s">
        <v>124</v>
      </c>
      <c r="HYL232" s="297" t="s">
        <v>124</v>
      </c>
      <c r="HYM232" s="297" t="s">
        <v>124</v>
      </c>
      <c r="HYN232" s="297" t="s">
        <v>124</v>
      </c>
      <c r="HYO232" s="297" t="s">
        <v>124</v>
      </c>
      <c r="HYP232" s="297" t="s">
        <v>124</v>
      </c>
      <c r="HYQ232" s="297" t="s">
        <v>124</v>
      </c>
      <c r="HYR232" s="297" t="s">
        <v>124</v>
      </c>
      <c r="HYS232" s="297" t="s">
        <v>124</v>
      </c>
      <c r="HYT232" s="297" t="s">
        <v>124</v>
      </c>
      <c r="HYU232" s="297" t="s">
        <v>124</v>
      </c>
      <c r="HYV232" s="297" t="s">
        <v>124</v>
      </c>
      <c r="HYW232" s="297" t="s">
        <v>124</v>
      </c>
      <c r="HYX232" s="297" t="s">
        <v>124</v>
      </c>
      <c r="HYY232" s="297" t="s">
        <v>124</v>
      </c>
      <c r="HYZ232" s="297" t="s">
        <v>124</v>
      </c>
      <c r="HZA232" s="297" t="s">
        <v>124</v>
      </c>
      <c r="HZB232" s="297" t="s">
        <v>124</v>
      </c>
      <c r="HZC232" s="297" t="s">
        <v>124</v>
      </c>
      <c r="HZD232" s="297" t="s">
        <v>124</v>
      </c>
      <c r="HZE232" s="297" t="s">
        <v>124</v>
      </c>
      <c r="HZF232" s="297" t="s">
        <v>124</v>
      </c>
      <c r="HZG232" s="297" t="s">
        <v>124</v>
      </c>
      <c r="HZH232" s="297" t="s">
        <v>124</v>
      </c>
      <c r="HZI232" s="297" t="s">
        <v>124</v>
      </c>
      <c r="HZJ232" s="297" t="s">
        <v>124</v>
      </c>
      <c r="HZK232" s="297" t="s">
        <v>124</v>
      </c>
      <c r="HZL232" s="297" t="s">
        <v>124</v>
      </c>
      <c r="HZM232" s="297" t="s">
        <v>124</v>
      </c>
      <c r="HZN232" s="297" t="s">
        <v>124</v>
      </c>
      <c r="HZO232" s="297" t="s">
        <v>124</v>
      </c>
      <c r="HZP232" s="297" t="s">
        <v>124</v>
      </c>
      <c r="HZQ232" s="297" t="s">
        <v>124</v>
      </c>
      <c r="HZR232" s="297" t="s">
        <v>124</v>
      </c>
      <c r="HZS232" s="297" t="s">
        <v>124</v>
      </c>
      <c r="HZT232" s="297" t="s">
        <v>124</v>
      </c>
      <c r="HZU232" s="297" t="s">
        <v>124</v>
      </c>
      <c r="HZV232" s="297" t="s">
        <v>124</v>
      </c>
      <c r="HZW232" s="297" t="s">
        <v>124</v>
      </c>
      <c r="HZX232" s="297" t="s">
        <v>124</v>
      </c>
      <c r="HZY232" s="297" t="s">
        <v>124</v>
      </c>
      <c r="HZZ232" s="297" t="s">
        <v>124</v>
      </c>
      <c r="IAA232" s="297" t="s">
        <v>124</v>
      </c>
      <c r="IAB232" s="297" t="s">
        <v>124</v>
      </c>
      <c r="IAC232" s="297" t="s">
        <v>124</v>
      </c>
      <c r="IAD232" s="297" t="s">
        <v>124</v>
      </c>
      <c r="IAE232" s="297" t="s">
        <v>124</v>
      </c>
      <c r="IAF232" s="297" t="s">
        <v>124</v>
      </c>
      <c r="IAG232" s="297" t="s">
        <v>124</v>
      </c>
      <c r="IAH232" s="297" t="s">
        <v>124</v>
      </c>
      <c r="IAI232" s="297" t="s">
        <v>124</v>
      </c>
      <c r="IAJ232" s="297" t="s">
        <v>124</v>
      </c>
      <c r="IAK232" s="297" t="s">
        <v>124</v>
      </c>
      <c r="IAL232" s="297" t="s">
        <v>124</v>
      </c>
      <c r="IAM232" s="297" t="s">
        <v>124</v>
      </c>
      <c r="IAN232" s="297" t="s">
        <v>124</v>
      </c>
      <c r="IAO232" s="297" t="s">
        <v>124</v>
      </c>
      <c r="IAP232" s="297" t="s">
        <v>124</v>
      </c>
      <c r="IAQ232" s="297" t="s">
        <v>124</v>
      </c>
      <c r="IAR232" s="297" t="s">
        <v>124</v>
      </c>
      <c r="IAS232" s="297" t="s">
        <v>124</v>
      </c>
      <c r="IAT232" s="297" t="s">
        <v>124</v>
      </c>
      <c r="IAU232" s="297" t="s">
        <v>124</v>
      </c>
      <c r="IAV232" s="297" t="s">
        <v>124</v>
      </c>
      <c r="IAW232" s="297" t="s">
        <v>124</v>
      </c>
      <c r="IAX232" s="297" t="s">
        <v>124</v>
      </c>
      <c r="IAY232" s="297" t="s">
        <v>124</v>
      </c>
      <c r="IAZ232" s="297" t="s">
        <v>124</v>
      </c>
      <c r="IBA232" s="297" t="s">
        <v>124</v>
      </c>
      <c r="IBB232" s="297" t="s">
        <v>124</v>
      </c>
      <c r="IBC232" s="297" t="s">
        <v>124</v>
      </c>
      <c r="IBD232" s="297" t="s">
        <v>124</v>
      </c>
      <c r="IBE232" s="297" t="s">
        <v>124</v>
      </c>
      <c r="IBF232" s="297" t="s">
        <v>124</v>
      </c>
      <c r="IBG232" s="297" t="s">
        <v>124</v>
      </c>
      <c r="IBH232" s="297" t="s">
        <v>124</v>
      </c>
      <c r="IBI232" s="297" t="s">
        <v>124</v>
      </c>
      <c r="IBJ232" s="297" t="s">
        <v>124</v>
      </c>
      <c r="IBK232" s="297" t="s">
        <v>124</v>
      </c>
      <c r="IBL232" s="297" t="s">
        <v>124</v>
      </c>
      <c r="IBM232" s="297" t="s">
        <v>124</v>
      </c>
      <c r="IBN232" s="297" t="s">
        <v>124</v>
      </c>
      <c r="IBO232" s="297" t="s">
        <v>124</v>
      </c>
      <c r="IBP232" s="297" t="s">
        <v>124</v>
      </c>
      <c r="IBQ232" s="297" t="s">
        <v>124</v>
      </c>
      <c r="IBR232" s="297" t="s">
        <v>124</v>
      </c>
      <c r="IBS232" s="297" t="s">
        <v>124</v>
      </c>
      <c r="IBT232" s="297" t="s">
        <v>124</v>
      </c>
      <c r="IBU232" s="297" t="s">
        <v>124</v>
      </c>
      <c r="IBV232" s="297" t="s">
        <v>124</v>
      </c>
      <c r="IBW232" s="297" t="s">
        <v>124</v>
      </c>
      <c r="IBX232" s="297" t="s">
        <v>124</v>
      </c>
      <c r="IBY232" s="297" t="s">
        <v>124</v>
      </c>
      <c r="IBZ232" s="297" t="s">
        <v>124</v>
      </c>
      <c r="ICA232" s="297" t="s">
        <v>124</v>
      </c>
      <c r="ICB232" s="297" t="s">
        <v>124</v>
      </c>
      <c r="ICC232" s="297" t="s">
        <v>124</v>
      </c>
      <c r="ICD232" s="297" t="s">
        <v>124</v>
      </c>
      <c r="ICE232" s="297" t="s">
        <v>124</v>
      </c>
      <c r="ICF232" s="297" t="s">
        <v>124</v>
      </c>
      <c r="ICG232" s="297" t="s">
        <v>124</v>
      </c>
      <c r="ICH232" s="297" t="s">
        <v>124</v>
      </c>
      <c r="ICI232" s="297" t="s">
        <v>124</v>
      </c>
      <c r="ICJ232" s="297" t="s">
        <v>124</v>
      </c>
      <c r="ICK232" s="297" t="s">
        <v>124</v>
      </c>
      <c r="ICL232" s="297" t="s">
        <v>124</v>
      </c>
      <c r="ICM232" s="297" t="s">
        <v>124</v>
      </c>
      <c r="ICN232" s="297" t="s">
        <v>124</v>
      </c>
      <c r="ICO232" s="297" t="s">
        <v>124</v>
      </c>
      <c r="ICP232" s="297" t="s">
        <v>124</v>
      </c>
      <c r="ICQ232" s="297" t="s">
        <v>124</v>
      </c>
      <c r="ICR232" s="297" t="s">
        <v>124</v>
      </c>
      <c r="ICS232" s="297" t="s">
        <v>124</v>
      </c>
      <c r="ICT232" s="297" t="s">
        <v>124</v>
      </c>
      <c r="ICU232" s="297" t="s">
        <v>124</v>
      </c>
      <c r="ICV232" s="297" t="s">
        <v>124</v>
      </c>
      <c r="ICW232" s="297" t="s">
        <v>124</v>
      </c>
      <c r="ICX232" s="297" t="s">
        <v>124</v>
      </c>
      <c r="ICY232" s="297" t="s">
        <v>124</v>
      </c>
      <c r="ICZ232" s="297" t="s">
        <v>124</v>
      </c>
      <c r="IDA232" s="297" t="s">
        <v>124</v>
      </c>
      <c r="IDB232" s="297" t="s">
        <v>124</v>
      </c>
      <c r="IDC232" s="297" t="s">
        <v>124</v>
      </c>
      <c r="IDD232" s="297" t="s">
        <v>124</v>
      </c>
      <c r="IDE232" s="297" t="s">
        <v>124</v>
      </c>
      <c r="IDF232" s="297" t="s">
        <v>124</v>
      </c>
      <c r="IDG232" s="297" t="s">
        <v>124</v>
      </c>
      <c r="IDH232" s="297" t="s">
        <v>124</v>
      </c>
      <c r="IDI232" s="297" t="s">
        <v>124</v>
      </c>
      <c r="IDJ232" s="297" t="s">
        <v>124</v>
      </c>
      <c r="IDK232" s="297" t="s">
        <v>124</v>
      </c>
      <c r="IDL232" s="297" t="s">
        <v>124</v>
      </c>
      <c r="IDM232" s="297" t="s">
        <v>124</v>
      </c>
      <c r="IDN232" s="297" t="s">
        <v>124</v>
      </c>
      <c r="IDO232" s="297" t="s">
        <v>124</v>
      </c>
      <c r="IDP232" s="297" t="s">
        <v>124</v>
      </c>
      <c r="IDQ232" s="297" t="s">
        <v>124</v>
      </c>
      <c r="IDR232" s="297" t="s">
        <v>124</v>
      </c>
      <c r="IDS232" s="297" t="s">
        <v>124</v>
      </c>
      <c r="IDT232" s="297" t="s">
        <v>124</v>
      </c>
      <c r="IDU232" s="297" t="s">
        <v>124</v>
      </c>
      <c r="IDV232" s="297" t="s">
        <v>124</v>
      </c>
      <c r="IDW232" s="297" t="s">
        <v>124</v>
      </c>
      <c r="IDX232" s="297" t="s">
        <v>124</v>
      </c>
      <c r="IDY232" s="297" t="s">
        <v>124</v>
      </c>
      <c r="IDZ232" s="297" t="s">
        <v>124</v>
      </c>
      <c r="IEA232" s="297" t="s">
        <v>124</v>
      </c>
      <c r="IEB232" s="297" t="s">
        <v>124</v>
      </c>
      <c r="IEC232" s="297" t="s">
        <v>124</v>
      </c>
      <c r="IED232" s="297" t="s">
        <v>124</v>
      </c>
      <c r="IEE232" s="297" t="s">
        <v>124</v>
      </c>
      <c r="IEF232" s="297" t="s">
        <v>124</v>
      </c>
      <c r="IEG232" s="297" t="s">
        <v>124</v>
      </c>
      <c r="IEH232" s="297" t="s">
        <v>124</v>
      </c>
      <c r="IEI232" s="297" t="s">
        <v>124</v>
      </c>
      <c r="IEJ232" s="297" t="s">
        <v>124</v>
      </c>
      <c r="IEK232" s="297" t="s">
        <v>124</v>
      </c>
      <c r="IEL232" s="297" t="s">
        <v>124</v>
      </c>
      <c r="IEM232" s="297" t="s">
        <v>124</v>
      </c>
      <c r="IEN232" s="297" t="s">
        <v>124</v>
      </c>
      <c r="IEO232" s="297" t="s">
        <v>124</v>
      </c>
      <c r="IEP232" s="297" t="s">
        <v>124</v>
      </c>
      <c r="IEQ232" s="297" t="s">
        <v>124</v>
      </c>
      <c r="IER232" s="297" t="s">
        <v>124</v>
      </c>
      <c r="IES232" s="297" t="s">
        <v>124</v>
      </c>
      <c r="IET232" s="297" t="s">
        <v>124</v>
      </c>
      <c r="IEU232" s="297" t="s">
        <v>124</v>
      </c>
      <c r="IEV232" s="297" t="s">
        <v>124</v>
      </c>
      <c r="IEW232" s="297" t="s">
        <v>124</v>
      </c>
      <c r="IEX232" s="297" t="s">
        <v>124</v>
      </c>
      <c r="IEY232" s="297" t="s">
        <v>124</v>
      </c>
      <c r="IEZ232" s="297" t="s">
        <v>124</v>
      </c>
      <c r="IFA232" s="297" t="s">
        <v>124</v>
      </c>
      <c r="IFB232" s="297" t="s">
        <v>124</v>
      </c>
      <c r="IFC232" s="297" t="s">
        <v>124</v>
      </c>
      <c r="IFD232" s="297" t="s">
        <v>124</v>
      </c>
      <c r="IFE232" s="297" t="s">
        <v>124</v>
      </c>
      <c r="IFF232" s="297" t="s">
        <v>124</v>
      </c>
      <c r="IFG232" s="297" t="s">
        <v>124</v>
      </c>
      <c r="IFH232" s="297" t="s">
        <v>124</v>
      </c>
      <c r="IFI232" s="297" t="s">
        <v>124</v>
      </c>
      <c r="IFJ232" s="297" t="s">
        <v>124</v>
      </c>
      <c r="IFK232" s="297" t="s">
        <v>124</v>
      </c>
      <c r="IFL232" s="297" t="s">
        <v>124</v>
      </c>
      <c r="IFM232" s="297" t="s">
        <v>124</v>
      </c>
      <c r="IFN232" s="297" t="s">
        <v>124</v>
      </c>
      <c r="IFO232" s="297" t="s">
        <v>124</v>
      </c>
      <c r="IFP232" s="297" t="s">
        <v>124</v>
      </c>
      <c r="IFQ232" s="297" t="s">
        <v>124</v>
      </c>
      <c r="IFR232" s="297" t="s">
        <v>124</v>
      </c>
      <c r="IFS232" s="297" t="s">
        <v>124</v>
      </c>
      <c r="IFT232" s="297" t="s">
        <v>124</v>
      </c>
      <c r="IFU232" s="297" t="s">
        <v>124</v>
      </c>
      <c r="IFV232" s="297" t="s">
        <v>124</v>
      </c>
      <c r="IFW232" s="297" t="s">
        <v>124</v>
      </c>
      <c r="IFX232" s="297" t="s">
        <v>124</v>
      </c>
      <c r="IFY232" s="297" t="s">
        <v>124</v>
      </c>
      <c r="IFZ232" s="297" t="s">
        <v>124</v>
      </c>
      <c r="IGA232" s="297" t="s">
        <v>124</v>
      </c>
      <c r="IGB232" s="297" t="s">
        <v>124</v>
      </c>
      <c r="IGC232" s="297" t="s">
        <v>124</v>
      </c>
      <c r="IGD232" s="297" t="s">
        <v>124</v>
      </c>
      <c r="IGE232" s="297" t="s">
        <v>124</v>
      </c>
      <c r="IGF232" s="297" t="s">
        <v>124</v>
      </c>
      <c r="IGG232" s="297" t="s">
        <v>124</v>
      </c>
      <c r="IGH232" s="297" t="s">
        <v>124</v>
      </c>
      <c r="IGI232" s="297" t="s">
        <v>124</v>
      </c>
      <c r="IGJ232" s="297" t="s">
        <v>124</v>
      </c>
      <c r="IGK232" s="297" t="s">
        <v>124</v>
      </c>
      <c r="IGL232" s="297" t="s">
        <v>124</v>
      </c>
      <c r="IGM232" s="297" t="s">
        <v>124</v>
      </c>
      <c r="IGN232" s="297" t="s">
        <v>124</v>
      </c>
      <c r="IGO232" s="297" t="s">
        <v>124</v>
      </c>
      <c r="IGP232" s="297" t="s">
        <v>124</v>
      </c>
      <c r="IGQ232" s="297" t="s">
        <v>124</v>
      </c>
      <c r="IGR232" s="297" t="s">
        <v>124</v>
      </c>
      <c r="IGS232" s="297" t="s">
        <v>124</v>
      </c>
      <c r="IGT232" s="297" t="s">
        <v>124</v>
      </c>
      <c r="IGU232" s="297" t="s">
        <v>124</v>
      </c>
      <c r="IGV232" s="297" t="s">
        <v>124</v>
      </c>
      <c r="IGW232" s="297" t="s">
        <v>124</v>
      </c>
      <c r="IGX232" s="297" t="s">
        <v>124</v>
      </c>
      <c r="IGY232" s="297" t="s">
        <v>124</v>
      </c>
      <c r="IGZ232" s="297" t="s">
        <v>124</v>
      </c>
      <c r="IHA232" s="297" t="s">
        <v>124</v>
      </c>
      <c r="IHB232" s="297" t="s">
        <v>124</v>
      </c>
      <c r="IHC232" s="297" t="s">
        <v>124</v>
      </c>
      <c r="IHD232" s="297" t="s">
        <v>124</v>
      </c>
      <c r="IHE232" s="297" t="s">
        <v>124</v>
      </c>
      <c r="IHF232" s="297" t="s">
        <v>124</v>
      </c>
      <c r="IHG232" s="297" t="s">
        <v>124</v>
      </c>
      <c r="IHH232" s="297" t="s">
        <v>124</v>
      </c>
      <c r="IHI232" s="297" t="s">
        <v>124</v>
      </c>
      <c r="IHJ232" s="297" t="s">
        <v>124</v>
      </c>
      <c r="IHK232" s="297" t="s">
        <v>124</v>
      </c>
      <c r="IHL232" s="297" t="s">
        <v>124</v>
      </c>
      <c r="IHM232" s="297" t="s">
        <v>124</v>
      </c>
      <c r="IHN232" s="297" t="s">
        <v>124</v>
      </c>
      <c r="IHO232" s="297" t="s">
        <v>124</v>
      </c>
      <c r="IHP232" s="297" t="s">
        <v>124</v>
      </c>
      <c r="IHQ232" s="297" t="s">
        <v>124</v>
      </c>
      <c r="IHR232" s="297" t="s">
        <v>124</v>
      </c>
      <c r="IHS232" s="297" t="s">
        <v>124</v>
      </c>
      <c r="IHT232" s="297" t="s">
        <v>124</v>
      </c>
      <c r="IHU232" s="297" t="s">
        <v>124</v>
      </c>
      <c r="IHV232" s="297" t="s">
        <v>124</v>
      </c>
      <c r="IHW232" s="297" t="s">
        <v>124</v>
      </c>
      <c r="IHX232" s="297" t="s">
        <v>124</v>
      </c>
      <c r="IHY232" s="297" t="s">
        <v>124</v>
      </c>
      <c r="IHZ232" s="297" t="s">
        <v>124</v>
      </c>
      <c r="IIA232" s="297" t="s">
        <v>124</v>
      </c>
      <c r="IIB232" s="297" t="s">
        <v>124</v>
      </c>
      <c r="IIC232" s="297" t="s">
        <v>124</v>
      </c>
      <c r="IID232" s="297" t="s">
        <v>124</v>
      </c>
      <c r="IIE232" s="297" t="s">
        <v>124</v>
      </c>
      <c r="IIF232" s="297" t="s">
        <v>124</v>
      </c>
      <c r="IIG232" s="297" t="s">
        <v>124</v>
      </c>
      <c r="IIH232" s="297" t="s">
        <v>124</v>
      </c>
      <c r="III232" s="297" t="s">
        <v>124</v>
      </c>
      <c r="IIJ232" s="297" t="s">
        <v>124</v>
      </c>
      <c r="IIK232" s="297" t="s">
        <v>124</v>
      </c>
      <c r="IIL232" s="297" t="s">
        <v>124</v>
      </c>
      <c r="IIM232" s="297" t="s">
        <v>124</v>
      </c>
      <c r="IIN232" s="297" t="s">
        <v>124</v>
      </c>
      <c r="IIO232" s="297" t="s">
        <v>124</v>
      </c>
      <c r="IIP232" s="297" t="s">
        <v>124</v>
      </c>
      <c r="IIQ232" s="297" t="s">
        <v>124</v>
      </c>
      <c r="IIR232" s="297" t="s">
        <v>124</v>
      </c>
      <c r="IIS232" s="297" t="s">
        <v>124</v>
      </c>
      <c r="IIT232" s="297" t="s">
        <v>124</v>
      </c>
      <c r="IIU232" s="297" t="s">
        <v>124</v>
      </c>
      <c r="IIV232" s="297" t="s">
        <v>124</v>
      </c>
      <c r="IIW232" s="297" t="s">
        <v>124</v>
      </c>
      <c r="IIX232" s="297" t="s">
        <v>124</v>
      </c>
      <c r="IIY232" s="297" t="s">
        <v>124</v>
      </c>
      <c r="IIZ232" s="297" t="s">
        <v>124</v>
      </c>
      <c r="IJA232" s="297" t="s">
        <v>124</v>
      </c>
      <c r="IJB232" s="297" t="s">
        <v>124</v>
      </c>
      <c r="IJC232" s="297" t="s">
        <v>124</v>
      </c>
      <c r="IJD232" s="297" t="s">
        <v>124</v>
      </c>
      <c r="IJE232" s="297" t="s">
        <v>124</v>
      </c>
      <c r="IJF232" s="297" t="s">
        <v>124</v>
      </c>
      <c r="IJG232" s="297" t="s">
        <v>124</v>
      </c>
      <c r="IJH232" s="297" t="s">
        <v>124</v>
      </c>
      <c r="IJI232" s="297" t="s">
        <v>124</v>
      </c>
      <c r="IJJ232" s="297" t="s">
        <v>124</v>
      </c>
      <c r="IJK232" s="297" t="s">
        <v>124</v>
      </c>
      <c r="IJL232" s="297" t="s">
        <v>124</v>
      </c>
      <c r="IJM232" s="297" t="s">
        <v>124</v>
      </c>
      <c r="IJN232" s="297" t="s">
        <v>124</v>
      </c>
      <c r="IJO232" s="297" t="s">
        <v>124</v>
      </c>
      <c r="IJP232" s="297" t="s">
        <v>124</v>
      </c>
      <c r="IJQ232" s="297" t="s">
        <v>124</v>
      </c>
      <c r="IJR232" s="297" t="s">
        <v>124</v>
      </c>
      <c r="IJS232" s="297" t="s">
        <v>124</v>
      </c>
      <c r="IJT232" s="297" t="s">
        <v>124</v>
      </c>
      <c r="IJU232" s="297" t="s">
        <v>124</v>
      </c>
      <c r="IJV232" s="297" t="s">
        <v>124</v>
      </c>
      <c r="IJW232" s="297" t="s">
        <v>124</v>
      </c>
      <c r="IJX232" s="297" t="s">
        <v>124</v>
      </c>
      <c r="IJY232" s="297" t="s">
        <v>124</v>
      </c>
      <c r="IJZ232" s="297" t="s">
        <v>124</v>
      </c>
      <c r="IKA232" s="297" t="s">
        <v>124</v>
      </c>
      <c r="IKB232" s="297" t="s">
        <v>124</v>
      </c>
      <c r="IKC232" s="297" t="s">
        <v>124</v>
      </c>
      <c r="IKD232" s="297" t="s">
        <v>124</v>
      </c>
      <c r="IKE232" s="297" t="s">
        <v>124</v>
      </c>
      <c r="IKF232" s="297" t="s">
        <v>124</v>
      </c>
      <c r="IKG232" s="297" t="s">
        <v>124</v>
      </c>
      <c r="IKH232" s="297" t="s">
        <v>124</v>
      </c>
      <c r="IKI232" s="297" t="s">
        <v>124</v>
      </c>
      <c r="IKJ232" s="297" t="s">
        <v>124</v>
      </c>
      <c r="IKK232" s="297" t="s">
        <v>124</v>
      </c>
      <c r="IKL232" s="297" t="s">
        <v>124</v>
      </c>
      <c r="IKM232" s="297" t="s">
        <v>124</v>
      </c>
      <c r="IKN232" s="297" t="s">
        <v>124</v>
      </c>
      <c r="IKO232" s="297" t="s">
        <v>124</v>
      </c>
      <c r="IKP232" s="297" t="s">
        <v>124</v>
      </c>
      <c r="IKQ232" s="297" t="s">
        <v>124</v>
      </c>
      <c r="IKR232" s="297" t="s">
        <v>124</v>
      </c>
      <c r="IKS232" s="297" t="s">
        <v>124</v>
      </c>
      <c r="IKT232" s="297" t="s">
        <v>124</v>
      </c>
      <c r="IKU232" s="297" t="s">
        <v>124</v>
      </c>
      <c r="IKV232" s="297" t="s">
        <v>124</v>
      </c>
      <c r="IKW232" s="297" t="s">
        <v>124</v>
      </c>
      <c r="IKX232" s="297" t="s">
        <v>124</v>
      </c>
      <c r="IKY232" s="297" t="s">
        <v>124</v>
      </c>
      <c r="IKZ232" s="297" t="s">
        <v>124</v>
      </c>
      <c r="ILA232" s="297" t="s">
        <v>124</v>
      </c>
      <c r="ILB232" s="297" t="s">
        <v>124</v>
      </c>
      <c r="ILC232" s="297" t="s">
        <v>124</v>
      </c>
      <c r="ILD232" s="297" t="s">
        <v>124</v>
      </c>
      <c r="ILE232" s="297" t="s">
        <v>124</v>
      </c>
      <c r="ILF232" s="297" t="s">
        <v>124</v>
      </c>
      <c r="ILG232" s="297" t="s">
        <v>124</v>
      </c>
      <c r="ILH232" s="297" t="s">
        <v>124</v>
      </c>
      <c r="ILI232" s="297" t="s">
        <v>124</v>
      </c>
      <c r="ILJ232" s="297" t="s">
        <v>124</v>
      </c>
      <c r="ILK232" s="297" t="s">
        <v>124</v>
      </c>
      <c r="ILL232" s="297" t="s">
        <v>124</v>
      </c>
      <c r="ILM232" s="297" t="s">
        <v>124</v>
      </c>
      <c r="ILN232" s="297" t="s">
        <v>124</v>
      </c>
      <c r="ILO232" s="297" t="s">
        <v>124</v>
      </c>
      <c r="ILP232" s="297" t="s">
        <v>124</v>
      </c>
      <c r="ILQ232" s="297" t="s">
        <v>124</v>
      </c>
      <c r="ILR232" s="297" t="s">
        <v>124</v>
      </c>
      <c r="ILS232" s="297" t="s">
        <v>124</v>
      </c>
      <c r="ILT232" s="297" t="s">
        <v>124</v>
      </c>
      <c r="ILU232" s="297" t="s">
        <v>124</v>
      </c>
      <c r="ILV232" s="297" t="s">
        <v>124</v>
      </c>
      <c r="ILW232" s="297" t="s">
        <v>124</v>
      </c>
      <c r="ILX232" s="297" t="s">
        <v>124</v>
      </c>
      <c r="ILY232" s="297" t="s">
        <v>124</v>
      </c>
      <c r="ILZ232" s="297" t="s">
        <v>124</v>
      </c>
      <c r="IMA232" s="297" t="s">
        <v>124</v>
      </c>
      <c r="IMB232" s="297" t="s">
        <v>124</v>
      </c>
      <c r="IMC232" s="297" t="s">
        <v>124</v>
      </c>
      <c r="IMD232" s="297" t="s">
        <v>124</v>
      </c>
      <c r="IME232" s="297" t="s">
        <v>124</v>
      </c>
      <c r="IMF232" s="297" t="s">
        <v>124</v>
      </c>
      <c r="IMG232" s="297" t="s">
        <v>124</v>
      </c>
      <c r="IMH232" s="297" t="s">
        <v>124</v>
      </c>
      <c r="IMI232" s="297" t="s">
        <v>124</v>
      </c>
      <c r="IMJ232" s="297" t="s">
        <v>124</v>
      </c>
      <c r="IMK232" s="297" t="s">
        <v>124</v>
      </c>
      <c r="IML232" s="297" t="s">
        <v>124</v>
      </c>
      <c r="IMM232" s="297" t="s">
        <v>124</v>
      </c>
      <c r="IMN232" s="297" t="s">
        <v>124</v>
      </c>
      <c r="IMO232" s="297" t="s">
        <v>124</v>
      </c>
      <c r="IMP232" s="297" t="s">
        <v>124</v>
      </c>
      <c r="IMQ232" s="297" t="s">
        <v>124</v>
      </c>
      <c r="IMR232" s="297" t="s">
        <v>124</v>
      </c>
      <c r="IMS232" s="297" t="s">
        <v>124</v>
      </c>
      <c r="IMT232" s="297" t="s">
        <v>124</v>
      </c>
      <c r="IMU232" s="297" t="s">
        <v>124</v>
      </c>
      <c r="IMV232" s="297" t="s">
        <v>124</v>
      </c>
      <c r="IMW232" s="297" t="s">
        <v>124</v>
      </c>
      <c r="IMX232" s="297" t="s">
        <v>124</v>
      </c>
      <c r="IMY232" s="297" t="s">
        <v>124</v>
      </c>
      <c r="IMZ232" s="297" t="s">
        <v>124</v>
      </c>
      <c r="INA232" s="297" t="s">
        <v>124</v>
      </c>
      <c r="INB232" s="297" t="s">
        <v>124</v>
      </c>
      <c r="INC232" s="297" t="s">
        <v>124</v>
      </c>
      <c r="IND232" s="297" t="s">
        <v>124</v>
      </c>
      <c r="INE232" s="297" t="s">
        <v>124</v>
      </c>
      <c r="INF232" s="297" t="s">
        <v>124</v>
      </c>
      <c r="ING232" s="297" t="s">
        <v>124</v>
      </c>
      <c r="INH232" s="297" t="s">
        <v>124</v>
      </c>
      <c r="INI232" s="297" t="s">
        <v>124</v>
      </c>
      <c r="INJ232" s="297" t="s">
        <v>124</v>
      </c>
      <c r="INK232" s="297" t="s">
        <v>124</v>
      </c>
      <c r="INL232" s="297" t="s">
        <v>124</v>
      </c>
      <c r="INM232" s="297" t="s">
        <v>124</v>
      </c>
      <c r="INN232" s="297" t="s">
        <v>124</v>
      </c>
      <c r="INO232" s="297" t="s">
        <v>124</v>
      </c>
      <c r="INP232" s="297" t="s">
        <v>124</v>
      </c>
      <c r="INQ232" s="297" t="s">
        <v>124</v>
      </c>
      <c r="INR232" s="297" t="s">
        <v>124</v>
      </c>
      <c r="INS232" s="297" t="s">
        <v>124</v>
      </c>
      <c r="INT232" s="297" t="s">
        <v>124</v>
      </c>
      <c r="INU232" s="297" t="s">
        <v>124</v>
      </c>
      <c r="INV232" s="297" t="s">
        <v>124</v>
      </c>
      <c r="INW232" s="297" t="s">
        <v>124</v>
      </c>
      <c r="INX232" s="297" t="s">
        <v>124</v>
      </c>
      <c r="INY232" s="297" t="s">
        <v>124</v>
      </c>
      <c r="INZ232" s="297" t="s">
        <v>124</v>
      </c>
      <c r="IOA232" s="297" t="s">
        <v>124</v>
      </c>
      <c r="IOB232" s="297" t="s">
        <v>124</v>
      </c>
      <c r="IOC232" s="297" t="s">
        <v>124</v>
      </c>
      <c r="IOD232" s="297" t="s">
        <v>124</v>
      </c>
      <c r="IOE232" s="297" t="s">
        <v>124</v>
      </c>
      <c r="IOF232" s="297" t="s">
        <v>124</v>
      </c>
      <c r="IOG232" s="297" t="s">
        <v>124</v>
      </c>
      <c r="IOH232" s="297" t="s">
        <v>124</v>
      </c>
      <c r="IOI232" s="297" t="s">
        <v>124</v>
      </c>
      <c r="IOJ232" s="297" t="s">
        <v>124</v>
      </c>
      <c r="IOK232" s="297" t="s">
        <v>124</v>
      </c>
      <c r="IOL232" s="297" t="s">
        <v>124</v>
      </c>
      <c r="IOM232" s="297" t="s">
        <v>124</v>
      </c>
      <c r="ION232" s="297" t="s">
        <v>124</v>
      </c>
      <c r="IOO232" s="297" t="s">
        <v>124</v>
      </c>
      <c r="IOP232" s="297" t="s">
        <v>124</v>
      </c>
      <c r="IOQ232" s="297" t="s">
        <v>124</v>
      </c>
      <c r="IOR232" s="297" t="s">
        <v>124</v>
      </c>
      <c r="IOS232" s="297" t="s">
        <v>124</v>
      </c>
      <c r="IOT232" s="297" t="s">
        <v>124</v>
      </c>
      <c r="IOU232" s="297" t="s">
        <v>124</v>
      </c>
      <c r="IOV232" s="297" t="s">
        <v>124</v>
      </c>
      <c r="IOW232" s="297" t="s">
        <v>124</v>
      </c>
      <c r="IOX232" s="297" t="s">
        <v>124</v>
      </c>
      <c r="IOY232" s="297" t="s">
        <v>124</v>
      </c>
      <c r="IOZ232" s="297" t="s">
        <v>124</v>
      </c>
      <c r="IPA232" s="297" t="s">
        <v>124</v>
      </c>
      <c r="IPB232" s="297" t="s">
        <v>124</v>
      </c>
      <c r="IPC232" s="297" t="s">
        <v>124</v>
      </c>
      <c r="IPD232" s="297" t="s">
        <v>124</v>
      </c>
      <c r="IPE232" s="297" t="s">
        <v>124</v>
      </c>
      <c r="IPF232" s="297" t="s">
        <v>124</v>
      </c>
      <c r="IPG232" s="297" t="s">
        <v>124</v>
      </c>
      <c r="IPH232" s="297" t="s">
        <v>124</v>
      </c>
      <c r="IPI232" s="297" t="s">
        <v>124</v>
      </c>
      <c r="IPJ232" s="297" t="s">
        <v>124</v>
      </c>
      <c r="IPK232" s="297" t="s">
        <v>124</v>
      </c>
      <c r="IPL232" s="297" t="s">
        <v>124</v>
      </c>
      <c r="IPM232" s="297" t="s">
        <v>124</v>
      </c>
      <c r="IPN232" s="297" t="s">
        <v>124</v>
      </c>
      <c r="IPO232" s="297" t="s">
        <v>124</v>
      </c>
      <c r="IPP232" s="297" t="s">
        <v>124</v>
      </c>
      <c r="IPQ232" s="297" t="s">
        <v>124</v>
      </c>
      <c r="IPR232" s="297" t="s">
        <v>124</v>
      </c>
      <c r="IPS232" s="297" t="s">
        <v>124</v>
      </c>
      <c r="IPT232" s="297" t="s">
        <v>124</v>
      </c>
      <c r="IPU232" s="297" t="s">
        <v>124</v>
      </c>
      <c r="IPV232" s="297" t="s">
        <v>124</v>
      </c>
      <c r="IPW232" s="297" t="s">
        <v>124</v>
      </c>
      <c r="IPX232" s="297" t="s">
        <v>124</v>
      </c>
      <c r="IPY232" s="297" t="s">
        <v>124</v>
      </c>
      <c r="IPZ232" s="297" t="s">
        <v>124</v>
      </c>
      <c r="IQA232" s="297" t="s">
        <v>124</v>
      </c>
      <c r="IQB232" s="297" t="s">
        <v>124</v>
      </c>
      <c r="IQC232" s="297" t="s">
        <v>124</v>
      </c>
      <c r="IQD232" s="297" t="s">
        <v>124</v>
      </c>
      <c r="IQE232" s="297" t="s">
        <v>124</v>
      </c>
      <c r="IQF232" s="297" t="s">
        <v>124</v>
      </c>
      <c r="IQG232" s="297" t="s">
        <v>124</v>
      </c>
      <c r="IQH232" s="297" t="s">
        <v>124</v>
      </c>
      <c r="IQI232" s="297" t="s">
        <v>124</v>
      </c>
      <c r="IQJ232" s="297" t="s">
        <v>124</v>
      </c>
      <c r="IQK232" s="297" t="s">
        <v>124</v>
      </c>
      <c r="IQL232" s="297" t="s">
        <v>124</v>
      </c>
      <c r="IQM232" s="297" t="s">
        <v>124</v>
      </c>
      <c r="IQN232" s="297" t="s">
        <v>124</v>
      </c>
      <c r="IQO232" s="297" t="s">
        <v>124</v>
      </c>
      <c r="IQP232" s="297" t="s">
        <v>124</v>
      </c>
      <c r="IQQ232" s="297" t="s">
        <v>124</v>
      </c>
      <c r="IQR232" s="297" t="s">
        <v>124</v>
      </c>
      <c r="IQS232" s="297" t="s">
        <v>124</v>
      </c>
      <c r="IQT232" s="297" t="s">
        <v>124</v>
      </c>
      <c r="IQU232" s="297" t="s">
        <v>124</v>
      </c>
      <c r="IQV232" s="297" t="s">
        <v>124</v>
      </c>
      <c r="IQW232" s="297" t="s">
        <v>124</v>
      </c>
      <c r="IQX232" s="297" t="s">
        <v>124</v>
      </c>
      <c r="IQY232" s="297" t="s">
        <v>124</v>
      </c>
      <c r="IQZ232" s="297" t="s">
        <v>124</v>
      </c>
      <c r="IRA232" s="297" t="s">
        <v>124</v>
      </c>
      <c r="IRB232" s="297" t="s">
        <v>124</v>
      </c>
      <c r="IRC232" s="297" t="s">
        <v>124</v>
      </c>
      <c r="IRD232" s="297" t="s">
        <v>124</v>
      </c>
      <c r="IRE232" s="297" t="s">
        <v>124</v>
      </c>
      <c r="IRF232" s="297" t="s">
        <v>124</v>
      </c>
      <c r="IRG232" s="297" t="s">
        <v>124</v>
      </c>
      <c r="IRH232" s="297" t="s">
        <v>124</v>
      </c>
      <c r="IRI232" s="297" t="s">
        <v>124</v>
      </c>
      <c r="IRJ232" s="297" t="s">
        <v>124</v>
      </c>
      <c r="IRK232" s="297" t="s">
        <v>124</v>
      </c>
      <c r="IRL232" s="297" t="s">
        <v>124</v>
      </c>
      <c r="IRM232" s="297" t="s">
        <v>124</v>
      </c>
      <c r="IRN232" s="297" t="s">
        <v>124</v>
      </c>
      <c r="IRO232" s="297" t="s">
        <v>124</v>
      </c>
      <c r="IRP232" s="297" t="s">
        <v>124</v>
      </c>
      <c r="IRQ232" s="297" t="s">
        <v>124</v>
      </c>
      <c r="IRR232" s="297" t="s">
        <v>124</v>
      </c>
      <c r="IRS232" s="297" t="s">
        <v>124</v>
      </c>
      <c r="IRT232" s="297" t="s">
        <v>124</v>
      </c>
      <c r="IRU232" s="297" t="s">
        <v>124</v>
      </c>
      <c r="IRV232" s="297" t="s">
        <v>124</v>
      </c>
      <c r="IRW232" s="297" t="s">
        <v>124</v>
      </c>
      <c r="IRX232" s="297" t="s">
        <v>124</v>
      </c>
      <c r="IRY232" s="297" t="s">
        <v>124</v>
      </c>
      <c r="IRZ232" s="297" t="s">
        <v>124</v>
      </c>
      <c r="ISA232" s="297" t="s">
        <v>124</v>
      </c>
      <c r="ISB232" s="297" t="s">
        <v>124</v>
      </c>
      <c r="ISC232" s="297" t="s">
        <v>124</v>
      </c>
      <c r="ISD232" s="297" t="s">
        <v>124</v>
      </c>
      <c r="ISE232" s="297" t="s">
        <v>124</v>
      </c>
      <c r="ISF232" s="297" t="s">
        <v>124</v>
      </c>
      <c r="ISG232" s="297" t="s">
        <v>124</v>
      </c>
      <c r="ISH232" s="297" t="s">
        <v>124</v>
      </c>
      <c r="ISI232" s="297" t="s">
        <v>124</v>
      </c>
      <c r="ISJ232" s="297" t="s">
        <v>124</v>
      </c>
      <c r="ISK232" s="297" t="s">
        <v>124</v>
      </c>
      <c r="ISL232" s="297" t="s">
        <v>124</v>
      </c>
      <c r="ISM232" s="297" t="s">
        <v>124</v>
      </c>
      <c r="ISN232" s="297" t="s">
        <v>124</v>
      </c>
      <c r="ISO232" s="297" t="s">
        <v>124</v>
      </c>
      <c r="ISP232" s="297" t="s">
        <v>124</v>
      </c>
      <c r="ISQ232" s="297" t="s">
        <v>124</v>
      </c>
      <c r="ISR232" s="297" t="s">
        <v>124</v>
      </c>
      <c r="ISS232" s="297" t="s">
        <v>124</v>
      </c>
      <c r="IST232" s="297" t="s">
        <v>124</v>
      </c>
      <c r="ISU232" s="297" t="s">
        <v>124</v>
      </c>
      <c r="ISV232" s="297" t="s">
        <v>124</v>
      </c>
      <c r="ISW232" s="297" t="s">
        <v>124</v>
      </c>
      <c r="ISX232" s="297" t="s">
        <v>124</v>
      </c>
      <c r="ISY232" s="297" t="s">
        <v>124</v>
      </c>
      <c r="ISZ232" s="297" t="s">
        <v>124</v>
      </c>
      <c r="ITA232" s="297" t="s">
        <v>124</v>
      </c>
      <c r="ITB232" s="297" t="s">
        <v>124</v>
      </c>
      <c r="ITC232" s="297" t="s">
        <v>124</v>
      </c>
      <c r="ITD232" s="297" t="s">
        <v>124</v>
      </c>
      <c r="ITE232" s="297" t="s">
        <v>124</v>
      </c>
      <c r="ITF232" s="297" t="s">
        <v>124</v>
      </c>
      <c r="ITG232" s="297" t="s">
        <v>124</v>
      </c>
      <c r="ITH232" s="297" t="s">
        <v>124</v>
      </c>
      <c r="ITI232" s="297" t="s">
        <v>124</v>
      </c>
      <c r="ITJ232" s="297" t="s">
        <v>124</v>
      </c>
      <c r="ITK232" s="297" t="s">
        <v>124</v>
      </c>
      <c r="ITL232" s="297" t="s">
        <v>124</v>
      </c>
      <c r="ITM232" s="297" t="s">
        <v>124</v>
      </c>
      <c r="ITN232" s="297" t="s">
        <v>124</v>
      </c>
      <c r="ITO232" s="297" t="s">
        <v>124</v>
      </c>
      <c r="ITP232" s="297" t="s">
        <v>124</v>
      </c>
      <c r="ITQ232" s="297" t="s">
        <v>124</v>
      </c>
      <c r="ITR232" s="297" t="s">
        <v>124</v>
      </c>
      <c r="ITS232" s="297" t="s">
        <v>124</v>
      </c>
      <c r="ITT232" s="297" t="s">
        <v>124</v>
      </c>
      <c r="ITU232" s="297" t="s">
        <v>124</v>
      </c>
      <c r="ITV232" s="297" t="s">
        <v>124</v>
      </c>
      <c r="ITW232" s="297" t="s">
        <v>124</v>
      </c>
      <c r="ITX232" s="297" t="s">
        <v>124</v>
      </c>
      <c r="ITY232" s="297" t="s">
        <v>124</v>
      </c>
      <c r="ITZ232" s="297" t="s">
        <v>124</v>
      </c>
      <c r="IUA232" s="297" t="s">
        <v>124</v>
      </c>
      <c r="IUB232" s="297" t="s">
        <v>124</v>
      </c>
      <c r="IUC232" s="297" t="s">
        <v>124</v>
      </c>
      <c r="IUD232" s="297" t="s">
        <v>124</v>
      </c>
      <c r="IUE232" s="297" t="s">
        <v>124</v>
      </c>
      <c r="IUF232" s="297" t="s">
        <v>124</v>
      </c>
      <c r="IUG232" s="297" t="s">
        <v>124</v>
      </c>
      <c r="IUH232" s="297" t="s">
        <v>124</v>
      </c>
      <c r="IUI232" s="297" t="s">
        <v>124</v>
      </c>
      <c r="IUJ232" s="297" t="s">
        <v>124</v>
      </c>
      <c r="IUK232" s="297" t="s">
        <v>124</v>
      </c>
      <c r="IUL232" s="297" t="s">
        <v>124</v>
      </c>
      <c r="IUM232" s="297" t="s">
        <v>124</v>
      </c>
      <c r="IUN232" s="297" t="s">
        <v>124</v>
      </c>
      <c r="IUO232" s="297" t="s">
        <v>124</v>
      </c>
      <c r="IUP232" s="297" t="s">
        <v>124</v>
      </c>
      <c r="IUQ232" s="297" t="s">
        <v>124</v>
      </c>
      <c r="IUR232" s="297" t="s">
        <v>124</v>
      </c>
      <c r="IUS232" s="297" t="s">
        <v>124</v>
      </c>
      <c r="IUT232" s="297" t="s">
        <v>124</v>
      </c>
      <c r="IUU232" s="297" t="s">
        <v>124</v>
      </c>
      <c r="IUV232" s="297" t="s">
        <v>124</v>
      </c>
      <c r="IUW232" s="297" t="s">
        <v>124</v>
      </c>
      <c r="IUX232" s="297" t="s">
        <v>124</v>
      </c>
      <c r="IUY232" s="297" t="s">
        <v>124</v>
      </c>
      <c r="IUZ232" s="297" t="s">
        <v>124</v>
      </c>
      <c r="IVA232" s="297" t="s">
        <v>124</v>
      </c>
      <c r="IVB232" s="297" t="s">
        <v>124</v>
      </c>
      <c r="IVC232" s="297" t="s">
        <v>124</v>
      </c>
      <c r="IVD232" s="297" t="s">
        <v>124</v>
      </c>
      <c r="IVE232" s="297" t="s">
        <v>124</v>
      </c>
      <c r="IVF232" s="297" t="s">
        <v>124</v>
      </c>
      <c r="IVG232" s="297" t="s">
        <v>124</v>
      </c>
      <c r="IVH232" s="297" t="s">
        <v>124</v>
      </c>
      <c r="IVI232" s="297" t="s">
        <v>124</v>
      </c>
      <c r="IVJ232" s="297" t="s">
        <v>124</v>
      </c>
      <c r="IVK232" s="297" t="s">
        <v>124</v>
      </c>
      <c r="IVL232" s="297" t="s">
        <v>124</v>
      </c>
      <c r="IVM232" s="297" t="s">
        <v>124</v>
      </c>
      <c r="IVN232" s="297" t="s">
        <v>124</v>
      </c>
      <c r="IVO232" s="297" t="s">
        <v>124</v>
      </c>
      <c r="IVP232" s="297" t="s">
        <v>124</v>
      </c>
      <c r="IVQ232" s="297" t="s">
        <v>124</v>
      </c>
      <c r="IVR232" s="297" t="s">
        <v>124</v>
      </c>
      <c r="IVS232" s="297" t="s">
        <v>124</v>
      </c>
      <c r="IVT232" s="297" t="s">
        <v>124</v>
      </c>
      <c r="IVU232" s="297" t="s">
        <v>124</v>
      </c>
      <c r="IVV232" s="297" t="s">
        <v>124</v>
      </c>
      <c r="IVW232" s="297" t="s">
        <v>124</v>
      </c>
      <c r="IVX232" s="297" t="s">
        <v>124</v>
      </c>
      <c r="IVY232" s="297" t="s">
        <v>124</v>
      </c>
      <c r="IVZ232" s="297" t="s">
        <v>124</v>
      </c>
      <c r="IWA232" s="297" t="s">
        <v>124</v>
      </c>
      <c r="IWB232" s="297" t="s">
        <v>124</v>
      </c>
      <c r="IWC232" s="297" t="s">
        <v>124</v>
      </c>
      <c r="IWD232" s="297" t="s">
        <v>124</v>
      </c>
      <c r="IWE232" s="297" t="s">
        <v>124</v>
      </c>
      <c r="IWF232" s="297" t="s">
        <v>124</v>
      </c>
      <c r="IWG232" s="297" t="s">
        <v>124</v>
      </c>
      <c r="IWH232" s="297" t="s">
        <v>124</v>
      </c>
      <c r="IWI232" s="297" t="s">
        <v>124</v>
      </c>
      <c r="IWJ232" s="297" t="s">
        <v>124</v>
      </c>
      <c r="IWK232" s="297" t="s">
        <v>124</v>
      </c>
      <c r="IWL232" s="297" t="s">
        <v>124</v>
      </c>
      <c r="IWM232" s="297" t="s">
        <v>124</v>
      </c>
      <c r="IWN232" s="297" t="s">
        <v>124</v>
      </c>
      <c r="IWO232" s="297" t="s">
        <v>124</v>
      </c>
      <c r="IWP232" s="297" t="s">
        <v>124</v>
      </c>
      <c r="IWQ232" s="297" t="s">
        <v>124</v>
      </c>
      <c r="IWR232" s="297" t="s">
        <v>124</v>
      </c>
      <c r="IWS232" s="297" t="s">
        <v>124</v>
      </c>
      <c r="IWT232" s="297" t="s">
        <v>124</v>
      </c>
      <c r="IWU232" s="297" t="s">
        <v>124</v>
      </c>
      <c r="IWV232" s="297" t="s">
        <v>124</v>
      </c>
      <c r="IWW232" s="297" t="s">
        <v>124</v>
      </c>
      <c r="IWX232" s="297" t="s">
        <v>124</v>
      </c>
      <c r="IWY232" s="297" t="s">
        <v>124</v>
      </c>
      <c r="IWZ232" s="297" t="s">
        <v>124</v>
      </c>
      <c r="IXA232" s="297" t="s">
        <v>124</v>
      </c>
      <c r="IXB232" s="297" t="s">
        <v>124</v>
      </c>
      <c r="IXC232" s="297" t="s">
        <v>124</v>
      </c>
      <c r="IXD232" s="297" t="s">
        <v>124</v>
      </c>
      <c r="IXE232" s="297" t="s">
        <v>124</v>
      </c>
      <c r="IXF232" s="297" t="s">
        <v>124</v>
      </c>
      <c r="IXG232" s="297" t="s">
        <v>124</v>
      </c>
      <c r="IXH232" s="297" t="s">
        <v>124</v>
      </c>
      <c r="IXI232" s="297" t="s">
        <v>124</v>
      </c>
      <c r="IXJ232" s="297" t="s">
        <v>124</v>
      </c>
      <c r="IXK232" s="297" t="s">
        <v>124</v>
      </c>
      <c r="IXL232" s="297" t="s">
        <v>124</v>
      </c>
      <c r="IXM232" s="297" t="s">
        <v>124</v>
      </c>
      <c r="IXN232" s="297" t="s">
        <v>124</v>
      </c>
      <c r="IXO232" s="297" t="s">
        <v>124</v>
      </c>
      <c r="IXP232" s="297" t="s">
        <v>124</v>
      </c>
      <c r="IXQ232" s="297" t="s">
        <v>124</v>
      </c>
      <c r="IXR232" s="297" t="s">
        <v>124</v>
      </c>
      <c r="IXS232" s="297" t="s">
        <v>124</v>
      </c>
      <c r="IXT232" s="297" t="s">
        <v>124</v>
      </c>
      <c r="IXU232" s="297" t="s">
        <v>124</v>
      </c>
      <c r="IXV232" s="297" t="s">
        <v>124</v>
      </c>
      <c r="IXW232" s="297" t="s">
        <v>124</v>
      </c>
      <c r="IXX232" s="297" t="s">
        <v>124</v>
      </c>
      <c r="IXY232" s="297" t="s">
        <v>124</v>
      </c>
      <c r="IXZ232" s="297" t="s">
        <v>124</v>
      </c>
      <c r="IYA232" s="297" t="s">
        <v>124</v>
      </c>
      <c r="IYB232" s="297" t="s">
        <v>124</v>
      </c>
      <c r="IYC232" s="297" t="s">
        <v>124</v>
      </c>
      <c r="IYD232" s="297" t="s">
        <v>124</v>
      </c>
      <c r="IYE232" s="297" t="s">
        <v>124</v>
      </c>
      <c r="IYF232" s="297" t="s">
        <v>124</v>
      </c>
      <c r="IYG232" s="297" t="s">
        <v>124</v>
      </c>
      <c r="IYH232" s="297" t="s">
        <v>124</v>
      </c>
      <c r="IYI232" s="297" t="s">
        <v>124</v>
      </c>
      <c r="IYJ232" s="297" t="s">
        <v>124</v>
      </c>
      <c r="IYK232" s="297" t="s">
        <v>124</v>
      </c>
      <c r="IYL232" s="297" t="s">
        <v>124</v>
      </c>
      <c r="IYM232" s="297" t="s">
        <v>124</v>
      </c>
      <c r="IYN232" s="297" t="s">
        <v>124</v>
      </c>
      <c r="IYO232" s="297" t="s">
        <v>124</v>
      </c>
      <c r="IYP232" s="297" t="s">
        <v>124</v>
      </c>
      <c r="IYQ232" s="297" t="s">
        <v>124</v>
      </c>
      <c r="IYR232" s="297" t="s">
        <v>124</v>
      </c>
      <c r="IYS232" s="297" t="s">
        <v>124</v>
      </c>
      <c r="IYT232" s="297" t="s">
        <v>124</v>
      </c>
      <c r="IYU232" s="297" t="s">
        <v>124</v>
      </c>
      <c r="IYV232" s="297" t="s">
        <v>124</v>
      </c>
      <c r="IYW232" s="297" t="s">
        <v>124</v>
      </c>
      <c r="IYX232" s="297" t="s">
        <v>124</v>
      </c>
      <c r="IYY232" s="297" t="s">
        <v>124</v>
      </c>
      <c r="IYZ232" s="297" t="s">
        <v>124</v>
      </c>
      <c r="IZA232" s="297" t="s">
        <v>124</v>
      </c>
      <c r="IZB232" s="297" t="s">
        <v>124</v>
      </c>
      <c r="IZC232" s="297" t="s">
        <v>124</v>
      </c>
      <c r="IZD232" s="297" t="s">
        <v>124</v>
      </c>
      <c r="IZE232" s="297" t="s">
        <v>124</v>
      </c>
      <c r="IZF232" s="297" t="s">
        <v>124</v>
      </c>
      <c r="IZG232" s="297" t="s">
        <v>124</v>
      </c>
      <c r="IZH232" s="297" t="s">
        <v>124</v>
      </c>
      <c r="IZI232" s="297" t="s">
        <v>124</v>
      </c>
      <c r="IZJ232" s="297" t="s">
        <v>124</v>
      </c>
      <c r="IZK232" s="297" t="s">
        <v>124</v>
      </c>
      <c r="IZL232" s="297" t="s">
        <v>124</v>
      </c>
      <c r="IZM232" s="297" t="s">
        <v>124</v>
      </c>
      <c r="IZN232" s="297" t="s">
        <v>124</v>
      </c>
      <c r="IZO232" s="297" t="s">
        <v>124</v>
      </c>
      <c r="IZP232" s="297" t="s">
        <v>124</v>
      </c>
      <c r="IZQ232" s="297" t="s">
        <v>124</v>
      </c>
      <c r="IZR232" s="297" t="s">
        <v>124</v>
      </c>
      <c r="IZS232" s="297" t="s">
        <v>124</v>
      </c>
      <c r="IZT232" s="297" t="s">
        <v>124</v>
      </c>
      <c r="IZU232" s="297" t="s">
        <v>124</v>
      </c>
      <c r="IZV232" s="297" t="s">
        <v>124</v>
      </c>
      <c r="IZW232" s="297" t="s">
        <v>124</v>
      </c>
      <c r="IZX232" s="297" t="s">
        <v>124</v>
      </c>
      <c r="IZY232" s="297" t="s">
        <v>124</v>
      </c>
      <c r="IZZ232" s="297" t="s">
        <v>124</v>
      </c>
      <c r="JAA232" s="297" t="s">
        <v>124</v>
      </c>
      <c r="JAB232" s="297" t="s">
        <v>124</v>
      </c>
      <c r="JAC232" s="297" t="s">
        <v>124</v>
      </c>
      <c r="JAD232" s="297" t="s">
        <v>124</v>
      </c>
      <c r="JAE232" s="297" t="s">
        <v>124</v>
      </c>
      <c r="JAF232" s="297" t="s">
        <v>124</v>
      </c>
      <c r="JAG232" s="297" t="s">
        <v>124</v>
      </c>
      <c r="JAH232" s="297" t="s">
        <v>124</v>
      </c>
      <c r="JAI232" s="297" t="s">
        <v>124</v>
      </c>
      <c r="JAJ232" s="297" t="s">
        <v>124</v>
      </c>
      <c r="JAK232" s="297" t="s">
        <v>124</v>
      </c>
      <c r="JAL232" s="297" t="s">
        <v>124</v>
      </c>
      <c r="JAM232" s="297" t="s">
        <v>124</v>
      </c>
      <c r="JAN232" s="297" t="s">
        <v>124</v>
      </c>
      <c r="JAO232" s="297" t="s">
        <v>124</v>
      </c>
      <c r="JAP232" s="297" t="s">
        <v>124</v>
      </c>
      <c r="JAQ232" s="297" t="s">
        <v>124</v>
      </c>
      <c r="JAR232" s="297" t="s">
        <v>124</v>
      </c>
      <c r="JAS232" s="297" t="s">
        <v>124</v>
      </c>
      <c r="JAT232" s="297" t="s">
        <v>124</v>
      </c>
      <c r="JAU232" s="297" t="s">
        <v>124</v>
      </c>
      <c r="JAV232" s="297" t="s">
        <v>124</v>
      </c>
      <c r="JAW232" s="297" t="s">
        <v>124</v>
      </c>
      <c r="JAX232" s="297" t="s">
        <v>124</v>
      </c>
      <c r="JAY232" s="297" t="s">
        <v>124</v>
      </c>
      <c r="JAZ232" s="297" t="s">
        <v>124</v>
      </c>
      <c r="JBA232" s="297" t="s">
        <v>124</v>
      </c>
      <c r="JBB232" s="297" t="s">
        <v>124</v>
      </c>
      <c r="JBC232" s="297" t="s">
        <v>124</v>
      </c>
      <c r="JBD232" s="297" t="s">
        <v>124</v>
      </c>
      <c r="JBE232" s="297" t="s">
        <v>124</v>
      </c>
      <c r="JBF232" s="297" t="s">
        <v>124</v>
      </c>
      <c r="JBG232" s="297" t="s">
        <v>124</v>
      </c>
      <c r="JBH232" s="297" t="s">
        <v>124</v>
      </c>
      <c r="JBI232" s="297" t="s">
        <v>124</v>
      </c>
      <c r="JBJ232" s="297" t="s">
        <v>124</v>
      </c>
      <c r="JBK232" s="297" t="s">
        <v>124</v>
      </c>
      <c r="JBL232" s="297" t="s">
        <v>124</v>
      </c>
      <c r="JBM232" s="297" t="s">
        <v>124</v>
      </c>
      <c r="JBN232" s="297" t="s">
        <v>124</v>
      </c>
      <c r="JBO232" s="297" t="s">
        <v>124</v>
      </c>
      <c r="JBP232" s="297" t="s">
        <v>124</v>
      </c>
      <c r="JBQ232" s="297" t="s">
        <v>124</v>
      </c>
      <c r="JBR232" s="297" t="s">
        <v>124</v>
      </c>
      <c r="JBS232" s="297" t="s">
        <v>124</v>
      </c>
      <c r="JBT232" s="297" t="s">
        <v>124</v>
      </c>
      <c r="JBU232" s="297" t="s">
        <v>124</v>
      </c>
      <c r="JBV232" s="297" t="s">
        <v>124</v>
      </c>
      <c r="JBW232" s="297" t="s">
        <v>124</v>
      </c>
      <c r="JBX232" s="297" t="s">
        <v>124</v>
      </c>
      <c r="JBY232" s="297" t="s">
        <v>124</v>
      </c>
      <c r="JBZ232" s="297" t="s">
        <v>124</v>
      </c>
      <c r="JCA232" s="297" t="s">
        <v>124</v>
      </c>
      <c r="JCB232" s="297" t="s">
        <v>124</v>
      </c>
      <c r="JCC232" s="297" t="s">
        <v>124</v>
      </c>
      <c r="JCD232" s="297" t="s">
        <v>124</v>
      </c>
      <c r="JCE232" s="297" t="s">
        <v>124</v>
      </c>
      <c r="JCF232" s="297" t="s">
        <v>124</v>
      </c>
      <c r="JCG232" s="297" t="s">
        <v>124</v>
      </c>
      <c r="JCH232" s="297" t="s">
        <v>124</v>
      </c>
      <c r="JCI232" s="297" t="s">
        <v>124</v>
      </c>
      <c r="JCJ232" s="297" t="s">
        <v>124</v>
      </c>
      <c r="JCK232" s="297" t="s">
        <v>124</v>
      </c>
      <c r="JCL232" s="297" t="s">
        <v>124</v>
      </c>
      <c r="JCM232" s="297" t="s">
        <v>124</v>
      </c>
      <c r="JCN232" s="297" t="s">
        <v>124</v>
      </c>
      <c r="JCO232" s="297" t="s">
        <v>124</v>
      </c>
      <c r="JCP232" s="297" t="s">
        <v>124</v>
      </c>
      <c r="JCQ232" s="297" t="s">
        <v>124</v>
      </c>
      <c r="JCR232" s="297" t="s">
        <v>124</v>
      </c>
      <c r="JCS232" s="297" t="s">
        <v>124</v>
      </c>
      <c r="JCT232" s="297" t="s">
        <v>124</v>
      </c>
      <c r="JCU232" s="297" t="s">
        <v>124</v>
      </c>
      <c r="JCV232" s="297" t="s">
        <v>124</v>
      </c>
      <c r="JCW232" s="297" t="s">
        <v>124</v>
      </c>
      <c r="JCX232" s="297" t="s">
        <v>124</v>
      </c>
      <c r="JCY232" s="297" t="s">
        <v>124</v>
      </c>
      <c r="JCZ232" s="297" t="s">
        <v>124</v>
      </c>
      <c r="JDA232" s="297" t="s">
        <v>124</v>
      </c>
      <c r="JDB232" s="297" t="s">
        <v>124</v>
      </c>
      <c r="JDC232" s="297" t="s">
        <v>124</v>
      </c>
      <c r="JDD232" s="297" t="s">
        <v>124</v>
      </c>
      <c r="JDE232" s="297" t="s">
        <v>124</v>
      </c>
      <c r="JDF232" s="297" t="s">
        <v>124</v>
      </c>
      <c r="JDG232" s="297" t="s">
        <v>124</v>
      </c>
      <c r="JDH232" s="297" t="s">
        <v>124</v>
      </c>
      <c r="JDI232" s="297" t="s">
        <v>124</v>
      </c>
      <c r="JDJ232" s="297" t="s">
        <v>124</v>
      </c>
      <c r="JDK232" s="297" t="s">
        <v>124</v>
      </c>
      <c r="JDL232" s="297" t="s">
        <v>124</v>
      </c>
      <c r="JDM232" s="297" t="s">
        <v>124</v>
      </c>
      <c r="JDN232" s="297" t="s">
        <v>124</v>
      </c>
      <c r="JDO232" s="297" t="s">
        <v>124</v>
      </c>
      <c r="JDP232" s="297" t="s">
        <v>124</v>
      </c>
      <c r="JDQ232" s="297" t="s">
        <v>124</v>
      </c>
      <c r="JDR232" s="297" t="s">
        <v>124</v>
      </c>
      <c r="JDS232" s="297" t="s">
        <v>124</v>
      </c>
      <c r="JDT232" s="297" t="s">
        <v>124</v>
      </c>
      <c r="JDU232" s="297" t="s">
        <v>124</v>
      </c>
      <c r="JDV232" s="297" t="s">
        <v>124</v>
      </c>
      <c r="JDW232" s="297" t="s">
        <v>124</v>
      </c>
      <c r="JDX232" s="297" t="s">
        <v>124</v>
      </c>
      <c r="JDY232" s="297" t="s">
        <v>124</v>
      </c>
      <c r="JDZ232" s="297" t="s">
        <v>124</v>
      </c>
      <c r="JEA232" s="297" t="s">
        <v>124</v>
      </c>
      <c r="JEB232" s="297" t="s">
        <v>124</v>
      </c>
      <c r="JEC232" s="297" t="s">
        <v>124</v>
      </c>
      <c r="JED232" s="297" t="s">
        <v>124</v>
      </c>
      <c r="JEE232" s="297" t="s">
        <v>124</v>
      </c>
      <c r="JEF232" s="297" t="s">
        <v>124</v>
      </c>
      <c r="JEG232" s="297" t="s">
        <v>124</v>
      </c>
      <c r="JEH232" s="297" t="s">
        <v>124</v>
      </c>
      <c r="JEI232" s="297" t="s">
        <v>124</v>
      </c>
      <c r="JEJ232" s="297" t="s">
        <v>124</v>
      </c>
      <c r="JEK232" s="297" t="s">
        <v>124</v>
      </c>
      <c r="JEL232" s="297" t="s">
        <v>124</v>
      </c>
      <c r="JEM232" s="297" t="s">
        <v>124</v>
      </c>
      <c r="JEN232" s="297" t="s">
        <v>124</v>
      </c>
      <c r="JEO232" s="297" t="s">
        <v>124</v>
      </c>
      <c r="JEP232" s="297" t="s">
        <v>124</v>
      </c>
      <c r="JEQ232" s="297" t="s">
        <v>124</v>
      </c>
      <c r="JER232" s="297" t="s">
        <v>124</v>
      </c>
      <c r="JES232" s="297" t="s">
        <v>124</v>
      </c>
      <c r="JET232" s="297" t="s">
        <v>124</v>
      </c>
      <c r="JEU232" s="297" t="s">
        <v>124</v>
      </c>
      <c r="JEV232" s="297" t="s">
        <v>124</v>
      </c>
      <c r="JEW232" s="297" t="s">
        <v>124</v>
      </c>
      <c r="JEX232" s="297" t="s">
        <v>124</v>
      </c>
      <c r="JEY232" s="297" t="s">
        <v>124</v>
      </c>
      <c r="JEZ232" s="297" t="s">
        <v>124</v>
      </c>
      <c r="JFA232" s="297" t="s">
        <v>124</v>
      </c>
      <c r="JFB232" s="297" t="s">
        <v>124</v>
      </c>
      <c r="JFC232" s="297" t="s">
        <v>124</v>
      </c>
      <c r="JFD232" s="297" t="s">
        <v>124</v>
      </c>
      <c r="JFE232" s="297" t="s">
        <v>124</v>
      </c>
      <c r="JFF232" s="297" t="s">
        <v>124</v>
      </c>
      <c r="JFG232" s="297" t="s">
        <v>124</v>
      </c>
      <c r="JFH232" s="297" t="s">
        <v>124</v>
      </c>
      <c r="JFI232" s="297" t="s">
        <v>124</v>
      </c>
      <c r="JFJ232" s="297" t="s">
        <v>124</v>
      </c>
      <c r="JFK232" s="297" t="s">
        <v>124</v>
      </c>
      <c r="JFL232" s="297" t="s">
        <v>124</v>
      </c>
      <c r="JFM232" s="297" t="s">
        <v>124</v>
      </c>
      <c r="JFN232" s="297" t="s">
        <v>124</v>
      </c>
      <c r="JFO232" s="297" t="s">
        <v>124</v>
      </c>
      <c r="JFP232" s="297" t="s">
        <v>124</v>
      </c>
      <c r="JFQ232" s="297" t="s">
        <v>124</v>
      </c>
      <c r="JFR232" s="297" t="s">
        <v>124</v>
      </c>
      <c r="JFS232" s="297" t="s">
        <v>124</v>
      </c>
      <c r="JFT232" s="297" t="s">
        <v>124</v>
      </c>
      <c r="JFU232" s="297" t="s">
        <v>124</v>
      </c>
      <c r="JFV232" s="297" t="s">
        <v>124</v>
      </c>
      <c r="JFW232" s="297" t="s">
        <v>124</v>
      </c>
      <c r="JFX232" s="297" t="s">
        <v>124</v>
      </c>
      <c r="JFY232" s="297" t="s">
        <v>124</v>
      </c>
      <c r="JFZ232" s="297" t="s">
        <v>124</v>
      </c>
      <c r="JGA232" s="297" t="s">
        <v>124</v>
      </c>
      <c r="JGB232" s="297" t="s">
        <v>124</v>
      </c>
      <c r="JGC232" s="297" t="s">
        <v>124</v>
      </c>
      <c r="JGD232" s="297" t="s">
        <v>124</v>
      </c>
      <c r="JGE232" s="297" t="s">
        <v>124</v>
      </c>
      <c r="JGF232" s="297" t="s">
        <v>124</v>
      </c>
      <c r="JGG232" s="297" t="s">
        <v>124</v>
      </c>
      <c r="JGH232" s="297" t="s">
        <v>124</v>
      </c>
      <c r="JGI232" s="297" t="s">
        <v>124</v>
      </c>
      <c r="JGJ232" s="297" t="s">
        <v>124</v>
      </c>
      <c r="JGK232" s="297" t="s">
        <v>124</v>
      </c>
      <c r="JGL232" s="297" t="s">
        <v>124</v>
      </c>
      <c r="JGM232" s="297" t="s">
        <v>124</v>
      </c>
      <c r="JGN232" s="297" t="s">
        <v>124</v>
      </c>
      <c r="JGO232" s="297" t="s">
        <v>124</v>
      </c>
      <c r="JGP232" s="297" t="s">
        <v>124</v>
      </c>
      <c r="JGQ232" s="297" t="s">
        <v>124</v>
      </c>
      <c r="JGR232" s="297" t="s">
        <v>124</v>
      </c>
      <c r="JGS232" s="297" t="s">
        <v>124</v>
      </c>
      <c r="JGT232" s="297" t="s">
        <v>124</v>
      </c>
      <c r="JGU232" s="297" t="s">
        <v>124</v>
      </c>
      <c r="JGV232" s="297" t="s">
        <v>124</v>
      </c>
      <c r="JGW232" s="297" t="s">
        <v>124</v>
      </c>
      <c r="JGX232" s="297" t="s">
        <v>124</v>
      </c>
      <c r="JGY232" s="297" t="s">
        <v>124</v>
      </c>
      <c r="JGZ232" s="297" t="s">
        <v>124</v>
      </c>
      <c r="JHA232" s="297" t="s">
        <v>124</v>
      </c>
      <c r="JHB232" s="297" t="s">
        <v>124</v>
      </c>
      <c r="JHC232" s="297" t="s">
        <v>124</v>
      </c>
      <c r="JHD232" s="297" t="s">
        <v>124</v>
      </c>
      <c r="JHE232" s="297" t="s">
        <v>124</v>
      </c>
      <c r="JHF232" s="297" t="s">
        <v>124</v>
      </c>
      <c r="JHG232" s="297" t="s">
        <v>124</v>
      </c>
      <c r="JHH232" s="297" t="s">
        <v>124</v>
      </c>
      <c r="JHI232" s="297" t="s">
        <v>124</v>
      </c>
      <c r="JHJ232" s="297" t="s">
        <v>124</v>
      </c>
      <c r="JHK232" s="297" t="s">
        <v>124</v>
      </c>
      <c r="JHL232" s="297" t="s">
        <v>124</v>
      </c>
      <c r="JHM232" s="297" t="s">
        <v>124</v>
      </c>
      <c r="JHN232" s="297" t="s">
        <v>124</v>
      </c>
      <c r="JHO232" s="297" t="s">
        <v>124</v>
      </c>
      <c r="JHP232" s="297" t="s">
        <v>124</v>
      </c>
      <c r="JHQ232" s="297" t="s">
        <v>124</v>
      </c>
      <c r="JHR232" s="297" t="s">
        <v>124</v>
      </c>
      <c r="JHS232" s="297" t="s">
        <v>124</v>
      </c>
      <c r="JHT232" s="297" t="s">
        <v>124</v>
      </c>
      <c r="JHU232" s="297" t="s">
        <v>124</v>
      </c>
      <c r="JHV232" s="297" t="s">
        <v>124</v>
      </c>
      <c r="JHW232" s="297" t="s">
        <v>124</v>
      </c>
      <c r="JHX232" s="297" t="s">
        <v>124</v>
      </c>
      <c r="JHY232" s="297" t="s">
        <v>124</v>
      </c>
      <c r="JHZ232" s="297" t="s">
        <v>124</v>
      </c>
      <c r="JIA232" s="297" t="s">
        <v>124</v>
      </c>
      <c r="JIB232" s="297" t="s">
        <v>124</v>
      </c>
      <c r="JIC232" s="297" t="s">
        <v>124</v>
      </c>
      <c r="JID232" s="297" t="s">
        <v>124</v>
      </c>
      <c r="JIE232" s="297" t="s">
        <v>124</v>
      </c>
      <c r="JIF232" s="297" t="s">
        <v>124</v>
      </c>
      <c r="JIG232" s="297" t="s">
        <v>124</v>
      </c>
      <c r="JIH232" s="297" t="s">
        <v>124</v>
      </c>
      <c r="JII232" s="297" t="s">
        <v>124</v>
      </c>
      <c r="JIJ232" s="297" t="s">
        <v>124</v>
      </c>
      <c r="JIK232" s="297" t="s">
        <v>124</v>
      </c>
      <c r="JIL232" s="297" t="s">
        <v>124</v>
      </c>
      <c r="JIM232" s="297" t="s">
        <v>124</v>
      </c>
      <c r="JIN232" s="297" t="s">
        <v>124</v>
      </c>
      <c r="JIO232" s="297" t="s">
        <v>124</v>
      </c>
      <c r="JIP232" s="297" t="s">
        <v>124</v>
      </c>
      <c r="JIQ232" s="297" t="s">
        <v>124</v>
      </c>
      <c r="JIR232" s="297" t="s">
        <v>124</v>
      </c>
      <c r="JIS232" s="297" t="s">
        <v>124</v>
      </c>
      <c r="JIT232" s="297" t="s">
        <v>124</v>
      </c>
      <c r="JIU232" s="297" t="s">
        <v>124</v>
      </c>
      <c r="JIV232" s="297" t="s">
        <v>124</v>
      </c>
      <c r="JIW232" s="297" t="s">
        <v>124</v>
      </c>
      <c r="JIX232" s="297" t="s">
        <v>124</v>
      </c>
      <c r="JIY232" s="297" t="s">
        <v>124</v>
      </c>
      <c r="JIZ232" s="297" t="s">
        <v>124</v>
      </c>
      <c r="JJA232" s="297" t="s">
        <v>124</v>
      </c>
      <c r="JJB232" s="297" t="s">
        <v>124</v>
      </c>
      <c r="JJC232" s="297" t="s">
        <v>124</v>
      </c>
      <c r="JJD232" s="297" t="s">
        <v>124</v>
      </c>
      <c r="JJE232" s="297" t="s">
        <v>124</v>
      </c>
      <c r="JJF232" s="297" t="s">
        <v>124</v>
      </c>
      <c r="JJG232" s="297" t="s">
        <v>124</v>
      </c>
      <c r="JJH232" s="297" t="s">
        <v>124</v>
      </c>
      <c r="JJI232" s="297" t="s">
        <v>124</v>
      </c>
      <c r="JJJ232" s="297" t="s">
        <v>124</v>
      </c>
      <c r="JJK232" s="297" t="s">
        <v>124</v>
      </c>
      <c r="JJL232" s="297" t="s">
        <v>124</v>
      </c>
      <c r="JJM232" s="297" t="s">
        <v>124</v>
      </c>
      <c r="JJN232" s="297" t="s">
        <v>124</v>
      </c>
      <c r="JJO232" s="297" t="s">
        <v>124</v>
      </c>
      <c r="JJP232" s="297" t="s">
        <v>124</v>
      </c>
      <c r="JJQ232" s="297" t="s">
        <v>124</v>
      </c>
      <c r="JJR232" s="297" t="s">
        <v>124</v>
      </c>
      <c r="JJS232" s="297" t="s">
        <v>124</v>
      </c>
      <c r="JJT232" s="297" t="s">
        <v>124</v>
      </c>
      <c r="JJU232" s="297" t="s">
        <v>124</v>
      </c>
      <c r="JJV232" s="297" t="s">
        <v>124</v>
      </c>
      <c r="JJW232" s="297" t="s">
        <v>124</v>
      </c>
      <c r="JJX232" s="297" t="s">
        <v>124</v>
      </c>
      <c r="JJY232" s="297" t="s">
        <v>124</v>
      </c>
      <c r="JJZ232" s="297" t="s">
        <v>124</v>
      </c>
      <c r="JKA232" s="297" t="s">
        <v>124</v>
      </c>
      <c r="JKB232" s="297" t="s">
        <v>124</v>
      </c>
      <c r="JKC232" s="297" t="s">
        <v>124</v>
      </c>
      <c r="JKD232" s="297" t="s">
        <v>124</v>
      </c>
      <c r="JKE232" s="297" t="s">
        <v>124</v>
      </c>
      <c r="JKF232" s="297" t="s">
        <v>124</v>
      </c>
      <c r="JKG232" s="297" t="s">
        <v>124</v>
      </c>
      <c r="JKH232" s="297" t="s">
        <v>124</v>
      </c>
      <c r="JKI232" s="297" t="s">
        <v>124</v>
      </c>
      <c r="JKJ232" s="297" t="s">
        <v>124</v>
      </c>
      <c r="JKK232" s="297" t="s">
        <v>124</v>
      </c>
      <c r="JKL232" s="297" t="s">
        <v>124</v>
      </c>
      <c r="JKM232" s="297" t="s">
        <v>124</v>
      </c>
      <c r="JKN232" s="297" t="s">
        <v>124</v>
      </c>
      <c r="JKO232" s="297" t="s">
        <v>124</v>
      </c>
      <c r="JKP232" s="297" t="s">
        <v>124</v>
      </c>
      <c r="JKQ232" s="297" t="s">
        <v>124</v>
      </c>
      <c r="JKR232" s="297" t="s">
        <v>124</v>
      </c>
      <c r="JKS232" s="297" t="s">
        <v>124</v>
      </c>
      <c r="JKT232" s="297" t="s">
        <v>124</v>
      </c>
      <c r="JKU232" s="297" t="s">
        <v>124</v>
      </c>
      <c r="JKV232" s="297" t="s">
        <v>124</v>
      </c>
      <c r="JKW232" s="297" t="s">
        <v>124</v>
      </c>
      <c r="JKX232" s="297" t="s">
        <v>124</v>
      </c>
      <c r="JKY232" s="297" t="s">
        <v>124</v>
      </c>
      <c r="JKZ232" s="297" t="s">
        <v>124</v>
      </c>
      <c r="JLA232" s="297" t="s">
        <v>124</v>
      </c>
      <c r="JLB232" s="297" t="s">
        <v>124</v>
      </c>
      <c r="JLC232" s="297" t="s">
        <v>124</v>
      </c>
      <c r="JLD232" s="297" t="s">
        <v>124</v>
      </c>
      <c r="JLE232" s="297" t="s">
        <v>124</v>
      </c>
      <c r="JLF232" s="297" t="s">
        <v>124</v>
      </c>
      <c r="JLG232" s="297" t="s">
        <v>124</v>
      </c>
      <c r="JLH232" s="297" t="s">
        <v>124</v>
      </c>
      <c r="JLI232" s="297" t="s">
        <v>124</v>
      </c>
      <c r="JLJ232" s="297" t="s">
        <v>124</v>
      </c>
      <c r="JLK232" s="297" t="s">
        <v>124</v>
      </c>
      <c r="JLL232" s="297" t="s">
        <v>124</v>
      </c>
      <c r="JLM232" s="297" t="s">
        <v>124</v>
      </c>
      <c r="JLN232" s="297" t="s">
        <v>124</v>
      </c>
      <c r="JLO232" s="297" t="s">
        <v>124</v>
      </c>
      <c r="JLP232" s="297" t="s">
        <v>124</v>
      </c>
      <c r="JLQ232" s="297" t="s">
        <v>124</v>
      </c>
      <c r="JLR232" s="297" t="s">
        <v>124</v>
      </c>
      <c r="JLS232" s="297" t="s">
        <v>124</v>
      </c>
      <c r="JLT232" s="297" t="s">
        <v>124</v>
      </c>
      <c r="JLU232" s="297" t="s">
        <v>124</v>
      </c>
      <c r="JLV232" s="297" t="s">
        <v>124</v>
      </c>
      <c r="JLW232" s="297" t="s">
        <v>124</v>
      </c>
      <c r="JLX232" s="297" t="s">
        <v>124</v>
      </c>
      <c r="JLY232" s="297" t="s">
        <v>124</v>
      </c>
      <c r="JLZ232" s="297" t="s">
        <v>124</v>
      </c>
      <c r="JMA232" s="297" t="s">
        <v>124</v>
      </c>
      <c r="JMB232" s="297" t="s">
        <v>124</v>
      </c>
      <c r="JMC232" s="297" t="s">
        <v>124</v>
      </c>
      <c r="JMD232" s="297" t="s">
        <v>124</v>
      </c>
      <c r="JME232" s="297" t="s">
        <v>124</v>
      </c>
      <c r="JMF232" s="297" t="s">
        <v>124</v>
      </c>
      <c r="JMG232" s="297" t="s">
        <v>124</v>
      </c>
      <c r="JMH232" s="297" t="s">
        <v>124</v>
      </c>
      <c r="JMI232" s="297" t="s">
        <v>124</v>
      </c>
      <c r="JMJ232" s="297" t="s">
        <v>124</v>
      </c>
      <c r="JMK232" s="297" t="s">
        <v>124</v>
      </c>
      <c r="JML232" s="297" t="s">
        <v>124</v>
      </c>
      <c r="JMM232" s="297" t="s">
        <v>124</v>
      </c>
      <c r="JMN232" s="297" t="s">
        <v>124</v>
      </c>
      <c r="JMO232" s="297" t="s">
        <v>124</v>
      </c>
      <c r="JMP232" s="297" t="s">
        <v>124</v>
      </c>
      <c r="JMQ232" s="297" t="s">
        <v>124</v>
      </c>
      <c r="JMR232" s="297" t="s">
        <v>124</v>
      </c>
      <c r="JMS232" s="297" t="s">
        <v>124</v>
      </c>
      <c r="JMT232" s="297" t="s">
        <v>124</v>
      </c>
      <c r="JMU232" s="297" t="s">
        <v>124</v>
      </c>
      <c r="JMV232" s="297" t="s">
        <v>124</v>
      </c>
      <c r="JMW232" s="297" t="s">
        <v>124</v>
      </c>
      <c r="JMX232" s="297" t="s">
        <v>124</v>
      </c>
      <c r="JMY232" s="297" t="s">
        <v>124</v>
      </c>
      <c r="JMZ232" s="297" t="s">
        <v>124</v>
      </c>
      <c r="JNA232" s="297" t="s">
        <v>124</v>
      </c>
      <c r="JNB232" s="297" t="s">
        <v>124</v>
      </c>
      <c r="JNC232" s="297" t="s">
        <v>124</v>
      </c>
      <c r="JND232" s="297" t="s">
        <v>124</v>
      </c>
      <c r="JNE232" s="297" t="s">
        <v>124</v>
      </c>
      <c r="JNF232" s="297" t="s">
        <v>124</v>
      </c>
      <c r="JNG232" s="297" t="s">
        <v>124</v>
      </c>
      <c r="JNH232" s="297" t="s">
        <v>124</v>
      </c>
      <c r="JNI232" s="297" t="s">
        <v>124</v>
      </c>
      <c r="JNJ232" s="297" t="s">
        <v>124</v>
      </c>
      <c r="JNK232" s="297" t="s">
        <v>124</v>
      </c>
      <c r="JNL232" s="297" t="s">
        <v>124</v>
      </c>
      <c r="JNM232" s="297" t="s">
        <v>124</v>
      </c>
      <c r="JNN232" s="297" t="s">
        <v>124</v>
      </c>
      <c r="JNO232" s="297" t="s">
        <v>124</v>
      </c>
      <c r="JNP232" s="297" t="s">
        <v>124</v>
      </c>
      <c r="JNQ232" s="297" t="s">
        <v>124</v>
      </c>
      <c r="JNR232" s="297" t="s">
        <v>124</v>
      </c>
      <c r="JNS232" s="297" t="s">
        <v>124</v>
      </c>
      <c r="JNT232" s="297" t="s">
        <v>124</v>
      </c>
      <c r="JNU232" s="297" t="s">
        <v>124</v>
      </c>
      <c r="JNV232" s="297" t="s">
        <v>124</v>
      </c>
      <c r="JNW232" s="297" t="s">
        <v>124</v>
      </c>
      <c r="JNX232" s="297" t="s">
        <v>124</v>
      </c>
      <c r="JNY232" s="297" t="s">
        <v>124</v>
      </c>
      <c r="JNZ232" s="297" t="s">
        <v>124</v>
      </c>
      <c r="JOA232" s="297" t="s">
        <v>124</v>
      </c>
      <c r="JOB232" s="297" t="s">
        <v>124</v>
      </c>
      <c r="JOC232" s="297" t="s">
        <v>124</v>
      </c>
      <c r="JOD232" s="297" t="s">
        <v>124</v>
      </c>
      <c r="JOE232" s="297" t="s">
        <v>124</v>
      </c>
      <c r="JOF232" s="297" t="s">
        <v>124</v>
      </c>
      <c r="JOG232" s="297" t="s">
        <v>124</v>
      </c>
      <c r="JOH232" s="297" t="s">
        <v>124</v>
      </c>
      <c r="JOI232" s="297" t="s">
        <v>124</v>
      </c>
      <c r="JOJ232" s="297" t="s">
        <v>124</v>
      </c>
      <c r="JOK232" s="297" t="s">
        <v>124</v>
      </c>
      <c r="JOL232" s="297" t="s">
        <v>124</v>
      </c>
      <c r="JOM232" s="297" t="s">
        <v>124</v>
      </c>
      <c r="JON232" s="297" t="s">
        <v>124</v>
      </c>
      <c r="JOO232" s="297" t="s">
        <v>124</v>
      </c>
      <c r="JOP232" s="297" t="s">
        <v>124</v>
      </c>
      <c r="JOQ232" s="297" t="s">
        <v>124</v>
      </c>
      <c r="JOR232" s="297" t="s">
        <v>124</v>
      </c>
      <c r="JOS232" s="297" t="s">
        <v>124</v>
      </c>
      <c r="JOT232" s="297" t="s">
        <v>124</v>
      </c>
      <c r="JOU232" s="297" t="s">
        <v>124</v>
      </c>
      <c r="JOV232" s="297" t="s">
        <v>124</v>
      </c>
      <c r="JOW232" s="297" t="s">
        <v>124</v>
      </c>
      <c r="JOX232" s="297" t="s">
        <v>124</v>
      </c>
      <c r="JOY232" s="297" t="s">
        <v>124</v>
      </c>
      <c r="JOZ232" s="297" t="s">
        <v>124</v>
      </c>
      <c r="JPA232" s="297" t="s">
        <v>124</v>
      </c>
      <c r="JPB232" s="297" t="s">
        <v>124</v>
      </c>
      <c r="JPC232" s="297" t="s">
        <v>124</v>
      </c>
      <c r="JPD232" s="297" t="s">
        <v>124</v>
      </c>
      <c r="JPE232" s="297" t="s">
        <v>124</v>
      </c>
      <c r="JPF232" s="297" t="s">
        <v>124</v>
      </c>
      <c r="JPG232" s="297" t="s">
        <v>124</v>
      </c>
      <c r="JPH232" s="297" t="s">
        <v>124</v>
      </c>
      <c r="JPI232" s="297" t="s">
        <v>124</v>
      </c>
      <c r="JPJ232" s="297" t="s">
        <v>124</v>
      </c>
      <c r="JPK232" s="297" t="s">
        <v>124</v>
      </c>
      <c r="JPL232" s="297" t="s">
        <v>124</v>
      </c>
      <c r="JPM232" s="297" t="s">
        <v>124</v>
      </c>
      <c r="JPN232" s="297" t="s">
        <v>124</v>
      </c>
      <c r="JPO232" s="297" t="s">
        <v>124</v>
      </c>
      <c r="JPP232" s="297" t="s">
        <v>124</v>
      </c>
      <c r="JPQ232" s="297" t="s">
        <v>124</v>
      </c>
      <c r="JPR232" s="297" t="s">
        <v>124</v>
      </c>
      <c r="JPS232" s="297" t="s">
        <v>124</v>
      </c>
      <c r="JPT232" s="297" t="s">
        <v>124</v>
      </c>
      <c r="JPU232" s="297" t="s">
        <v>124</v>
      </c>
      <c r="JPV232" s="297" t="s">
        <v>124</v>
      </c>
      <c r="JPW232" s="297" t="s">
        <v>124</v>
      </c>
      <c r="JPX232" s="297" t="s">
        <v>124</v>
      </c>
      <c r="JPY232" s="297" t="s">
        <v>124</v>
      </c>
      <c r="JPZ232" s="297" t="s">
        <v>124</v>
      </c>
      <c r="JQA232" s="297" t="s">
        <v>124</v>
      </c>
      <c r="JQB232" s="297" t="s">
        <v>124</v>
      </c>
      <c r="JQC232" s="297" t="s">
        <v>124</v>
      </c>
      <c r="JQD232" s="297" t="s">
        <v>124</v>
      </c>
      <c r="JQE232" s="297" t="s">
        <v>124</v>
      </c>
      <c r="JQF232" s="297" t="s">
        <v>124</v>
      </c>
      <c r="JQG232" s="297" t="s">
        <v>124</v>
      </c>
      <c r="JQH232" s="297" t="s">
        <v>124</v>
      </c>
      <c r="JQI232" s="297" t="s">
        <v>124</v>
      </c>
      <c r="JQJ232" s="297" t="s">
        <v>124</v>
      </c>
      <c r="JQK232" s="297" t="s">
        <v>124</v>
      </c>
      <c r="JQL232" s="297" t="s">
        <v>124</v>
      </c>
      <c r="JQM232" s="297" t="s">
        <v>124</v>
      </c>
      <c r="JQN232" s="297" t="s">
        <v>124</v>
      </c>
      <c r="JQO232" s="297" t="s">
        <v>124</v>
      </c>
      <c r="JQP232" s="297" t="s">
        <v>124</v>
      </c>
      <c r="JQQ232" s="297" t="s">
        <v>124</v>
      </c>
      <c r="JQR232" s="297" t="s">
        <v>124</v>
      </c>
      <c r="JQS232" s="297" t="s">
        <v>124</v>
      </c>
      <c r="JQT232" s="297" t="s">
        <v>124</v>
      </c>
      <c r="JQU232" s="297" t="s">
        <v>124</v>
      </c>
      <c r="JQV232" s="297" t="s">
        <v>124</v>
      </c>
      <c r="JQW232" s="297" t="s">
        <v>124</v>
      </c>
      <c r="JQX232" s="297" t="s">
        <v>124</v>
      </c>
      <c r="JQY232" s="297" t="s">
        <v>124</v>
      </c>
      <c r="JQZ232" s="297" t="s">
        <v>124</v>
      </c>
      <c r="JRA232" s="297" t="s">
        <v>124</v>
      </c>
      <c r="JRB232" s="297" t="s">
        <v>124</v>
      </c>
      <c r="JRC232" s="297" t="s">
        <v>124</v>
      </c>
      <c r="JRD232" s="297" t="s">
        <v>124</v>
      </c>
      <c r="JRE232" s="297" t="s">
        <v>124</v>
      </c>
      <c r="JRF232" s="297" t="s">
        <v>124</v>
      </c>
      <c r="JRG232" s="297" t="s">
        <v>124</v>
      </c>
      <c r="JRH232" s="297" t="s">
        <v>124</v>
      </c>
      <c r="JRI232" s="297" t="s">
        <v>124</v>
      </c>
      <c r="JRJ232" s="297" t="s">
        <v>124</v>
      </c>
      <c r="JRK232" s="297" t="s">
        <v>124</v>
      </c>
      <c r="JRL232" s="297" t="s">
        <v>124</v>
      </c>
      <c r="JRM232" s="297" t="s">
        <v>124</v>
      </c>
      <c r="JRN232" s="297" t="s">
        <v>124</v>
      </c>
      <c r="JRO232" s="297" t="s">
        <v>124</v>
      </c>
      <c r="JRP232" s="297" t="s">
        <v>124</v>
      </c>
      <c r="JRQ232" s="297" t="s">
        <v>124</v>
      </c>
      <c r="JRR232" s="297" t="s">
        <v>124</v>
      </c>
      <c r="JRS232" s="297" t="s">
        <v>124</v>
      </c>
      <c r="JRT232" s="297" t="s">
        <v>124</v>
      </c>
      <c r="JRU232" s="297" t="s">
        <v>124</v>
      </c>
      <c r="JRV232" s="297" t="s">
        <v>124</v>
      </c>
      <c r="JRW232" s="297" t="s">
        <v>124</v>
      </c>
      <c r="JRX232" s="297" t="s">
        <v>124</v>
      </c>
      <c r="JRY232" s="297" t="s">
        <v>124</v>
      </c>
      <c r="JRZ232" s="297" t="s">
        <v>124</v>
      </c>
      <c r="JSA232" s="297" t="s">
        <v>124</v>
      </c>
      <c r="JSB232" s="297" t="s">
        <v>124</v>
      </c>
      <c r="JSC232" s="297" t="s">
        <v>124</v>
      </c>
      <c r="JSD232" s="297" t="s">
        <v>124</v>
      </c>
      <c r="JSE232" s="297" t="s">
        <v>124</v>
      </c>
      <c r="JSF232" s="297" t="s">
        <v>124</v>
      </c>
      <c r="JSG232" s="297" t="s">
        <v>124</v>
      </c>
      <c r="JSH232" s="297" t="s">
        <v>124</v>
      </c>
      <c r="JSI232" s="297" t="s">
        <v>124</v>
      </c>
      <c r="JSJ232" s="297" t="s">
        <v>124</v>
      </c>
      <c r="JSK232" s="297" t="s">
        <v>124</v>
      </c>
      <c r="JSL232" s="297" t="s">
        <v>124</v>
      </c>
      <c r="JSM232" s="297" t="s">
        <v>124</v>
      </c>
      <c r="JSN232" s="297" t="s">
        <v>124</v>
      </c>
      <c r="JSO232" s="297" t="s">
        <v>124</v>
      </c>
      <c r="JSP232" s="297" t="s">
        <v>124</v>
      </c>
      <c r="JSQ232" s="297" t="s">
        <v>124</v>
      </c>
      <c r="JSR232" s="297" t="s">
        <v>124</v>
      </c>
      <c r="JSS232" s="297" t="s">
        <v>124</v>
      </c>
      <c r="JST232" s="297" t="s">
        <v>124</v>
      </c>
      <c r="JSU232" s="297" t="s">
        <v>124</v>
      </c>
      <c r="JSV232" s="297" t="s">
        <v>124</v>
      </c>
      <c r="JSW232" s="297" t="s">
        <v>124</v>
      </c>
      <c r="JSX232" s="297" t="s">
        <v>124</v>
      </c>
      <c r="JSY232" s="297" t="s">
        <v>124</v>
      </c>
      <c r="JSZ232" s="297" t="s">
        <v>124</v>
      </c>
      <c r="JTA232" s="297" t="s">
        <v>124</v>
      </c>
      <c r="JTB232" s="297" t="s">
        <v>124</v>
      </c>
      <c r="JTC232" s="297" t="s">
        <v>124</v>
      </c>
      <c r="JTD232" s="297" t="s">
        <v>124</v>
      </c>
      <c r="JTE232" s="297" t="s">
        <v>124</v>
      </c>
      <c r="JTF232" s="297" t="s">
        <v>124</v>
      </c>
      <c r="JTG232" s="297" t="s">
        <v>124</v>
      </c>
      <c r="JTH232" s="297" t="s">
        <v>124</v>
      </c>
      <c r="JTI232" s="297" t="s">
        <v>124</v>
      </c>
      <c r="JTJ232" s="297" t="s">
        <v>124</v>
      </c>
      <c r="JTK232" s="297" t="s">
        <v>124</v>
      </c>
      <c r="JTL232" s="297" t="s">
        <v>124</v>
      </c>
      <c r="JTM232" s="297" t="s">
        <v>124</v>
      </c>
      <c r="JTN232" s="297" t="s">
        <v>124</v>
      </c>
      <c r="JTO232" s="297" t="s">
        <v>124</v>
      </c>
      <c r="JTP232" s="297" t="s">
        <v>124</v>
      </c>
      <c r="JTQ232" s="297" t="s">
        <v>124</v>
      </c>
      <c r="JTR232" s="297" t="s">
        <v>124</v>
      </c>
      <c r="JTS232" s="297" t="s">
        <v>124</v>
      </c>
      <c r="JTT232" s="297" t="s">
        <v>124</v>
      </c>
      <c r="JTU232" s="297" t="s">
        <v>124</v>
      </c>
      <c r="JTV232" s="297" t="s">
        <v>124</v>
      </c>
      <c r="JTW232" s="297" t="s">
        <v>124</v>
      </c>
      <c r="JTX232" s="297" t="s">
        <v>124</v>
      </c>
      <c r="JTY232" s="297" t="s">
        <v>124</v>
      </c>
      <c r="JTZ232" s="297" t="s">
        <v>124</v>
      </c>
      <c r="JUA232" s="297" t="s">
        <v>124</v>
      </c>
      <c r="JUB232" s="297" t="s">
        <v>124</v>
      </c>
      <c r="JUC232" s="297" t="s">
        <v>124</v>
      </c>
      <c r="JUD232" s="297" t="s">
        <v>124</v>
      </c>
      <c r="JUE232" s="297" t="s">
        <v>124</v>
      </c>
      <c r="JUF232" s="297" t="s">
        <v>124</v>
      </c>
      <c r="JUG232" s="297" t="s">
        <v>124</v>
      </c>
      <c r="JUH232" s="297" t="s">
        <v>124</v>
      </c>
      <c r="JUI232" s="297" t="s">
        <v>124</v>
      </c>
      <c r="JUJ232" s="297" t="s">
        <v>124</v>
      </c>
      <c r="JUK232" s="297" t="s">
        <v>124</v>
      </c>
      <c r="JUL232" s="297" t="s">
        <v>124</v>
      </c>
      <c r="JUM232" s="297" t="s">
        <v>124</v>
      </c>
      <c r="JUN232" s="297" t="s">
        <v>124</v>
      </c>
      <c r="JUO232" s="297" t="s">
        <v>124</v>
      </c>
      <c r="JUP232" s="297" t="s">
        <v>124</v>
      </c>
      <c r="JUQ232" s="297" t="s">
        <v>124</v>
      </c>
      <c r="JUR232" s="297" t="s">
        <v>124</v>
      </c>
      <c r="JUS232" s="297" t="s">
        <v>124</v>
      </c>
      <c r="JUT232" s="297" t="s">
        <v>124</v>
      </c>
      <c r="JUU232" s="297" t="s">
        <v>124</v>
      </c>
      <c r="JUV232" s="297" t="s">
        <v>124</v>
      </c>
      <c r="JUW232" s="297" t="s">
        <v>124</v>
      </c>
      <c r="JUX232" s="297" t="s">
        <v>124</v>
      </c>
      <c r="JUY232" s="297" t="s">
        <v>124</v>
      </c>
      <c r="JUZ232" s="297" t="s">
        <v>124</v>
      </c>
      <c r="JVA232" s="297" t="s">
        <v>124</v>
      </c>
      <c r="JVB232" s="297" t="s">
        <v>124</v>
      </c>
      <c r="JVC232" s="297" t="s">
        <v>124</v>
      </c>
      <c r="JVD232" s="297" t="s">
        <v>124</v>
      </c>
      <c r="JVE232" s="297" t="s">
        <v>124</v>
      </c>
      <c r="JVF232" s="297" t="s">
        <v>124</v>
      </c>
      <c r="JVG232" s="297" t="s">
        <v>124</v>
      </c>
      <c r="JVH232" s="297" t="s">
        <v>124</v>
      </c>
      <c r="JVI232" s="297" t="s">
        <v>124</v>
      </c>
      <c r="JVJ232" s="297" t="s">
        <v>124</v>
      </c>
      <c r="JVK232" s="297" t="s">
        <v>124</v>
      </c>
      <c r="JVL232" s="297" t="s">
        <v>124</v>
      </c>
      <c r="JVM232" s="297" t="s">
        <v>124</v>
      </c>
      <c r="JVN232" s="297" t="s">
        <v>124</v>
      </c>
      <c r="JVO232" s="297" t="s">
        <v>124</v>
      </c>
      <c r="JVP232" s="297" t="s">
        <v>124</v>
      </c>
      <c r="JVQ232" s="297" t="s">
        <v>124</v>
      </c>
      <c r="JVR232" s="297" t="s">
        <v>124</v>
      </c>
      <c r="JVS232" s="297" t="s">
        <v>124</v>
      </c>
      <c r="JVT232" s="297" t="s">
        <v>124</v>
      </c>
      <c r="JVU232" s="297" t="s">
        <v>124</v>
      </c>
      <c r="JVV232" s="297" t="s">
        <v>124</v>
      </c>
      <c r="JVW232" s="297" t="s">
        <v>124</v>
      </c>
      <c r="JVX232" s="297" t="s">
        <v>124</v>
      </c>
      <c r="JVY232" s="297" t="s">
        <v>124</v>
      </c>
      <c r="JVZ232" s="297" t="s">
        <v>124</v>
      </c>
      <c r="JWA232" s="297" t="s">
        <v>124</v>
      </c>
      <c r="JWB232" s="297" t="s">
        <v>124</v>
      </c>
      <c r="JWC232" s="297" t="s">
        <v>124</v>
      </c>
      <c r="JWD232" s="297" t="s">
        <v>124</v>
      </c>
      <c r="JWE232" s="297" t="s">
        <v>124</v>
      </c>
      <c r="JWF232" s="297" t="s">
        <v>124</v>
      </c>
      <c r="JWG232" s="297" t="s">
        <v>124</v>
      </c>
      <c r="JWH232" s="297" t="s">
        <v>124</v>
      </c>
      <c r="JWI232" s="297" t="s">
        <v>124</v>
      </c>
      <c r="JWJ232" s="297" t="s">
        <v>124</v>
      </c>
      <c r="JWK232" s="297" t="s">
        <v>124</v>
      </c>
      <c r="JWL232" s="297" t="s">
        <v>124</v>
      </c>
      <c r="JWM232" s="297" t="s">
        <v>124</v>
      </c>
      <c r="JWN232" s="297" t="s">
        <v>124</v>
      </c>
      <c r="JWO232" s="297" t="s">
        <v>124</v>
      </c>
      <c r="JWP232" s="297" t="s">
        <v>124</v>
      </c>
      <c r="JWQ232" s="297" t="s">
        <v>124</v>
      </c>
      <c r="JWR232" s="297" t="s">
        <v>124</v>
      </c>
      <c r="JWS232" s="297" t="s">
        <v>124</v>
      </c>
      <c r="JWT232" s="297" t="s">
        <v>124</v>
      </c>
      <c r="JWU232" s="297" t="s">
        <v>124</v>
      </c>
      <c r="JWV232" s="297" t="s">
        <v>124</v>
      </c>
      <c r="JWW232" s="297" t="s">
        <v>124</v>
      </c>
      <c r="JWX232" s="297" t="s">
        <v>124</v>
      </c>
      <c r="JWY232" s="297" t="s">
        <v>124</v>
      </c>
      <c r="JWZ232" s="297" t="s">
        <v>124</v>
      </c>
      <c r="JXA232" s="297" t="s">
        <v>124</v>
      </c>
      <c r="JXB232" s="297" t="s">
        <v>124</v>
      </c>
      <c r="JXC232" s="297" t="s">
        <v>124</v>
      </c>
      <c r="JXD232" s="297" t="s">
        <v>124</v>
      </c>
      <c r="JXE232" s="297" t="s">
        <v>124</v>
      </c>
      <c r="JXF232" s="297" t="s">
        <v>124</v>
      </c>
      <c r="JXG232" s="297" t="s">
        <v>124</v>
      </c>
      <c r="JXH232" s="297" t="s">
        <v>124</v>
      </c>
      <c r="JXI232" s="297" t="s">
        <v>124</v>
      </c>
      <c r="JXJ232" s="297" t="s">
        <v>124</v>
      </c>
      <c r="JXK232" s="297" t="s">
        <v>124</v>
      </c>
      <c r="JXL232" s="297" t="s">
        <v>124</v>
      </c>
      <c r="JXM232" s="297" t="s">
        <v>124</v>
      </c>
      <c r="JXN232" s="297" t="s">
        <v>124</v>
      </c>
      <c r="JXO232" s="297" t="s">
        <v>124</v>
      </c>
      <c r="JXP232" s="297" t="s">
        <v>124</v>
      </c>
      <c r="JXQ232" s="297" t="s">
        <v>124</v>
      </c>
      <c r="JXR232" s="297" t="s">
        <v>124</v>
      </c>
      <c r="JXS232" s="297" t="s">
        <v>124</v>
      </c>
      <c r="JXT232" s="297" t="s">
        <v>124</v>
      </c>
      <c r="JXU232" s="297" t="s">
        <v>124</v>
      </c>
      <c r="JXV232" s="297" t="s">
        <v>124</v>
      </c>
      <c r="JXW232" s="297" t="s">
        <v>124</v>
      </c>
      <c r="JXX232" s="297" t="s">
        <v>124</v>
      </c>
      <c r="JXY232" s="297" t="s">
        <v>124</v>
      </c>
      <c r="JXZ232" s="297" t="s">
        <v>124</v>
      </c>
      <c r="JYA232" s="297" t="s">
        <v>124</v>
      </c>
      <c r="JYB232" s="297" t="s">
        <v>124</v>
      </c>
      <c r="JYC232" s="297" t="s">
        <v>124</v>
      </c>
      <c r="JYD232" s="297" t="s">
        <v>124</v>
      </c>
      <c r="JYE232" s="297" t="s">
        <v>124</v>
      </c>
      <c r="JYF232" s="297" t="s">
        <v>124</v>
      </c>
      <c r="JYG232" s="297" t="s">
        <v>124</v>
      </c>
      <c r="JYH232" s="297" t="s">
        <v>124</v>
      </c>
      <c r="JYI232" s="297" t="s">
        <v>124</v>
      </c>
      <c r="JYJ232" s="297" t="s">
        <v>124</v>
      </c>
      <c r="JYK232" s="297" t="s">
        <v>124</v>
      </c>
      <c r="JYL232" s="297" t="s">
        <v>124</v>
      </c>
      <c r="JYM232" s="297" t="s">
        <v>124</v>
      </c>
      <c r="JYN232" s="297" t="s">
        <v>124</v>
      </c>
      <c r="JYO232" s="297" t="s">
        <v>124</v>
      </c>
      <c r="JYP232" s="297" t="s">
        <v>124</v>
      </c>
      <c r="JYQ232" s="297" t="s">
        <v>124</v>
      </c>
      <c r="JYR232" s="297" t="s">
        <v>124</v>
      </c>
      <c r="JYS232" s="297" t="s">
        <v>124</v>
      </c>
      <c r="JYT232" s="297" t="s">
        <v>124</v>
      </c>
      <c r="JYU232" s="297" t="s">
        <v>124</v>
      </c>
      <c r="JYV232" s="297" t="s">
        <v>124</v>
      </c>
      <c r="JYW232" s="297" t="s">
        <v>124</v>
      </c>
      <c r="JYX232" s="297" t="s">
        <v>124</v>
      </c>
      <c r="JYY232" s="297" t="s">
        <v>124</v>
      </c>
      <c r="JYZ232" s="297" t="s">
        <v>124</v>
      </c>
      <c r="JZA232" s="297" t="s">
        <v>124</v>
      </c>
      <c r="JZB232" s="297" t="s">
        <v>124</v>
      </c>
      <c r="JZC232" s="297" t="s">
        <v>124</v>
      </c>
      <c r="JZD232" s="297" t="s">
        <v>124</v>
      </c>
      <c r="JZE232" s="297" t="s">
        <v>124</v>
      </c>
      <c r="JZF232" s="297" t="s">
        <v>124</v>
      </c>
      <c r="JZG232" s="297" t="s">
        <v>124</v>
      </c>
      <c r="JZH232" s="297" t="s">
        <v>124</v>
      </c>
      <c r="JZI232" s="297" t="s">
        <v>124</v>
      </c>
      <c r="JZJ232" s="297" t="s">
        <v>124</v>
      </c>
      <c r="JZK232" s="297" t="s">
        <v>124</v>
      </c>
      <c r="JZL232" s="297" t="s">
        <v>124</v>
      </c>
      <c r="JZM232" s="297" t="s">
        <v>124</v>
      </c>
      <c r="JZN232" s="297" t="s">
        <v>124</v>
      </c>
      <c r="JZO232" s="297" t="s">
        <v>124</v>
      </c>
      <c r="JZP232" s="297" t="s">
        <v>124</v>
      </c>
      <c r="JZQ232" s="297" t="s">
        <v>124</v>
      </c>
      <c r="JZR232" s="297" t="s">
        <v>124</v>
      </c>
      <c r="JZS232" s="297" t="s">
        <v>124</v>
      </c>
      <c r="JZT232" s="297" t="s">
        <v>124</v>
      </c>
      <c r="JZU232" s="297" t="s">
        <v>124</v>
      </c>
      <c r="JZV232" s="297" t="s">
        <v>124</v>
      </c>
      <c r="JZW232" s="297" t="s">
        <v>124</v>
      </c>
      <c r="JZX232" s="297" t="s">
        <v>124</v>
      </c>
      <c r="JZY232" s="297" t="s">
        <v>124</v>
      </c>
      <c r="JZZ232" s="297" t="s">
        <v>124</v>
      </c>
      <c r="KAA232" s="297" t="s">
        <v>124</v>
      </c>
      <c r="KAB232" s="297" t="s">
        <v>124</v>
      </c>
      <c r="KAC232" s="297" t="s">
        <v>124</v>
      </c>
      <c r="KAD232" s="297" t="s">
        <v>124</v>
      </c>
      <c r="KAE232" s="297" t="s">
        <v>124</v>
      </c>
      <c r="KAF232" s="297" t="s">
        <v>124</v>
      </c>
      <c r="KAG232" s="297" t="s">
        <v>124</v>
      </c>
      <c r="KAH232" s="297" t="s">
        <v>124</v>
      </c>
      <c r="KAI232" s="297" t="s">
        <v>124</v>
      </c>
      <c r="KAJ232" s="297" t="s">
        <v>124</v>
      </c>
      <c r="KAK232" s="297" t="s">
        <v>124</v>
      </c>
      <c r="KAL232" s="297" t="s">
        <v>124</v>
      </c>
      <c r="KAM232" s="297" t="s">
        <v>124</v>
      </c>
      <c r="KAN232" s="297" t="s">
        <v>124</v>
      </c>
      <c r="KAO232" s="297" t="s">
        <v>124</v>
      </c>
      <c r="KAP232" s="297" t="s">
        <v>124</v>
      </c>
      <c r="KAQ232" s="297" t="s">
        <v>124</v>
      </c>
      <c r="KAR232" s="297" t="s">
        <v>124</v>
      </c>
      <c r="KAS232" s="297" t="s">
        <v>124</v>
      </c>
      <c r="KAT232" s="297" t="s">
        <v>124</v>
      </c>
      <c r="KAU232" s="297" t="s">
        <v>124</v>
      </c>
      <c r="KAV232" s="297" t="s">
        <v>124</v>
      </c>
      <c r="KAW232" s="297" t="s">
        <v>124</v>
      </c>
      <c r="KAX232" s="297" t="s">
        <v>124</v>
      </c>
      <c r="KAY232" s="297" t="s">
        <v>124</v>
      </c>
      <c r="KAZ232" s="297" t="s">
        <v>124</v>
      </c>
      <c r="KBA232" s="297" t="s">
        <v>124</v>
      </c>
      <c r="KBB232" s="297" t="s">
        <v>124</v>
      </c>
      <c r="KBC232" s="297" t="s">
        <v>124</v>
      </c>
      <c r="KBD232" s="297" t="s">
        <v>124</v>
      </c>
      <c r="KBE232" s="297" t="s">
        <v>124</v>
      </c>
      <c r="KBF232" s="297" t="s">
        <v>124</v>
      </c>
      <c r="KBG232" s="297" t="s">
        <v>124</v>
      </c>
      <c r="KBH232" s="297" t="s">
        <v>124</v>
      </c>
      <c r="KBI232" s="297" t="s">
        <v>124</v>
      </c>
      <c r="KBJ232" s="297" t="s">
        <v>124</v>
      </c>
      <c r="KBK232" s="297" t="s">
        <v>124</v>
      </c>
      <c r="KBL232" s="297" t="s">
        <v>124</v>
      </c>
      <c r="KBM232" s="297" t="s">
        <v>124</v>
      </c>
      <c r="KBN232" s="297" t="s">
        <v>124</v>
      </c>
      <c r="KBO232" s="297" t="s">
        <v>124</v>
      </c>
      <c r="KBP232" s="297" t="s">
        <v>124</v>
      </c>
      <c r="KBQ232" s="297" t="s">
        <v>124</v>
      </c>
      <c r="KBR232" s="297" t="s">
        <v>124</v>
      </c>
      <c r="KBS232" s="297" t="s">
        <v>124</v>
      </c>
      <c r="KBT232" s="297" t="s">
        <v>124</v>
      </c>
      <c r="KBU232" s="297" t="s">
        <v>124</v>
      </c>
      <c r="KBV232" s="297" t="s">
        <v>124</v>
      </c>
      <c r="KBW232" s="297" t="s">
        <v>124</v>
      </c>
      <c r="KBX232" s="297" t="s">
        <v>124</v>
      </c>
      <c r="KBY232" s="297" t="s">
        <v>124</v>
      </c>
      <c r="KBZ232" s="297" t="s">
        <v>124</v>
      </c>
      <c r="KCA232" s="297" t="s">
        <v>124</v>
      </c>
      <c r="KCB232" s="297" t="s">
        <v>124</v>
      </c>
      <c r="KCC232" s="297" t="s">
        <v>124</v>
      </c>
      <c r="KCD232" s="297" t="s">
        <v>124</v>
      </c>
      <c r="KCE232" s="297" t="s">
        <v>124</v>
      </c>
      <c r="KCF232" s="297" t="s">
        <v>124</v>
      </c>
      <c r="KCG232" s="297" t="s">
        <v>124</v>
      </c>
      <c r="KCH232" s="297" t="s">
        <v>124</v>
      </c>
      <c r="KCI232" s="297" t="s">
        <v>124</v>
      </c>
      <c r="KCJ232" s="297" t="s">
        <v>124</v>
      </c>
      <c r="KCK232" s="297" t="s">
        <v>124</v>
      </c>
      <c r="KCL232" s="297" t="s">
        <v>124</v>
      </c>
      <c r="KCM232" s="297" t="s">
        <v>124</v>
      </c>
      <c r="KCN232" s="297" t="s">
        <v>124</v>
      </c>
      <c r="KCO232" s="297" t="s">
        <v>124</v>
      </c>
      <c r="KCP232" s="297" t="s">
        <v>124</v>
      </c>
      <c r="KCQ232" s="297" t="s">
        <v>124</v>
      </c>
      <c r="KCR232" s="297" t="s">
        <v>124</v>
      </c>
      <c r="KCS232" s="297" t="s">
        <v>124</v>
      </c>
      <c r="KCT232" s="297" t="s">
        <v>124</v>
      </c>
      <c r="KCU232" s="297" t="s">
        <v>124</v>
      </c>
      <c r="KCV232" s="297" t="s">
        <v>124</v>
      </c>
      <c r="KCW232" s="297" t="s">
        <v>124</v>
      </c>
      <c r="KCX232" s="297" t="s">
        <v>124</v>
      </c>
      <c r="KCY232" s="297" t="s">
        <v>124</v>
      </c>
      <c r="KCZ232" s="297" t="s">
        <v>124</v>
      </c>
      <c r="KDA232" s="297" t="s">
        <v>124</v>
      </c>
      <c r="KDB232" s="297" t="s">
        <v>124</v>
      </c>
      <c r="KDC232" s="297" t="s">
        <v>124</v>
      </c>
      <c r="KDD232" s="297" t="s">
        <v>124</v>
      </c>
      <c r="KDE232" s="297" t="s">
        <v>124</v>
      </c>
      <c r="KDF232" s="297" t="s">
        <v>124</v>
      </c>
      <c r="KDG232" s="297" t="s">
        <v>124</v>
      </c>
      <c r="KDH232" s="297" t="s">
        <v>124</v>
      </c>
      <c r="KDI232" s="297" t="s">
        <v>124</v>
      </c>
      <c r="KDJ232" s="297" t="s">
        <v>124</v>
      </c>
      <c r="KDK232" s="297" t="s">
        <v>124</v>
      </c>
      <c r="KDL232" s="297" t="s">
        <v>124</v>
      </c>
      <c r="KDM232" s="297" t="s">
        <v>124</v>
      </c>
      <c r="KDN232" s="297" t="s">
        <v>124</v>
      </c>
      <c r="KDO232" s="297" t="s">
        <v>124</v>
      </c>
      <c r="KDP232" s="297" t="s">
        <v>124</v>
      </c>
      <c r="KDQ232" s="297" t="s">
        <v>124</v>
      </c>
      <c r="KDR232" s="297" t="s">
        <v>124</v>
      </c>
      <c r="KDS232" s="297" t="s">
        <v>124</v>
      </c>
      <c r="KDT232" s="297" t="s">
        <v>124</v>
      </c>
      <c r="KDU232" s="297" t="s">
        <v>124</v>
      </c>
      <c r="KDV232" s="297" t="s">
        <v>124</v>
      </c>
      <c r="KDW232" s="297" t="s">
        <v>124</v>
      </c>
      <c r="KDX232" s="297" t="s">
        <v>124</v>
      </c>
      <c r="KDY232" s="297" t="s">
        <v>124</v>
      </c>
      <c r="KDZ232" s="297" t="s">
        <v>124</v>
      </c>
      <c r="KEA232" s="297" t="s">
        <v>124</v>
      </c>
      <c r="KEB232" s="297" t="s">
        <v>124</v>
      </c>
      <c r="KEC232" s="297" t="s">
        <v>124</v>
      </c>
      <c r="KED232" s="297" t="s">
        <v>124</v>
      </c>
      <c r="KEE232" s="297" t="s">
        <v>124</v>
      </c>
      <c r="KEF232" s="297" t="s">
        <v>124</v>
      </c>
      <c r="KEG232" s="297" t="s">
        <v>124</v>
      </c>
      <c r="KEH232" s="297" t="s">
        <v>124</v>
      </c>
      <c r="KEI232" s="297" t="s">
        <v>124</v>
      </c>
      <c r="KEJ232" s="297" t="s">
        <v>124</v>
      </c>
      <c r="KEK232" s="297" t="s">
        <v>124</v>
      </c>
      <c r="KEL232" s="297" t="s">
        <v>124</v>
      </c>
      <c r="KEM232" s="297" t="s">
        <v>124</v>
      </c>
      <c r="KEN232" s="297" t="s">
        <v>124</v>
      </c>
      <c r="KEO232" s="297" t="s">
        <v>124</v>
      </c>
      <c r="KEP232" s="297" t="s">
        <v>124</v>
      </c>
      <c r="KEQ232" s="297" t="s">
        <v>124</v>
      </c>
      <c r="KER232" s="297" t="s">
        <v>124</v>
      </c>
      <c r="KES232" s="297" t="s">
        <v>124</v>
      </c>
      <c r="KET232" s="297" t="s">
        <v>124</v>
      </c>
      <c r="KEU232" s="297" t="s">
        <v>124</v>
      </c>
      <c r="KEV232" s="297" t="s">
        <v>124</v>
      </c>
      <c r="KEW232" s="297" t="s">
        <v>124</v>
      </c>
      <c r="KEX232" s="297" t="s">
        <v>124</v>
      </c>
      <c r="KEY232" s="297" t="s">
        <v>124</v>
      </c>
      <c r="KEZ232" s="297" t="s">
        <v>124</v>
      </c>
      <c r="KFA232" s="297" t="s">
        <v>124</v>
      </c>
      <c r="KFB232" s="297" t="s">
        <v>124</v>
      </c>
      <c r="KFC232" s="297" t="s">
        <v>124</v>
      </c>
      <c r="KFD232" s="297" t="s">
        <v>124</v>
      </c>
      <c r="KFE232" s="297" t="s">
        <v>124</v>
      </c>
      <c r="KFF232" s="297" t="s">
        <v>124</v>
      </c>
      <c r="KFG232" s="297" t="s">
        <v>124</v>
      </c>
      <c r="KFH232" s="297" t="s">
        <v>124</v>
      </c>
      <c r="KFI232" s="297" t="s">
        <v>124</v>
      </c>
      <c r="KFJ232" s="297" t="s">
        <v>124</v>
      </c>
      <c r="KFK232" s="297" t="s">
        <v>124</v>
      </c>
      <c r="KFL232" s="297" t="s">
        <v>124</v>
      </c>
      <c r="KFM232" s="297" t="s">
        <v>124</v>
      </c>
      <c r="KFN232" s="297" t="s">
        <v>124</v>
      </c>
      <c r="KFO232" s="297" t="s">
        <v>124</v>
      </c>
      <c r="KFP232" s="297" t="s">
        <v>124</v>
      </c>
      <c r="KFQ232" s="297" t="s">
        <v>124</v>
      </c>
      <c r="KFR232" s="297" t="s">
        <v>124</v>
      </c>
      <c r="KFS232" s="297" t="s">
        <v>124</v>
      </c>
      <c r="KFT232" s="297" t="s">
        <v>124</v>
      </c>
      <c r="KFU232" s="297" t="s">
        <v>124</v>
      </c>
      <c r="KFV232" s="297" t="s">
        <v>124</v>
      </c>
      <c r="KFW232" s="297" t="s">
        <v>124</v>
      </c>
      <c r="KFX232" s="297" t="s">
        <v>124</v>
      </c>
      <c r="KFY232" s="297" t="s">
        <v>124</v>
      </c>
      <c r="KFZ232" s="297" t="s">
        <v>124</v>
      </c>
      <c r="KGA232" s="297" t="s">
        <v>124</v>
      </c>
      <c r="KGB232" s="297" t="s">
        <v>124</v>
      </c>
      <c r="KGC232" s="297" t="s">
        <v>124</v>
      </c>
      <c r="KGD232" s="297" t="s">
        <v>124</v>
      </c>
      <c r="KGE232" s="297" t="s">
        <v>124</v>
      </c>
      <c r="KGF232" s="297" t="s">
        <v>124</v>
      </c>
      <c r="KGG232" s="297" t="s">
        <v>124</v>
      </c>
      <c r="KGH232" s="297" t="s">
        <v>124</v>
      </c>
      <c r="KGI232" s="297" t="s">
        <v>124</v>
      </c>
      <c r="KGJ232" s="297" t="s">
        <v>124</v>
      </c>
      <c r="KGK232" s="297" t="s">
        <v>124</v>
      </c>
      <c r="KGL232" s="297" t="s">
        <v>124</v>
      </c>
      <c r="KGM232" s="297" t="s">
        <v>124</v>
      </c>
      <c r="KGN232" s="297" t="s">
        <v>124</v>
      </c>
      <c r="KGO232" s="297" t="s">
        <v>124</v>
      </c>
      <c r="KGP232" s="297" t="s">
        <v>124</v>
      </c>
      <c r="KGQ232" s="297" t="s">
        <v>124</v>
      </c>
      <c r="KGR232" s="297" t="s">
        <v>124</v>
      </c>
      <c r="KGS232" s="297" t="s">
        <v>124</v>
      </c>
      <c r="KGT232" s="297" t="s">
        <v>124</v>
      </c>
      <c r="KGU232" s="297" t="s">
        <v>124</v>
      </c>
      <c r="KGV232" s="297" t="s">
        <v>124</v>
      </c>
      <c r="KGW232" s="297" t="s">
        <v>124</v>
      </c>
      <c r="KGX232" s="297" t="s">
        <v>124</v>
      </c>
      <c r="KGY232" s="297" t="s">
        <v>124</v>
      </c>
      <c r="KGZ232" s="297" t="s">
        <v>124</v>
      </c>
      <c r="KHA232" s="297" t="s">
        <v>124</v>
      </c>
      <c r="KHB232" s="297" t="s">
        <v>124</v>
      </c>
      <c r="KHC232" s="297" t="s">
        <v>124</v>
      </c>
      <c r="KHD232" s="297" t="s">
        <v>124</v>
      </c>
      <c r="KHE232" s="297" t="s">
        <v>124</v>
      </c>
      <c r="KHF232" s="297" t="s">
        <v>124</v>
      </c>
      <c r="KHG232" s="297" t="s">
        <v>124</v>
      </c>
      <c r="KHH232" s="297" t="s">
        <v>124</v>
      </c>
      <c r="KHI232" s="297" t="s">
        <v>124</v>
      </c>
      <c r="KHJ232" s="297" t="s">
        <v>124</v>
      </c>
      <c r="KHK232" s="297" t="s">
        <v>124</v>
      </c>
      <c r="KHL232" s="297" t="s">
        <v>124</v>
      </c>
      <c r="KHM232" s="297" t="s">
        <v>124</v>
      </c>
      <c r="KHN232" s="297" t="s">
        <v>124</v>
      </c>
      <c r="KHO232" s="297" t="s">
        <v>124</v>
      </c>
      <c r="KHP232" s="297" t="s">
        <v>124</v>
      </c>
      <c r="KHQ232" s="297" t="s">
        <v>124</v>
      </c>
      <c r="KHR232" s="297" t="s">
        <v>124</v>
      </c>
      <c r="KHS232" s="297" t="s">
        <v>124</v>
      </c>
      <c r="KHT232" s="297" t="s">
        <v>124</v>
      </c>
      <c r="KHU232" s="297" t="s">
        <v>124</v>
      </c>
      <c r="KHV232" s="297" t="s">
        <v>124</v>
      </c>
      <c r="KHW232" s="297" t="s">
        <v>124</v>
      </c>
      <c r="KHX232" s="297" t="s">
        <v>124</v>
      </c>
      <c r="KHY232" s="297" t="s">
        <v>124</v>
      </c>
      <c r="KHZ232" s="297" t="s">
        <v>124</v>
      </c>
      <c r="KIA232" s="297" t="s">
        <v>124</v>
      </c>
      <c r="KIB232" s="297" t="s">
        <v>124</v>
      </c>
      <c r="KIC232" s="297" t="s">
        <v>124</v>
      </c>
      <c r="KID232" s="297" t="s">
        <v>124</v>
      </c>
      <c r="KIE232" s="297" t="s">
        <v>124</v>
      </c>
      <c r="KIF232" s="297" t="s">
        <v>124</v>
      </c>
      <c r="KIG232" s="297" t="s">
        <v>124</v>
      </c>
      <c r="KIH232" s="297" t="s">
        <v>124</v>
      </c>
      <c r="KII232" s="297" t="s">
        <v>124</v>
      </c>
      <c r="KIJ232" s="297" t="s">
        <v>124</v>
      </c>
      <c r="KIK232" s="297" t="s">
        <v>124</v>
      </c>
      <c r="KIL232" s="297" t="s">
        <v>124</v>
      </c>
      <c r="KIM232" s="297" t="s">
        <v>124</v>
      </c>
      <c r="KIN232" s="297" t="s">
        <v>124</v>
      </c>
      <c r="KIO232" s="297" t="s">
        <v>124</v>
      </c>
      <c r="KIP232" s="297" t="s">
        <v>124</v>
      </c>
      <c r="KIQ232" s="297" t="s">
        <v>124</v>
      </c>
      <c r="KIR232" s="297" t="s">
        <v>124</v>
      </c>
      <c r="KIS232" s="297" t="s">
        <v>124</v>
      </c>
      <c r="KIT232" s="297" t="s">
        <v>124</v>
      </c>
      <c r="KIU232" s="297" t="s">
        <v>124</v>
      </c>
      <c r="KIV232" s="297" t="s">
        <v>124</v>
      </c>
      <c r="KIW232" s="297" t="s">
        <v>124</v>
      </c>
      <c r="KIX232" s="297" t="s">
        <v>124</v>
      </c>
      <c r="KIY232" s="297" t="s">
        <v>124</v>
      </c>
      <c r="KIZ232" s="297" t="s">
        <v>124</v>
      </c>
      <c r="KJA232" s="297" t="s">
        <v>124</v>
      </c>
      <c r="KJB232" s="297" t="s">
        <v>124</v>
      </c>
      <c r="KJC232" s="297" t="s">
        <v>124</v>
      </c>
      <c r="KJD232" s="297" t="s">
        <v>124</v>
      </c>
      <c r="KJE232" s="297" t="s">
        <v>124</v>
      </c>
      <c r="KJF232" s="297" t="s">
        <v>124</v>
      </c>
      <c r="KJG232" s="297" t="s">
        <v>124</v>
      </c>
      <c r="KJH232" s="297" t="s">
        <v>124</v>
      </c>
      <c r="KJI232" s="297" t="s">
        <v>124</v>
      </c>
      <c r="KJJ232" s="297" t="s">
        <v>124</v>
      </c>
      <c r="KJK232" s="297" t="s">
        <v>124</v>
      </c>
      <c r="KJL232" s="297" t="s">
        <v>124</v>
      </c>
      <c r="KJM232" s="297" t="s">
        <v>124</v>
      </c>
      <c r="KJN232" s="297" t="s">
        <v>124</v>
      </c>
      <c r="KJO232" s="297" t="s">
        <v>124</v>
      </c>
      <c r="KJP232" s="297" t="s">
        <v>124</v>
      </c>
      <c r="KJQ232" s="297" t="s">
        <v>124</v>
      </c>
      <c r="KJR232" s="297" t="s">
        <v>124</v>
      </c>
      <c r="KJS232" s="297" t="s">
        <v>124</v>
      </c>
      <c r="KJT232" s="297" t="s">
        <v>124</v>
      </c>
      <c r="KJU232" s="297" t="s">
        <v>124</v>
      </c>
      <c r="KJV232" s="297" t="s">
        <v>124</v>
      </c>
      <c r="KJW232" s="297" t="s">
        <v>124</v>
      </c>
      <c r="KJX232" s="297" t="s">
        <v>124</v>
      </c>
      <c r="KJY232" s="297" t="s">
        <v>124</v>
      </c>
      <c r="KJZ232" s="297" t="s">
        <v>124</v>
      </c>
      <c r="KKA232" s="297" t="s">
        <v>124</v>
      </c>
      <c r="KKB232" s="297" t="s">
        <v>124</v>
      </c>
      <c r="KKC232" s="297" t="s">
        <v>124</v>
      </c>
      <c r="KKD232" s="297" t="s">
        <v>124</v>
      </c>
      <c r="KKE232" s="297" t="s">
        <v>124</v>
      </c>
      <c r="KKF232" s="297" t="s">
        <v>124</v>
      </c>
      <c r="KKG232" s="297" t="s">
        <v>124</v>
      </c>
      <c r="KKH232" s="297" t="s">
        <v>124</v>
      </c>
      <c r="KKI232" s="297" t="s">
        <v>124</v>
      </c>
      <c r="KKJ232" s="297" t="s">
        <v>124</v>
      </c>
      <c r="KKK232" s="297" t="s">
        <v>124</v>
      </c>
      <c r="KKL232" s="297" t="s">
        <v>124</v>
      </c>
      <c r="KKM232" s="297" t="s">
        <v>124</v>
      </c>
      <c r="KKN232" s="297" t="s">
        <v>124</v>
      </c>
      <c r="KKO232" s="297" t="s">
        <v>124</v>
      </c>
      <c r="KKP232" s="297" t="s">
        <v>124</v>
      </c>
      <c r="KKQ232" s="297" t="s">
        <v>124</v>
      </c>
      <c r="KKR232" s="297" t="s">
        <v>124</v>
      </c>
      <c r="KKS232" s="297" t="s">
        <v>124</v>
      </c>
      <c r="KKT232" s="297" t="s">
        <v>124</v>
      </c>
      <c r="KKU232" s="297" t="s">
        <v>124</v>
      </c>
      <c r="KKV232" s="297" t="s">
        <v>124</v>
      </c>
      <c r="KKW232" s="297" t="s">
        <v>124</v>
      </c>
      <c r="KKX232" s="297" t="s">
        <v>124</v>
      </c>
      <c r="KKY232" s="297" t="s">
        <v>124</v>
      </c>
      <c r="KKZ232" s="297" t="s">
        <v>124</v>
      </c>
      <c r="KLA232" s="297" t="s">
        <v>124</v>
      </c>
      <c r="KLB232" s="297" t="s">
        <v>124</v>
      </c>
      <c r="KLC232" s="297" t="s">
        <v>124</v>
      </c>
      <c r="KLD232" s="297" t="s">
        <v>124</v>
      </c>
      <c r="KLE232" s="297" t="s">
        <v>124</v>
      </c>
      <c r="KLF232" s="297" t="s">
        <v>124</v>
      </c>
      <c r="KLG232" s="297" t="s">
        <v>124</v>
      </c>
      <c r="KLH232" s="297" t="s">
        <v>124</v>
      </c>
      <c r="KLI232" s="297" t="s">
        <v>124</v>
      </c>
      <c r="KLJ232" s="297" t="s">
        <v>124</v>
      </c>
      <c r="KLK232" s="297" t="s">
        <v>124</v>
      </c>
      <c r="KLL232" s="297" t="s">
        <v>124</v>
      </c>
      <c r="KLM232" s="297" t="s">
        <v>124</v>
      </c>
      <c r="KLN232" s="297" t="s">
        <v>124</v>
      </c>
      <c r="KLO232" s="297" t="s">
        <v>124</v>
      </c>
      <c r="KLP232" s="297" t="s">
        <v>124</v>
      </c>
      <c r="KLQ232" s="297" t="s">
        <v>124</v>
      </c>
      <c r="KLR232" s="297" t="s">
        <v>124</v>
      </c>
      <c r="KLS232" s="297" t="s">
        <v>124</v>
      </c>
      <c r="KLT232" s="297" t="s">
        <v>124</v>
      </c>
      <c r="KLU232" s="297" t="s">
        <v>124</v>
      </c>
      <c r="KLV232" s="297" t="s">
        <v>124</v>
      </c>
      <c r="KLW232" s="297" t="s">
        <v>124</v>
      </c>
      <c r="KLX232" s="297" t="s">
        <v>124</v>
      </c>
      <c r="KLY232" s="297" t="s">
        <v>124</v>
      </c>
      <c r="KLZ232" s="297" t="s">
        <v>124</v>
      </c>
      <c r="KMA232" s="297" t="s">
        <v>124</v>
      </c>
      <c r="KMB232" s="297" t="s">
        <v>124</v>
      </c>
      <c r="KMC232" s="297" t="s">
        <v>124</v>
      </c>
      <c r="KMD232" s="297" t="s">
        <v>124</v>
      </c>
      <c r="KME232" s="297" t="s">
        <v>124</v>
      </c>
      <c r="KMF232" s="297" t="s">
        <v>124</v>
      </c>
      <c r="KMG232" s="297" t="s">
        <v>124</v>
      </c>
      <c r="KMH232" s="297" t="s">
        <v>124</v>
      </c>
      <c r="KMI232" s="297" t="s">
        <v>124</v>
      </c>
      <c r="KMJ232" s="297" t="s">
        <v>124</v>
      </c>
      <c r="KMK232" s="297" t="s">
        <v>124</v>
      </c>
      <c r="KML232" s="297" t="s">
        <v>124</v>
      </c>
      <c r="KMM232" s="297" t="s">
        <v>124</v>
      </c>
      <c r="KMN232" s="297" t="s">
        <v>124</v>
      </c>
      <c r="KMO232" s="297" t="s">
        <v>124</v>
      </c>
      <c r="KMP232" s="297" t="s">
        <v>124</v>
      </c>
      <c r="KMQ232" s="297" t="s">
        <v>124</v>
      </c>
      <c r="KMR232" s="297" t="s">
        <v>124</v>
      </c>
      <c r="KMS232" s="297" t="s">
        <v>124</v>
      </c>
      <c r="KMT232" s="297" t="s">
        <v>124</v>
      </c>
      <c r="KMU232" s="297" t="s">
        <v>124</v>
      </c>
      <c r="KMV232" s="297" t="s">
        <v>124</v>
      </c>
      <c r="KMW232" s="297" t="s">
        <v>124</v>
      </c>
      <c r="KMX232" s="297" t="s">
        <v>124</v>
      </c>
      <c r="KMY232" s="297" t="s">
        <v>124</v>
      </c>
      <c r="KMZ232" s="297" t="s">
        <v>124</v>
      </c>
      <c r="KNA232" s="297" t="s">
        <v>124</v>
      </c>
      <c r="KNB232" s="297" t="s">
        <v>124</v>
      </c>
      <c r="KNC232" s="297" t="s">
        <v>124</v>
      </c>
      <c r="KND232" s="297" t="s">
        <v>124</v>
      </c>
      <c r="KNE232" s="297" t="s">
        <v>124</v>
      </c>
      <c r="KNF232" s="297" t="s">
        <v>124</v>
      </c>
      <c r="KNG232" s="297" t="s">
        <v>124</v>
      </c>
      <c r="KNH232" s="297" t="s">
        <v>124</v>
      </c>
      <c r="KNI232" s="297" t="s">
        <v>124</v>
      </c>
      <c r="KNJ232" s="297" t="s">
        <v>124</v>
      </c>
      <c r="KNK232" s="297" t="s">
        <v>124</v>
      </c>
      <c r="KNL232" s="297" t="s">
        <v>124</v>
      </c>
      <c r="KNM232" s="297" t="s">
        <v>124</v>
      </c>
      <c r="KNN232" s="297" t="s">
        <v>124</v>
      </c>
      <c r="KNO232" s="297" t="s">
        <v>124</v>
      </c>
      <c r="KNP232" s="297" t="s">
        <v>124</v>
      </c>
      <c r="KNQ232" s="297" t="s">
        <v>124</v>
      </c>
      <c r="KNR232" s="297" t="s">
        <v>124</v>
      </c>
      <c r="KNS232" s="297" t="s">
        <v>124</v>
      </c>
      <c r="KNT232" s="297" t="s">
        <v>124</v>
      </c>
      <c r="KNU232" s="297" t="s">
        <v>124</v>
      </c>
      <c r="KNV232" s="297" t="s">
        <v>124</v>
      </c>
      <c r="KNW232" s="297" t="s">
        <v>124</v>
      </c>
      <c r="KNX232" s="297" t="s">
        <v>124</v>
      </c>
      <c r="KNY232" s="297" t="s">
        <v>124</v>
      </c>
      <c r="KNZ232" s="297" t="s">
        <v>124</v>
      </c>
      <c r="KOA232" s="297" t="s">
        <v>124</v>
      </c>
      <c r="KOB232" s="297" t="s">
        <v>124</v>
      </c>
      <c r="KOC232" s="297" t="s">
        <v>124</v>
      </c>
      <c r="KOD232" s="297" t="s">
        <v>124</v>
      </c>
      <c r="KOE232" s="297" t="s">
        <v>124</v>
      </c>
      <c r="KOF232" s="297" t="s">
        <v>124</v>
      </c>
      <c r="KOG232" s="297" t="s">
        <v>124</v>
      </c>
      <c r="KOH232" s="297" t="s">
        <v>124</v>
      </c>
      <c r="KOI232" s="297" t="s">
        <v>124</v>
      </c>
      <c r="KOJ232" s="297" t="s">
        <v>124</v>
      </c>
      <c r="KOK232" s="297" t="s">
        <v>124</v>
      </c>
      <c r="KOL232" s="297" t="s">
        <v>124</v>
      </c>
      <c r="KOM232" s="297" t="s">
        <v>124</v>
      </c>
      <c r="KON232" s="297" t="s">
        <v>124</v>
      </c>
      <c r="KOO232" s="297" t="s">
        <v>124</v>
      </c>
      <c r="KOP232" s="297" t="s">
        <v>124</v>
      </c>
      <c r="KOQ232" s="297" t="s">
        <v>124</v>
      </c>
      <c r="KOR232" s="297" t="s">
        <v>124</v>
      </c>
      <c r="KOS232" s="297" t="s">
        <v>124</v>
      </c>
      <c r="KOT232" s="297" t="s">
        <v>124</v>
      </c>
      <c r="KOU232" s="297" t="s">
        <v>124</v>
      </c>
      <c r="KOV232" s="297" t="s">
        <v>124</v>
      </c>
      <c r="KOW232" s="297" t="s">
        <v>124</v>
      </c>
      <c r="KOX232" s="297" t="s">
        <v>124</v>
      </c>
      <c r="KOY232" s="297" t="s">
        <v>124</v>
      </c>
      <c r="KOZ232" s="297" t="s">
        <v>124</v>
      </c>
      <c r="KPA232" s="297" t="s">
        <v>124</v>
      </c>
      <c r="KPB232" s="297" t="s">
        <v>124</v>
      </c>
      <c r="KPC232" s="297" t="s">
        <v>124</v>
      </c>
      <c r="KPD232" s="297" t="s">
        <v>124</v>
      </c>
      <c r="KPE232" s="297" t="s">
        <v>124</v>
      </c>
      <c r="KPF232" s="297" t="s">
        <v>124</v>
      </c>
      <c r="KPG232" s="297" t="s">
        <v>124</v>
      </c>
      <c r="KPH232" s="297" t="s">
        <v>124</v>
      </c>
      <c r="KPI232" s="297" t="s">
        <v>124</v>
      </c>
      <c r="KPJ232" s="297" t="s">
        <v>124</v>
      </c>
      <c r="KPK232" s="297" t="s">
        <v>124</v>
      </c>
      <c r="KPL232" s="297" t="s">
        <v>124</v>
      </c>
      <c r="KPM232" s="297" t="s">
        <v>124</v>
      </c>
      <c r="KPN232" s="297" t="s">
        <v>124</v>
      </c>
      <c r="KPO232" s="297" t="s">
        <v>124</v>
      </c>
      <c r="KPP232" s="297" t="s">
        <v>124</v>
      </c>
      <c r="KPQ232" s="297" t="s">
        <v>124</v>
      </c>
      <c r="KPR232" s="297" t="s">
        <v>124</v>
      </c>
      <c r="KPS232" s="297" t="s">
        <v>124</v>
      </c>
      <c r="KPT232" s="297" t="s">
        <v>124</v>
      </c>
      <c r="KPU232" s="297" t="s">
        <v>124</v>
      </c>
      <c r="KPV232" s="297" t="s">
        <v>124</v>
      </c>
      <c r="KPW232" s="297" t="s">
        <v>124</v>
      </c>
      <c r="KPX232" s="297" t="s">
        <v>124</v>
      </c>
      <c r="KPY232" s="297" t="s">
        <v>124</v>
      </c>
      <c r="KPZ232" s="297" t="s">
        <v>124</v>
      </c>
      <c r="KQA232" s="297" t="s">
        <v>124</v>
      </c>
      <c r="KQB232" s="297" t="s">
        <v>124</v>
      </c>
      <c r="KQC232" s="297" t="s">
        <v>124</v>
      </c>
      <c r="KQD232" s="297" t="s">
        <v>124</v>
      </c>
      <c r="KQE232" s="297" t="s">
        <v>124</v>
      </c>
      <c r="KQF232" s="297" t="s">
        <v>124</v>
      </c>
      <c r="KQG232" s="297" t="s">
        <v>124</v>
      </c>
      <c r="KQH232" s="297" t="s">
        <v>124</v>
      </c>
      <c r="KQI232" s="297" t="s">
        <v>124</v>
      </c>
      <c r="KQJ232" s="297" t="s">
        <v>124</v>
      </c>
      <c r="KQK232" s="297" t="s">
        <v>124</v>
      </c>
      <c r="KQL232" s="297" t="s">
        <v>124</v>
      </c>
      <c r="KQM232" s="297" t="s">
        <v>124</v>
      </c>
      <c r="KQN232" s="297" t="s">
        <v>124</v>
      </c>
      <c r="KQO232" s="297" t="s">
        <v>124</v>
      </c>
      <c r="KQP232" s="297" t="s">
        <v>124</v>
      </c>
      <c r="KQQ232" s="297" t="s">
        <v>124</v>
      </c>
      <c r="KQR232" s="297" t="s">
        <v>124</v>
      </c>
      <c r="KQS232" s="297" t="s">
        <v>124</v>
      </c>
      <c r="KQT232" s="297" t="s">
        <v>124</v>
      </c>
      <c r="KQU232" s="297" t="s">
        <v>124</v>
      </c>
      <c r="KQV232" s="297" t="s">
        <v>124</v>
      </c>
      <c r="KQW232" s="297" t="s">
        <v>124</v>
      </c>
      <c r="KQX232" s="297" t="s">
        <v>124</v>
      </c>
      <c r="KQY232" s="297" t="s">
        <v>124</v>
      </c>
      <c r="KQZ232" s="297" t="s">
        <v>124</v>
      </c>
      <c r="KRA232" s="297" t="s">
        <v>124</v>
      </c>
      <c r="KRB232" s="297" t="s">
        <v>124</v>
      </c>
      <c r="KRC232" s="297" t="s">
        <v>124</v>
      </c>
      <c r="KRD232" s="297" t="s">
        <v>124</v>
      </c>
      <c r="KRE232" s="297" t="s">
        <v>124</v>
      </c>
      <c r="KRF232" s="297" t="s">
        <v>124</v>
      </c>
      <c r="KRG232" s="297" t="s">
        <v>124</v>
      </c>
      <c r="KRH232" s="297" t="s">
        <v>124</v>
      </c>
      <c r="KRI232" s="297" t="s">
        <v>124</v>
      </c>
      <c r="KRJ232" s="297" t="s">
        <v>124</v>
      </c>
      <c r="KRK232" s="297" t="s">
        <v>124</v>
      </c>
      <c r="KRL232" s="297" t="s">
        <v>124</v>
      </c>
      <c r="KRM232" s="297" t="s">
        <v>124</v>
      </c>
      <c r="KRN232" s="297" t="s">
        <v>124</v>
      </c>
      <c r="KRO232" s="297" t="s">
        <v>124</v>
      </c>
      <c r="KRP232" s="297" t="s">
        <v>124</v>
      </c>
      <c r="KRQ232" s="297" t="s">
        <v>124</v>
      </c>
      <c r="KRR232" s="297" t="s">
        <v>124</v>
      </c>
      <c r="KRS232" s="297" t="s">
        <v>124</v>
      </c>
      <c r="KRT232" s="297" t="s">
        <v>124</v>
      </c>
      <c r="KRU232" s="297" t="s">
        <v>124</v>
      </c>
      <c r="KRV232" s="297" t="s">
        <v>124</v>
      </c>
      <c r="KRW232" s="297" t="s">
        <v>124</v>
      </c>
      <c r="KRX232" s="297" t="s">
        <v>124</v>
      </c>
      <c r="KRY232" s="297" t="s">
        <v>124</v>
      </c>
      <c r="KRZ232" s="297" t="s">
        <v>124</v>
      </c>
      <c r="KSA232" s="297" t="s">
        <v>124</v>
      </c>
      <c r="KSB232" s="297" t="s">
        <v>124</v>
      </c>
      <c r="KSC232" s="297" t="s">
        <v>124</v>
      </c>
      <c r="KSD232" s="297" t="s">
        <v>124</v>
      </c>
      <c r="KSE232" s="297" t="s">
        <v>124</v>
      </c>
      <c r="KSF232" s="297" t="s">
        <v>124</v>
      </c>
      <c r="KSG232" s="297" t="s">
        <v>124</v>
      </c>
      <c r="KSH232" s="297" t="s">
        <v>124</v>
      </c>
      <c r="KSI232" s="297" t="s">
        <v>124</v>
      </c>
      <c r="KSJ232" s="297" t="s">
        <v>124</v>
      </c>
      <c r="KSK232" s="297" t="s">
        <v>124</v>
      </c>
      <c r="KSL232" s="297" t="s">
        <v>124</v>
      </c>
      <c r="KSM232" s="297" t="s">
        <v>124</v>
      </c>
      <c r="KSN232" s="297" t="s">
        <v>124</v>
      </c>
      <c r="KSO232" s="297" t="s">
        <v>124</v>
      </c>
      <c r="KSP232" s="297" t="s">
        <v>124</v>
      </c>
      <c r="KSQ232" s="297" t="s">
        <v>124</v>
      </c>
      <c r="KSR232" s="297" t="s">
        <v>124</v>
      </c>
      <c r="KSS232" s="297" t="s">
        <v>124</v>
      </c>
      <c r="KST232" s="297" t="s">
        <v>124</v>
      </c>
      <c r="KSU232" s="297" t="s">
        <v>124</v>
      </c>
      <c r="KSV232" s="297" t="s">
        <v>124</v>
      </c>
      <c r="KSW232" s="297" t="s">
        <v>124</v>
      </c>
      <c r="KSX232" s="297" t="s">
        <v>124</v>
      </c>
      <c r="KSY232" s="297" t="s">
        <v>124</v>
      </c>
      <c r="KSZ232" s="297" t="s">
        <v>124</v>
      </c>
      <c r="KTA232" s="297" t="s">
        <v>124</v>
      </c>
      <c r="KTB232" s="297" t="s">
        <v>124</v>
      </c>
      <c r="KTC232" s="297" t="s">
        <v>124</v>
      </c>
      <c r="KTD232" s="297" t="s">
        <v>124</v>
      </c>
      <c r="KTE232" s="297" t="s">
        <v>124</v>
      </c>
      <c r="KTF232" s="297" t="s">
        <v>124</v>
      </c>
      <c r="KTG232" s="297" t="s">
        <v>124</v>
      </c>
      <c r="KTH232" s="297" t="s">
        <v>124</v>
      </c>
      <c r="KTI232" s="297" t="s">
        <v>124</v>
      </c>
      <c r="KTJ232" s="297" t="s">
        <v>124</v>
      </c>
      <c r="KTK232" s="297" t="s">
        <v>124</v>
      </c>
      <c r="KTL232" s="297" t="s">
        <v>124</v>
      </c>
      <c r="KTM232" s="297" t="s">
        <v>124</v>
      </c>
      <c r="KTN232" s="297" t="s">
        <v>124</v>
      </c>
      <c r="KTO232" s="297" t="s">
        <v>124</v>
      </c>
      <c r="KTP232" s="297" t="s">
        <v>124</v>
      </c>
      <c r="KTQ232" s="297" t="s">
        <v>124</v>
      </c>
      <c r="KTR232" s="297" t="s">
        <v>124</v>
      </c>
      <c r="KTS232" s="297" t="s">
        <v>124</v>
      </c>
      <c r="KTT232" s="297" t="s">
        <v>124</v>
      </c>
      <c r="KTU232" s="297" t="s">
        <v>124</v>
      </c>
      <c r="KTV232" s="297" t="s">
        <v>124</v>
      </c>
      <c r="KTW232" s="297" t="s">
        <v>124</v>
      </c>
      <c r="KTX232" s="297" t="s">
        <v>124</v>
      </c>
      <c r="KTY232" s="297" t="s">
        <v>124</v>
      </c>
      <c r="KTZ232" s="297" t="s">
        <v>124</v>
      </c>
      <c r="KUA232" s="297" t="s">
        <v>124</v>
      </c>
      <c r="KUB232" s="297" t="s">
        <v>124</v>
      </c>
      <c r="KUC232" s="297" t="s">
        <v>124</v>
      </c>
      <c r="KUD232" s="297" t="s">
        <v>124</v>
      </c>
      <c r="KUE232" s="297" t="s">
        <v>124</v>
      </c>
      <c r="KUF232" s="297" t="s">
        <v>124</v>
      </c>
      <c r="KUG232" s="297" t="s">
        <v>124</v>
      </c>
      <c r="KUH232" s="297" t="s">
        <v>124</v>
      </c>
      <c r="KUI232" s="297" t="s">
        <v>124</v>
      </c>
      <c r="KUJ232" s="297" t="s">
        <v>124</v>
      </c>
      <c r="KUK232" s="297" t="s">
        <v>124</v>
      </c>
      <c r="KUL232" s="297" t="s">
        <v>124</v>
      </c>
      <c r="KUM232" s="297" t="s">
        <v>124</v>
      </c>
      <c r="KUN232" s="297" t="s">
        <v>124</v>
      </c>
      <c r="KUO232" s="297" t="s">
        <v>124</v>
      </c>
      <c r="KUP232" s="297" t="s">
        <v>124</v>
      </c>
      <c r="KUQ232" s="297" t="s">
        <v>124</v>
      </c>
      <c r="KUR232" s="297" t="s">
        <v>124</v>
      </c>
      <c r="KUS232" s="297" t="s">
        <v>124</v>
      </c>
      <c r="KUT232" s="297" t="s">
        <v>124</v>
      </c>
      <c r="KUU232" s="297" t="s">
        <v>124</v>
      </c>
      <c r="KUV232" s="297" t="s">
        <v>124</v>
      </c>
      <c r="KUW232" s="297" t="s">
        <v>124</v>
      </c>
      <c r="KUX232" s="297" t="s">
        <v>124</v>
      </c>
      <c r="KUY232" s="297" t="s">
        <v>124</v>
      </c>
      <c r="KUZ232" s="297" t="s">
        <v>124</v>
      </c>
      <c r="KVA232" s="297" t="s">
        <v>124</v>
      </c>
      <c r="KVB232" s="297" t="s">
        <v>124</v>
      </c>
      <c r="KVC232" s="297" t="s">
        <v>124</v>
      </c>
      <c r="KVD232" s="297" t="s">
        <v>124</v>
      </c>
      <c r="KVE232" s="297" t="s">
        <v>124</v>
      </c>
      <c r="KVF232" s="297" t="s">
        <v>124</v>
      </c>
      <c r="KVG232" s="297" t="s">
        <v>124</v>
      </c>
      <c r="KVH232" s="297" t="s">
        <v>124</v>
      </c>
      <c r="KVI232" s="297" t="s">
        <v>124</v>
      </c>
      <c r="KVJ232" s="297" t="s">
        <v>124</v>
      </c>
      <c r="KVK232" s="297" t="s">
        <v>124</v>
      </c>
      <c r="KVL232" s="297" t="s">
        <v>124</v>
      </c>
      <c r="KVM232" s="297" t="s">
        <v>124</v>
      </c>
      <c r="KVN232" s="297" t="s">
        <v>124</v>
      </c>
      <c r="KVO232" s="297" t="s">
        <v>124</v>
      </c>
      <c r="KVP232" s="297" t="s">
        <v>124</v>
      </c>
      <c r="KVQ232" s="297" t="s">
        <v>124</v>
      </c>
      <c r="KVR232" s="297" t="s">
        <v>124</v>
      </c>
      <c r="KVS232" s="297" t="s">
        <v>124</v>
      </c>
      <c r="KVT232" s="297" t="s">
        <v>124</v>
      </c>
      <c r="KVU232" s="297" t="s">
        <v>124</v>
      </c>
      <c r="KVV232" s="297" t="s">
        <v>124</v>
      </c>
      <c r="KVW232" s="297" t="s">
        <v>124</v>
      </c>
      <c r="KVX232" s="297" t="s">
        <v>124</v>
      </c>
      <c r="KVY232" s="297" t="s">
        <v>124</v>
      </c>
      <c r="KVZ232" s="297" t="s">
        <v>124</v>
      </c>
      <c r="KWA232" s="297" t="s">
        <v>124</v>
      </c>
      <c r="KWB232" s="297" t="s">
        <v>124</v>
      </c>
      <c r="KWC232" s="297" t="s">
        <v>124</v>
      </c>
      <c r="KWD232" s="297" t="s">
        <v>124</v>
      </c>
      <c r="KWE232" s="297" t="s">
        <v>124</v>
      </c>
      <c r="KWF232" s="297" t="s">
        <v>124</v>
      </c>
      <c r="KWG232" s="297" t="s">
        <v>124</v>
      </c>
      <c r="KWH232" s="297" t="s">
        <v>124</v>
      </c>
      <c r="KWI232" s="297" t="s">
        <v>124</v>
      </c>
      <c r="KWJ232" s="297" t="s">
        <v>124</v>
      </c>
      <c r="KWK232" s="297" t="s">
        <v>124</v>
      </c>
      <c r="KWL232" s="297" t="s">
        <v>124</v>
      </c>
      <c r="KWM232" s="297" t="s">
        <v>124</v>
      </c>
      <c r="KWN232" s="297" t="s">
        <v>124</v>
      </c>
      <c r="KWO232" s="297" t="s">
        <v>124</v>
      </c>
      <c r="KWP232" s="297" t="s">
        <v>124</v>
      </c>
      <c r="KWQ232" s="297" t="s">
        <v>124</v>
      </c>
      <c r="KWR232" s="297" t="s">
        <v>124</v>
      </c>
      <c r="KWS232" s="297" t="s">
        <v>124</v>
      </c>
      <c r="KWT232" s="297" t="s">
        <v>124</v>
      </c>
      <c r="KWU232" s="297" t="s">
        <v>124</v>
      </c>
      <c r="KWV232" s="297" t="s">
        <v>124</v>
      </c>
      <c r="KWW232" s="297" t="s">
        <v>124</v>
      </c>
      <c r="KWX232" s="297" t="s">
        <v>124</v>
      </c>
      <c r="KWY232" s="297" t="s">
        <v>124</v>
      </c>
      <c r="KWZ232" s="297" t="s">
        <v>124</v>
      </c>
      <c r="KXA232" s="297" t="s">
        <v>124</v>
      </c>
      <c r="KXB232" s="297" t="s">
        <v>124</v>
      </c>
      <c r="KXC232" s="297" t="s">
        <v>124</v>
      </c>
      <c r="KXD232" s="297" t="s">
        <v>124</v>
      </c>
      <c r="KXE232" s="297" t="s">
        <v>124</v>
      </c>
      <c r="KXF232" s="297" t="s">
        <v>124</v>
      </c>
      <c r="KXG232" s="297" t="s">
        <v>124</v>
      </c>
      <c r="KXH232" s="297" t="s">
        <v>124</v>
      </c>
      <c r="KXI232" s="297" t="s">
        <v>124</v>
      </c>
      <c r="KXJ232" s="297" t="s">
        <v>124</v>
      </c>
      <c r="KXK232" s="297" t="s">
        <v>124</v>
      </c>
      <c r="KXL232" s="297" t="s">
        <v>124</v>
      </c>
      <c r="KXM232" s="297" t="s">
        <v>124</v>
      </c>
      <c r="KXN232" s="297" t="s">
        <v>124</v>
      </c>
      <c r="KXO232" s="297" t="s">
        <v>124</v>
      </c>
      <c r="KXP232" s="297" t="s">
        <v>124</v>
      </c>
      <c r="KXQ232" s="297" t="s">
        <v>124</v>
      </c>
      <c r="KXR232" s="297" t="s">
        <v>124</v>
      </c>
      <c r="KXS232" s="297" t="s">
        <v>124</v>
      </c>
      <c r="KXT232" s="297" t="s">
        <v>124</v>
      </c>
      <c r="KXU232" s="297" t="s">
        <v>124</v>
      </c>
      <c r="KXV232" s="297" t="s">
        <v>124</v>
      </c>
      <c r="KXW232" s="297" t="s">
        <v>124</v>
      </c>
      <c r="KXX232" s="297" t="s">
        <v>124</v>
      </c>
      <c r="KXY232" s="297" t="s">
        <v>124</v>
      </c>
      <c r="KXZ232" s="297" t="s">
        <v>124</v>
      </c>
      <c r="KYA232" s="297" t="s">
        <v>124</v>
      </c>
      <c r="KYB232" s="297" t="s">
        <v>124</v>
      </c>
      <c r="KYC232" s="297" t="s">
        <v>124</v>
      </c>
      <c r="KYD232" s="297" t="s">
        <v>124</v>
      </c>
      <c r="KYE232" s="297" t="s">
        <v>124</v>
      </c>
      <c r="KYF232" s="297" t="s">
        <v>124</v>
      </c>
      <c r="KYG232" s="297" t="s">
        <v>124</v>
      </c>
      <c r="KYH232" s="297" t="s">
        <v>124</v>
      </c>
      <c r="KYI232" s="297" t="s">
        <v>124</v>
      </c>
      <c r="KYJ232" s="297" t="s">
        <v>124</v>
      </c>
      <c r="KYK232" s="297" t="s">
        <v>124</v>
      </c>
      <c r="KYL232" s="297" t="s">
        <v>124</v>
      </c>
      <c r="KYM232" s="297" t="s">
        <v>124</v>
      </c>
      <c r="KYN232" s="297" t="s">
        <v>124</v>
      </c>
      <c r="KYO232" s="297" t="s">
        <v>124</v>
      </c>
      <c r="KYP232" s="297" t="s">
        <v>124</v>
      </c>
      <c r="KYQ232" s="297" t="s">
        <v>124</v>
      </c>
      <c r="KYR232" s="297" t="s">
        <v>124</v>
      </c>
      <c r="KYS232" s="297" t="s">
        <v>124</v>
      </c>
      <c r="KYT232" s="297" t="s">
        <v>124</v>
      </c>
      <c r="KYU232" s="297" t="s">
        <v>124</v>
      </c>
      <c r="KYV232" s="297" t="s">
        <v>124</v>
      </c>
      <c r="KYW232" s="297" t="s">
        <v>124</v>
      </c>
      <c r="KYX232" s="297" t="s">
        <v>124</v>
      </c>
      <c r="KYY232" s="297" t="s">
        <v>124</v>
      </c>
      <c r="KYZ232" s="297" t="s">
        <v>124</v>
      </c>
      <c r="KZA232" s="297" t="s">
        <v>124</v>
      </c>
      <c r="KZB232" s="297" t="s">
        <v>124</v>
      </c>
      <c r="KZC232" s="297" t="s">
        <v>124</v>
      </c>
      <c r="KZD232" s="297" t="s">
        <v>124</v>
      </c>
      <c r="KZE232" s="297" t="s">
        <v>124</v>
      </c>
      <c r="KZF232" s="297" t="s">
        <v>124</v>
      </c>
      <c r="KZG232" s="297" t="s">
        <v>124</v>
      </c>
      <c r="KZH232" s="297" t="s">
        <v>124</v>
      </c>
      <c r="KZI232" s="297" t="s">
        <v>124</v>
      </c>
      <c r="KZJ232" s="297" t="s">
        <v>124</v>
      </c>
      <c r="KZK232" s="297" t="s">
        <v>124</v>
      </c>
      <c r="KZL232" s="297" t="s">
        <v>124</v>
      </c>
      <c r="KZM232" s="297" t="s">
        <v>124</v>
      </c>
      <c r="KZN232" s="297" t="s">
        <v>124</v>
      </c>
      <c r="KZO232" s="297" t="s">
        <v>124</v>
      </c>
      <c r="KZP232" s="297" t="s">
        <v>124</v>
      </c>
      <c r="KZQ232" s="297" t="s">
        <v>124</v>
      </c>
      <c r="KZR232" s="297" t="s">
        <v>124</v>
      </c>
      <c r="KZS232" s="297" t="s">
        <v>124</v>
      </c>
      <c r="KZT232" s="297" t="s">
        <v>124</v>
      </c>
      <c r="KZU232" s="297" t="s">
        <v>124</v>
      </c>
      <c r="KZV232" s="297" t="s">
        <v>124</v>
      </c>
      <c r="KZW232" s="297" t="s">
        <v>124</v>
      </c>
      <c r="KZX232" s="297" t="s">
        <v>124</v>
      </c>
      <c r="KZY232" s="297" t="s">
        <v>124</v>
      </c>
      <c r="KZZ232" s="297" t="s">
        <v>124</v>
      </c>
      <c r="LAA232" s="297" t="s">
        <v>124</v>
      </c>
      <c r="LAB232" s="297" t="s">
        <v>124</v>
      </c>
      <c r="LAC232" s="297" t="s">
        <v>124</v>
      </c>
      <c r="LAD232" s="297" t="s">
        <v>124</v>
      </c>
      <c r="LAE232" s="297" t="s">
        <v>124</v>
      </c>
      <c r="LAF232" s="297" t="s">
        <v>124</v>
      </c>
      <c r="LAG232" s="297" t="s">
        <v>124</v>
      </c>
      <c r="LAH232" s="297" t="s">
        <v>124</v>
      </c>
      <c r="LAI232" s="297" t="s">
        <v>124</v>
      </c>
      <c r="LAJ232" s="297" t="s">
        <v>124</v>
      </c>
      <c r="LAK232" s="297" t="s">
        <v>124</v>
      </c>
      <c r="LAL232" s="297" t="s">
        <v>124</v>
      </c>
      <c r="LAM232" s="297" t="s">
        <v>124</v>
      </c>
      <c r="LAN232" s="297" t="s">
        <v>124</v>
      </c>
      <c r="LAO232" s="297" t="s">
        <v>124</v>
      </c>
      <c r="LAP232" s="297" t="s">
        <v>124</v>
      </c>
      <c r="LAQ232" s="297" t="s">
        <v>124</v>
      </c>
      <c r="LAR232" s="297" t="s">
        <v>124</v>
      </c>
      <c r="LAS232" s="297" t="s">
        <v>124</v>
      </c>
      <c r="LAT232" s="297" t="s">
        <v>124</v>
      </c>
      <c r="LAU232" s="297" t="s">
        <v>124</v>
      </c>
      <c r="LAV232" s="297" t="s">
        <v>124</v>
      </c>
      <c r="LAW232" s="297" t="s">
        <v>124</v>
      </c>
      <c r="LAX232" s="297" t="s">
        <v>124</v>
      </c>
      <c r="LAY232" s="297" t="s">
        <v>124</v>
      </c>
      <c r="LAZ232" s="297" t="s">
        <v>124</v>
      </c>
      <c r="LBA232" s="297" t="s">
        <v>124</v>
      </c>
      <c r="LBB232" s="297" t="s">
        <v>124</v>
      </c>
      <c r="LBC232" s="297" t="s">
        <v>124</v>
      </c>
      <c r="LBD232" s="297" t="s">
        <v>124</v>
      </c>
      <c r="LBE232" s="297" t="s">
        <v>124</v>
      </c>
      <c r="LBF232" s="297" t="s">
        <v>124</v>
      </c>
      <c r="LBG232" s="297" t="s">
        <v>124</v>
      </c>
      <c r="LBH232" s="297" t="s">
        <v>124</v>
      </c>
      <c r="LBI232" s="297" t="s">
        <v>124</v>
      </c>
      <c r="LBJ232" s="297" t="s">
        <v>124</v>
      </c>
      <c r="LBK232" s="297" t="s">
        <v>124</v>
      </c>
      <c r="LBL232" s="297" t="s">
        <v>124</v>
      </c>
      <c r="LBM232" s="297" t="s">
        <v>124</v>
      </c>
      <c r="LBN232" s="297" t="s">
        <v>124</v>
      </c>
      <c r="LBO232" s="297" t="s">
        <v>124</v>
      </c>
      <c r="LBP232" s="297" t="s">
        <v>124</v>
      </c>
      <c r="LBQ232" s="297" t="s">
        <v>124</v>
      </c>
      <c r="LBR232" s="297" t="s">
        <v>124</v>
      </c>
      <c r="LBS232" s="297" t="s">
        <v>124</v>
      </c>
      <c r="LBT232" s="297" t="s">
        <v>124</v>
      </c>
      <c r="LBU232" s="297" t="s">
        <v>124</v>
      </c>
      <c r="LBV232" s="297" t="s">
        <v>124</v>
      </c>
      <c r="LBW232" s="297" t="s">
        <v>124</v>
      </c>
      <c r="LBX232" s="297" t="s">
        <v>124</v>
      </c>
      <c r="LBY232" s="297" t="s">
        <v>124</v>
      </c>
      <c r="LBZ232" s="297" t="s">
        <v>124</v>
      </c>
      <c r="LCA232" s="297" t="s">
        <v>124</v>
      </c>
      <c r="LCB232" s="297" t="s">
        <v>124</v>
      </c>
      <c r="LCC232" s="297" t="s">
        <v>124</v>
      </c>
      <c r="LCD232" s="297" t="s">
        <v>124</v>
      </c>
      <c r="LCE232" s="297" t="s">
        <v>124</v>
      </c>
      <c r="LCF232" s="297" t="s">
        <v>124</v>
      </c>
      <c r="LCG232" s="297" t="s">
        <v>124</v>
      </c>
      <c r="LCH232" s="297" t="s">
        <v>124</v>
      </c>
      <c r="LCI232" s="297" t="s">
        <v>124</v>
      </c>
      <c r="LCJ232" s="297" t="s">
        <v>124</v>
      </c>
      <c r="LCK232" s="297" t="s">
        <v>124</v>
      </c>
      <c r="LCL232" s="297" t="s">
        <v>124</v>
      </c>
      <c r="LCM232" s="297" t="s">
        <v>124</v>
      </c>
      <c r="LCN232" s="297" t="s">
        <v>124</v>
      </c>
      <c r="LCO232" s="297" t="s">
        <v>124</v>
      </c>
      <c r="LCP232" s="297" t="s">
        <v>124</v>
      </c>
      <c r="LCQ232" s="297" t="s">
        <v>124</v>
      </c>
      <c r="LCR232" s="297" t="s">
        <v>124</v>
      </c>
      <c r="LCS232" s="297" t="s">
        <v>124</v>
      </c>
      <c r="LCT232" s="297" t="s">
        <v>124</v>
      </c>
      <c r="LCU232" s="297" t="s">
        <v>124</v>
      </c>
      <c r="LCV232" s="297" t="s">
        <v>124</v>
      </c>
      <c r="LCW232" s="297" t="s">
        <v>124</v>
      </c>
      <c r="LCX232" s="297" t="s">
        <v>124</v>
      </c>
      <c r="LCY232" s="297" t="s">
        <v>124</v>
      </c>
      <c r="LCZ232" s="297" t="s">
        <v>124</v>
      </c>
      <c r="LDA232" s="297" t="s">
        <v>124</v>
      </c>
      <c r="LDB232" s="297" t="s">
        <v>124</v>
      </c>
      <c r="LDC232" s="297" t="s">
        <v>124</v>
      </c>
      <c r="LDD232" s="297" t="s">
        <v>124</v>
      </c>
      <c r="LDE232" s="297" t="s">
        <v>124</v>
      </c>
      <c r="LDF232" s="297" t="s">
        <v>124</v>
      </c>
      <c r="LDG232" s="297" t="s">
        <v>124</v>
      </c>
      <c r="LDH232" s="297" t="s">
        <v>124</v>
      </c>
      <c r="LDI232" s="297" t="s">
        <v>124</v>
      </c>
      <c r="LDJ232" s="297" t="s">
        <v>124</v>
      </c>
      <c r="LDK232" s="297" t="s">
        <v>124</v>
      </c>
      <c r="LDL232" s="297" t="s">
        <v>124</v>
      </c>
      <c r="LDM232" s="297" t="s">
        <v>124</v>
      </c>
      <c r="LDN232" s="297" t="s">
        <v>124</v>
      </c>
      <c r="LDO232" s="297" t="s">
        <v>124</v>
      </c>
      <c r="LDP232" s="297" t="s">
        <v>124</v>
      </c>
      <c r="LDQ232" s="297" t="s">
        <v>124</v>
      </c>
      <c r="LDR232" s="297" t="s">
        <v>124</v>
      </c>
      <c r="LDS232" s="297" t="s">
        <v>124</v>
      </c>
      <c r="LDT232" s="297" t="s">
        <v>124</v>
      </c>
      <c r="LDU232" s="297" t="s">
        <v>124</v>
      </c>
      <c r="LDV232" s="297" t="s">
        <v>124</v>
      </c>
      <c r="LDW232" s="297" t="s">
        <v>124</v>
      </c>
      <c r="LDX232" s="297" t="s">
        <v>124</v>
      </c>
      <c r="LDY232" s="297" t="s">
        <v>124</v>
      </c>
      <c r="LDZ232" s="297" t="s">
        <v>124</v>
      </c>
      <c r="LEA232" s="297" t="s">
        <v>124</v>
      </c>
      <c r="LEB232" s="297" t="s">
        <v>124</v>
      </c>
      <c r="LEC232" s="297" t="s">
        <v>124</v>
      </c>
      <c r="LED232" s="297" t="s">
        <v>124</v>
      </c>
      <c r="LEE232" s="297" t="s">
        <v>124</v>
      </c>
      <c r="LEF232" s="297" t="s">
        <v>124</v>
      </c>
      <c r="LEG232" s="297" t="s">
        <v>124</v>
      </c>
      <c r="LEH232" s="297" t="s">
        <v>124</v>
      </c>
      <c r="LEI232" s="297" t="s">
        <v>124</v>
      </c>
      <c r="LEJ232" s="297" t="s">
        <v>124</v>
      </c>
      <c r="LEK232" s="297" t="s">
        <v>124</v>
      </c>
      <c r="LEL232" s="297" t="s">
        <v>124</v>
      </c>
      <c r="LEM232" s="297" t="s">
        <v>124</v>
      </c>
      <c r="LEN232" s="297" t="s">
        <v>124</v>
      </c>
      <c r="LEO232" s="297" t="s">
        <v>124</v>
      </c>
      <c r="LEP232" s="297" t="s">
        <v>124</v>
      </c>
      <c r="LEQ232" s="297" t="s">
        <v>124</v>
      </c>
      <c r="LER232" s="297" t="s">
        <v>124</v>
      </c>
      <c r="LES232" s="297" t="s">
        <v>124</v>
      </c>
      <c r="LET232" s="297" t="s">
        <v>124</v>
      </c>
      <c r="LEU232" s="297" t="s">
        <v>124</v>
      </c>
      <c r="LEV232" s="297" t="s">
        <v>124</v>
      </c>
      <c r="LEW232" s="297" t="s">
        <v>124</v>
      </c>
      <c r="LEX232" s="297" t="s">
        <v>124</v>
      </c>
      <c r="LEY232" s="297" t="s">
        <v>124</v>
      </c>
      <c r="LEZ232" s="297" t="s">
        <v>124</v>
      </c>
      <c r="LFA232" s="297" t="s">
        <v>124</v>
      </c>
      <c r="LFB232" s="297" t="s">
        <v>124</v>
      </c>
      <c r="LFC232" s="297" t="s">
        <v>124</v>
      </c>
      <c r="LFD232" s="297" t="s">
        <v>124</v>
      </c>
      <c r="LFE232" s="297" t="s">
        <v>124</v>
      </c>
      <c r="LFF232" s="297" t="s">
        <v>124</v>
      </c>
      <c r="LFG232" s="297" t="s">
        <v>124</v>
      </c>
      <c r="LFH232" s="297" t="s">
        <v>124</v>
      </c>
      <c r="LFI232" s="297" t="s">
        <v>124</v>
      </c>
      <c r="LFJ232" s="297" t="s">
        <v>124</v>
      </c>
      <c r="LFK232" s="297" t="s">
        <v>124</v>
      </c>
      <c r="LFL232" s="297" t="s">
        <v>124</v>
      </c>
      <c r="LFM232" s="297" t="s">
        <v>124</v>
      </c>
      <c r="LFN232" s="297" t="s">
        <v>124</v>
      </c>
      <c r="LFO232" s="297" t="s">
        <v>124</v>
      </c>
      <c r="LFP232" s="297" t="s">
        <v>124</v>
      </c>
      <c r="LFQ232" s="297" t="s">
        <v>124</v>
      </c>
      <c r="LFR232" s="297" t="s">
        <v>124</v>
      </c>
      <c r="LFS232" s="297" t="s">
        <v>124</v>
      </c>
      <c r="LFT232" s="297" t="s">
        <v>124</v>
      </c>
      <c r="LFU232" s="297" t="s">
        <v>124</v>
      </c>
      <c r="LFV232" s="297" t="s">
        <v>124</v>
      </c>
      <c r="LFW232" s="297" t="s">
        <v>124</v>
      </c>
      <c r="LFX232" s="297" t="s">
        <v>124</v>
      </c>
      <c r="LFY232" s="297" t="s">
        <v>124</v>
      </c>
      <c r="LFZ232" s="297" t="s">
        <v>124</v>
      </c>
      <c r="LGA232" s="297" t="s">
        <v>124</v>
      </c>
      <c r="LGB232" s="297" t="s">
        <v>124</v>
      </c>
      <c r="LGC232" s="297" t="s">
        <v>124</v>
      </c>
      <c r="LGD232" s="297" t="s">
        <v>124</v>
      </c>
      <c r="LGE232" s="297" t="s">
        <v>124</v>
      </c>
      <c r="LGF232" s="297" t="s">
        <v>124</v>
      </c>
      <c r="LGG232" s="297" t="s">
        <v>124</v>
      </c>
      <c r="LGH232" s="297" t="s">
        <v>124</v>
      </c>
      <c r="LGI232" s="297" t="s">
        <v>124</v>
      </c>
      <c r="LGJ232" s="297" t="s">
        <v>124</v>
      </c>
      <c r="LGK232" s="297" t="s">
        <v>124</v>
      </c>
      <c r="LGL232" s="297" t="s">
        <v>124</v>
      </c>
      <c r="LGM232" s="297" t="s">
        <v>124</v>
      </c>
      <c r="LGN232" s="297" t="s">
        <v>124</v>
      </c>
      <c r="LGO232" s="297" t="s">
        <v>124</v>
      </c>
      <c r="LGP232" s="297" t="s">
        <v>124</v>
      </c>
      <c r="LGQ232" s="297" t="s">
        <v>124</v>
      </c>
      <c r="LGR232" s="297" t="s">
        <v>124</v>
      </c>
      <c r="LGS232" s="297" t="s">
        <v>124</v>
      </c>
      <c r="LGT232" s="297" t="s">
        <v>124</v>
      </c>
      <c r="LGU232" s="297" t="s">
        <v>124</v>
      </c>
      <c r="LGV232" s="297" t="s">
        <v>124</v>
      </c>
      <c r="LGW232" s="297" t="s">
        <v>124</v>
      </c>
      <c r="LGX232" s="297" t="s">
        <v>124</v>
      </c>
      <c r="LGY232" s="297" t="s">
        <v>124</v>
      </c>
      <c r="LGZ232" s="297" t="s">
        <v>124</v>
      </c>
      <c r="LHA232" s="297" t="s">
        <v>124</v>
      </c>
      <c r="LHB232" s="297" t="s">
        <v>124</v>
      </c>
      <c r="LHC232" s="297" t="s">
        <v>124</v>
      </c>
      <c r="LHD232" s="297" t="s">
        <v>124</v>
      </c>
      <c r="LHE232" s="297" t="s">
        <v>124</v>
      </c>
      <c r="LHF232" s="297" t="s">
        <v>124</v>
      </c>
      <c r="LHG232" s="297" t="s">
        <v>124</v>
      </c>
      <c r="LHH232" s="297" t="s">
        <v>124</v>
      </c>
      <c r="LHI232" s="297" t="s">
        <v>124</v>
      </c>
      <c r="LHJ232" s="297" t="s">
        <v>124</v>
      </c>
      <c r="LHK232" s="297" t="s">
        <v>124</v>
      </c>
      <c r="LHL232" s="297" t="s">
        <v>124</v>
      </c>
      <c r="LHM232" s="297" t="s">
        <v>124</v>
      </c>
      <c r="LHN232" s="297" t="s">
        <v>124</v>
      </c>
      <c r="LHO232" s="297" t="s">
        <v>124</v>
      </c>
      <c r="LHP232" s="297" t="s">
        <v>124</v>
      </c>
      <c r="LHQ232" s="297" t="s">
        <v>124</v>
      </c>
      <c r="LHR232" s="297" t="s">
        <v>124</v>
      </c>
      <c r="LHS232" s="297" t="s">
        <v>124</v>
      </c>
      <c r="LHT232" s="297" t="s">
        <v>124</v>
      </c>
      <c r="LHU232" s="297" t="s">
        <v>124</v>
      </c>
      <c r="LHV232" s="297" t="s">
        <v>124</v>
      </c>
      <c r="LHW232" s="297" t="s">
        <v>124</v>
      </c>
      <c r="LHX232" s="297" t="s">
        <v>124</v>
      </c>
      <c r="LHY232" s="297" t="s">
        <v>124</v>
      </c>
      <c r="LHZ232" s="297" t="s">
        <v>124</v>
      </c>
      <c r="LIA232" s="297" t="s">
        <v>124</v>
      </c>
      <c r="LIB232" s="297" t="s">
        <v>124</v>
      </c>
      <c r="LIC232" s="297" t="s">
        <v>124</v>
      </c>
      <c r="LID232" s="297" t="s">
        <v>124</v>
      </c>
      <c r="LIE232" s="297" t="s">
        <v>124</v>
      </c>
      <c r="LIF232" s="297" t="s">
        <v>124</v>
      </c>
      <c r="LIG232" s="297" t="s">
        <v>124</v>
      </c>
      <c r="LIH232" s="297" t="s">
        <v>124</v>
      </c>
      <c r="LII232" s="297" t="s">
        <v>124</v>
      </c>
      <c r="LIJ232" s="297" t="s">
        <v>124</v>
      </c>
      <c r="LIK232" s="297" t="s">
        <v>124</v>
      </c>
      <c r="LIL232" s="297" t="s">
        <v>124</v>
      </c>
      <c r="LIM232" s="297" t="s">
        <v>124</v>
      </c>
      <c r="LIN232" s="297" t="s">
        <v>124</v>
      </c>
      <c r="LIO232" s="297" t="s">
        <v>124</v>
      </c>
      <c r="LIP232" s="297" t="s">
        <v>124</v>
      </c>
      <c r="LIQ232" s="297" t="s">
        <v>124</v>
      </c>
      <c r="LIR232" s="297" t="s">
        <v>124</v>
      </c>
      <c r="LIS232" s="297" t="s">
        <v>124</v>
      </c>
      <c r="LIT232" s="297" t="s">
        <v>124</v>
      </c>
      <c r="LIU232" s="297" t="s">
        <v>124</v>
      </c>
      <c r="LIV232" s="297" t="s">
        <v>124</v>
      </c>
      <c r="LIW232" s="297" t="s">
        <v>124</v>
      </c>
      <c r="LIX232" s="297" t="s">
        <v>124</v>
      </c>
      <c r="LIY232" s="297" t="s">
        <v>124</v>
      </c>
      <c r="LIZ232" s="297" t="s">
        <v>124</v>
      </c>
      <c r="LJA232" s="297" t="s">
        <v>124</v>
      </c>
      <c r="LJB232" s="297" t="s">
        <v>124</v>
      </c>
      <c r="LJC232" s="297" t="s">
        <v>124</v>
      </c>
      <c r="LJD232" s="297" t="s">
        <v>124</v>
      </c>
      <c r="LJE232" s="297" t="s">
        <v>124</v>
      </c>
      <c r="LJF232" s="297" t="s">
        <v>124</v>
      </c>
      <c r="LJG232" s="297" t="s">
        <v>124</v>
      </c>
      <c r="LJH232" s="297" t="s">
        <v>124</v>
      </c>
      <c r="LJI232" s="297" t="s">
        <v>124</v>
      </c>
      <c r="LJJ232" s="297" t="s">
        <v>124</v>
      </c>
      <c r="LJK232" s="297" t="s">
        <v>124</v>
      </c>
      <c r="LJL232" s="297" t="s">
        <v>124</v>
      </c>
      <c r="LJM232" s="297" t="s">
        <v>124</v>
      </c>
      <c r="LJN232" s="297" t="s">
        <v>124</v>
      </c>
      <c r="LJO232" s="297" t="s">
        <v>124</v>
      </c>
      <c r="LJP232" s="297" t="s">
        <v>124</v>
      </c>
      <c r="LJQ232" s="297" t="s">
        <v>124</v>
      </c>
      <c r="LJR232" s="297" t="s">
        <v>124</v>
      </c>
      <c r="LJS232" s="297" t="s">
        <v>124</v>
      </c>
      <c r="LJT232" s="297" t="s">
        <v>124</v>
      </c>
      <c r="LJU232" s="297" t="s">
        <v>124</v>
      </c>
      <c r="LJV232" s="297" t="s">
        <v>124</v>
      </c>
      <c r="LJW232" s="297" t="s">
        <v>124</v>
      </c>
      <c r="LJX232" s="297" t="s">
        <v>124</v>
      </c>
      <c r="LJY232" s="297" t="s">
        <v>124</v>
      </c>
      <c r="LJZ232" s="297" t="s">
        <v>124</v>
      </c>
      <c r="LKA232" s="297" t="s">
        <v>124</v>
      </c>
      <c r="LKB232" s="297" t="s">
        <v>124</v>
      </c>
      <c r="LKC232" s="297" t="s">
        <v>124</v>
      </c>
      <c r="LKD232" s="297" t="s">
        <v>124</v>
      </c>
      <c r="LKE232" s="297" t="s">
        <v>124</v>
      </c>
      <c r="LKF232" s="297" t="s">
        <v>124</v>
      </c>
      <c r="LKG232" s="297" t="s">
        <v>124</v>
      </c>
      <c r="LKH232" s="297" t="s">
        <v>124</v>
      </c>
      <c r="LKI232" s="297" t="s">
        <v>124</v>
      </c>
      <c r="LKJ232" s="297" t="s">
        <v>124</v>
      </c>
      <c r="LKK232" s="297" t="s">
        <v>124</v>
      </c>
      <c r="LKL232" s="297" t="s">
        <v>124</v>
      </c>
      <c r="LKM232" s="297" t="s">
        <v>124</v>
      </c>
      <c r="LKN232" s="297" t="s">
        <v>124</v>
      </c>
      <c r="LKO232" s="297" t="s">
        <v>124</v>
      </c>
      <c r="LKP232" s="297" t="s">
        <v>124</v>
      </c>
      <c r="LKQ232" s="297" t="s">
        <v>124</v>
      </c>
      <c r="LKR232" s="297" t="s">
        <v>124</v>
      </c>
      <c r="LKS232" s="297" t="s">
        <v>124</v>
      </c>
      <c r="LKT232" s="297" t="s">
        <v>124</v>
      </c>
      <c r="LKU232" s="297" t="s">
        <v>124</v>
      </c>
      <c r="LKV232" s="297" t="s">
        <v>124</v>
      </c>
      <c r="LKW232" s="297" t="s">
        <v>124</v>
      </c>
      <c r="LKX232" s="297" t="s">
        <v>124</v>
      </c>
      <c r="LKY232" s="297" t="s">
        <v>124</v>
      </c>
      <c r="LKZ232" s="297" t="s">
        <v>124</v>
      </c>
      <c r="LLA232" s="297" t="s">
        <v>124</v>
      </c>
      <c r="LLB232" s="297" t="s">
        <v>124</v>
      </c>
      <c r="LLC232" s="297" t="s">
        <v>124</v>
      </c>
      <c r="LLD232" s="297" t="s">
        <v>124</v>
      </c>
      <c r="LLE232" s="297" t="s">
        <v>124</v>
      </c>
      <c r="LLF232" s="297" t="s">
        <v>124</v>
      </c>
      <c r="LLG232" s="297" t="s">
        <v>124</v>
      </c>
      <c r="LLH232" s="297" t="s">
        <v>124</v>
      </c>
      <c r="LLI232" s="297" t="s">
        <v>124</v>
      </c>
      <c r="LLJ232" s="297" t="s">
        <v>124</v>
      </c>
      <c r="LLK232" s="297" t="s">
        <v>124</v>
      </c>
      <c r="LLL232" s="297" t="s">
        <v>124</v>
      </c>
      <c r="LLM232" s="297" t="s">
        <v>124</v>
      </c>
      <c r="LLN232" s="297" t="s">
        <v>124</v>
      </c>
      <c r="LLO232" s="297" t="s">
        <v>124</v>
      </c>
      <c r="LLP232" s="297" t="s">
        <v>124</v>
      </c>
      <c r="LLQ232" s="297" t="s">
        <v>124</v>
      </c>
      <c r="LLR232" s="297" t="s">
        <v>124</v>
      </c>
      <c r="LLS232" s="297" t="s">
        <v>124</v>
      </c>
      <c r="LLT232" s="297" t="s">
        <v>124</v>
      </c>
      <c r="LLU232" s="297" t="s">
        <v>124</v>
      </c>
      <c r="LLV232" s="297" t="s">
        <v>124</v>
      </c>
      <c r="LLW232" s="297" t="s">
        <v>124</v>
      </c>
      <c r="LLX232" s="297" t="s">
        <v>124</v>
      </c>
      <c r="LLY232" s="297" t="s">
        <v>124</v>
      </c>
      <c r="LLZ232" s="297" t="s">
        <v>124</v>
      </c>
      <c r="LMA232" s="297" t="s">
        <v>124</v>
      </c>
      <c r="LMB232" s="297" t="s">
        <v>124</v>
      </c>
      <c r="LMC232" s="297" t="s">
        <v>124</v>
      </c>
      <c r="LMD232" s="297" t="s">
        <v>124</v>
      </c>
      <c r="LME232" s="297" t="s">
        <v>124</v>
      </c>
      <c r="LMF232" s="297" t="s">
        <v>124</v>
      </c>
      <c r="LMG232" s="297" t="s">
        <v>124</v>
      </c>
      <c r="LMH232" s="297" t="s">
        <v>124</v>
      </c>
      <c r="LMI232" s="297" t="s">
        <v>124</v>
      </c>
      <c r="LMJ232" s="297" t="s">
        <v>124</v>
      </c>
      <c r="LMK232" s="297" t="s">
        <v>124</v>
      </c>
      <c r="LML232" s="297" t="s">
        <v>124</v>
      </c>
      <c r="LMM232" s="297" t="s">
        <v>124</v>
      </c>
      <c r="LMN232" s="297" t="s">
        <v>124</v>
      </c>
      <c r="LMO232" s="297" t="s">
        <v>124</v>
      </c>
      <c r="LMP232" s="297" t="s">
        <v>124</v>
      </c>
      <c r="LMQ232" s="297" t="s">
        <v>124</v>
      </c>
      <c r="LMR232" s="297" t="s">
        <v>124</v>
      </c>
      <c r="LMS232" s="297" t="s">
        <v>124</v>
      </c>
      <c r="LMT232" s="297" t="s">
        <v>124</v>
      </c>
      <c r="LMU232" s="297" t="s">
        <v>124</v>
      </c>
      <c r="LMV232" s="297" t="s">
        <v>124</v>
      </c>
      <c r="LMW232" s="297" t="s">
        <v>124</v>
      </c>
      <c r="LMX232" s="297" t="s">
        <v>124</v>
      </c>
      <c r="LMY232" s="297" t="s">
        <v>124</v>
      </c>
      <c r="LMZ232" s="297" t="s">
        <v>124</v>
      </c>
      <c r="LNA232" s="297" t="s">
        <v>124</v>
      </c>
      <c r="LNB232" s="297" t="s">
        <v>124</v>
      </c>
      <c r="LNC232" s="297" t="s">
        <v>124</v>
      </c>
      <c r="LND232" s="297" t="s">
        <v>124</v>
      </c>
      <c r="LNE232" s="297" t="s">
        <v>124</v>
      </c>
      <c r="LNF232" s="297" t="s">
        <v>124</v>
      </c>
      <c r="LNG232" s="297" t="s">
        <v>124</v>
      </c>
      <c r="LNH232" s="297" t="s">
        <v>124</v>
      </c>
      <c r="LNI232" s="297" t="s">
        <v>124</v>
      </c>
      <c r="LNJ232" s="297" t="s">
        <v>124</v>
      </c>
      <c r="LNK232" s="297" t="s">
        <v>124</v>
      </c>
      <c r="LNL232" s="297" t="s">
        <v>124</v>
      </c>
      <c r="LNM232" s="297" t="s">
        <v>124</v>
      </c>
      <c r="LNN232" s="297" t="s">
        <v>124</v>
      </c>
      <c r="LNO232" s="297" t="s">
        <v>124</v>
      </c>
      <c r="LNP232" s="297" t="s">
        <v>124</v>
      </c>
      <c r="LNQ232" s="297" t="s">
        <v>124</v>
      </c>
      <c r="LNR232" s="297" t="s">
        <v>124</v>
      </c>
      <c r="LNS232" s="297" t="s">
        <v>124</v>
      </c>
      <c r="LNT232" s="297" t="s">
        <v>124</v>
      </c>
      <c r="LNU232" s="297" t="s">
        <v>124</v>
      </c>
      <c r="LNV232" s="297" t="s">
        <v>124</v>
      </c>
      <c r="LNW232" s="297" t="s">
        <v>124</v>
      </c>
      <c r="LNX232" s="297" t="s">
        <v>124</v>
      </c>
      <c r="LNY232" s="297" t="s">
        <v>124</v>
      </c>
      <c r="LNZ232" s="297" t="s">
        <v>124</v>
      </c>
      <c r="LOA232" s="297" t="s">
        <v>124</v>
      </c>
      <c r="LOB232" s="297" t="s">
        <v>124</v>
      </c>
      <c r="LOC232" s="297" t="s">
        <v>124</v>
      </c>
      <c r="LOD232" s="297" t="s">
        <v>124</v>
      </c>
      <c r="LOE232" s="297" t="s">
        <v>124</v>
      </c>
      <c r="LOF232" s="297" t="s">
        <v>124</v>
      </c>
      <c r="LOG232" s="297" t="s">
        <v>124</v>
      </c>
      <c r="LOH232" s="297" t="s">
        <v>124</v>
      </c>
      <c r="LOI232" s="297" t="s">
        <v>124</v>
      </c>
      <c r="LOJ232" s="297" t="s">
        <v>124</v>
      </c>
      <c r="LOK232" s="297" t="s">
        <v>124</v>
      </c>
      <c r="LOL232" s="297" t="s">
        <v>124</v>
      </c>
      <c r="LOM232" s="297" t="s">
        <v>124</v>
      </c>
      <c r="LON232" s="297" t="s">
        <v>124</v>
      </c>
      <c r="LOO232" s="297" t="s">
        <v>124</v>
      </c>
      <c r="LOP232" s="297" t="s">
        <v>124</v>
      </c>
      <c r="LOQ232" s="297" t="s">
        <v>124</v>
      </c>
      <c r="LOR232" s="297" t="s">
        <v>124</v>
      </c>
      <c r="LOS232" s="297" t="s">
        <v>124</v>
      </c>
      <c r="LOT232" s="297" t="s">
        <v>124</v>
      </c>
      <c r="LOU232" s="297" t="s">
        <v>124</v>
      </c>
      <c r="LOV232" s="297" t="s">
        <v>124</v>
      </c>
      <c r="LOW232" s="297" t="s">
        <v>124</v>
      </c>
      <c r="LOX232" s="297" t="s">
        <v>124</v>
      </c>
      <c r="LOY232" s="297" t="s">
        <v>124</v>
      </c>
      <c r="LOZ232" s="297" t="s">
        <v>124</v>
      </c>
      <c r="LPA232" s="297" t="s">
        <v>124</v>
      </c>
      <c r="LPB232" s="297" t="s">
        <v>124</v>
      </c>
      <c r="LPC232" s="297" t="s">
        <v>124</v>
      </c>
      <c r="LPD232" s="297" t="s">
        <v>124</v>
      </c>
      <c r="LPE232" s="297" t="s">
        <v>124</v>
      </c>
      <c r="LPF232" s="297" t="s">
        <v>124</v>
      </c>
      <c r="LPG232" s="297" t="s">
        <v>124</v>
      </c>
      <c r="LPH232" s="297" t="s">
        <v>124</v>
      </c>
      <c r="LPI232" s="297" t="s">
        <v>124</v>
      </c>
      <c r="LPJ232" s="297" t="s">
        <v>124</v>
      </c>
      <c r="LPK232" s="297" t="s">
        <v>124</v>
      </c>
      <c r="LPL232" s="297" t="s">
        <v>124</v>
      </c>
      <c r="LPM232" s="297" t="s">
        <v>124</v>
      </c>
      <c r="LPN232" s="297" t="s">
        <v>124</v>
      </c>
      <c r="LPO232" s="297" t="s">
        <v>124</v>
      </c>
      <c r="LPP232" s="297" t="s">
        <v>124</v>
      </c>
      <c r="LPQ232" s="297" t="s">
        <v>124</v>
      </c>
      <c r="LPR232" s="297" t="s">
        <v>124</v>
      </c>
      <c r="LPS232" s="297" t="s">
        <v>124</v>
      </c>
      <c r="LPT232" s="297" t="s">
        <v>124</v>
      </c>
      <c r="LPU232" s="297" t="s">
        <v>124</v>
      </c>
      <c r="LPV232" s="297" t="s">
        <v>124</v>
      </c>
      <c r="LPW232" s="297" t="s">
        <v>124</v>
      </c>
      <c r="LPX232" s="297" t="s">
        <v>124</v>
      </c>
      <c r="LPY232" s="297" t="s">
        <v>124</v>
      </c>
      <c r="LPZ232" s="297" t="s">
        <v>124</v>
      </c>
      <c r="LQA232" s="297" t="s">
        <v>124</v>
      </c>
      <c r="LQB232" s="297" t="s">
        <v>124</v>
      </c>
      <c r="LQC232" s="297" t="s">
        <v>124</v>
      </c>
      <c r="LQD232" s="297" t="s">
        <v>124</v>
      </c>
      <c r="LQE232" s="297" t="s">
        <v>124</v>
      </c>
      <c r="LQF232" s="297" t="s">
        <v>124</v>
      </c>
      <c r="LQG232" s="297" t="s">
        <v>124</v>
      </c>
      <c r="LQH232" s="297" t="s">
        <v>124</v>
      </c>
      <c r="LQI232" s="297" t="s">
        <v>124</v>
      </c>
      <c r="LQJ232" s="297" t="s">
        <v>124</v>
      </c>
      <c r="LQK232" s="297" t="s">
        <v>124</v>
      </c>
      <c r="LQL232" s="297" t="s">
        <v>124</v>
      </c>
      <c r="LQM232" s="297" t="s">
        <v>124</v>
      </c>
      <c r="LQN232" s="297" t="s">
        <v>124</v>
      </c>
      <c r="LQO232" s="297" t="s">
        <v>124</v>
      </c>
      <c r="LQP232" s="297" t="s">
        <v>124</v>
      </c>
      <c r="LQQ232" s="297" t="s">
        <v>124</v>
      </c>
      <c r="LQR232" s="297" t="s">
        <v>124</v>
      </c>
      <c r="LQS232" s="297" t="s">
        <v>124</v>
      </c>
      <c r="LQT232" s="297" t="s">
        <v>124</v>
      </c>
      <c r="LQU232" s="297" t="s">
        <v>124</v>
      </c>
      <c r="LQV232" s="297" t="s">
        <v>124</v>
      </c>
      <c r="LQW232" s="297" t="s">
        <v>124</v>
      </c>
      <c r="LQX232" s="297" t="s">
        <v>124</v>
      </c>
      <c r="LQY232" s="297" t="s">
        <v>124</v>
      </c>
      <c r="LQZ232" s="297" t="s">
        <v>124</v>
      </c>
      <c r="LRA232" s="297" t="s">
        <v>124</v>
      </c>
      <c r="LRB232" s="297" t="s">
        <v>124</v>
      </c>
      <c r="LRC232" s="297" t="s">
        <v>124</v>
      </c>
      <c r="LRD232" s="297" t="s">
        <v>124</v>
      </c>
      <c r="LRE232" s="297" t="s">
        <v>124</v>
      </c>
      <c r="LRF232" s="297" t="s">
        <v>124</v>
      </c>
      <c r="LRG232" s="297" t="s">
        <v>124</v>
      </c>
      <c r="LRH232" s="297" t="s">
        <v>124</v>
      </c>
      <c r="LRI232" s="297" t="s">
        <v>124</v>
      </c>
      <c r="LRJ232" s="297" t="s">
        <v>124</v>
      </c>
      <c r="LRK232" s="297" t="s">
        <v>124</v>
      </c>
      <c r="LRL232" s="297" t="s">
        <v>124</v>
      </c>
      <c r="LRM232" s="297" t="s">
        <v>124</v>
      </c>
      <c r="LRN232" s="297" t="s">
        <v>124</v>
      </c>
      <c r="LRO232" s="297" t="s">
        <v>124</v>
      </c>
      <c r="LRP232" s="297" t="s">
        <v>124</v>
      </c>
      <c r="LRQ232" s="297" t="s">
        <v>124</v>
      </c>
      <c r="LRR232" s="297" t="s">
        <v>124</v>
      </c>
      <c r="LRS232" s="297" t="s">
        <v>124</v>
      </c>
      <c r="LRT232" s="297" t="s">
        <v>124</v>
      </c>
      <c r="LRU232" s="297" t="s">
        <v>124</v>
      </c>
      <c r="LRV232" s="297" t="s">
        <v>124</v>
      </c>
      <c r="LRW232" s="297" t="s">
        <v>124</v>
      </c>
      <c r="LRX232" s="297" t="s">
        <v>124</v>
      </c>
      <c r="LRY232" s="297" t="s">
        <v>124</v>
      </c>
      <c r="LRZ232" s="297" t="s">
        <v>124</v>
      </c>
      <c r="LSA232" s="297" t="s">
        <v>124</v>
      </c>
      <c r="LSB232" s="297" t="s">
        <v>124</v>
      </c>
      <c r="LSC232" s="297" t="s">
        <v>124</v>
      </c>
      <c r="LSD232" s="297" t="s">
        <v>124</v>
      </c>
      <c r="LSE232" s="297" t="s">
        <v>124</v>
      </c>
      <c r="LSF232" s="297" t="s">
        <v>124</v>
      </c>
      <c r="LSG232" s="297" t="s">
        <v>124</v>
      </c>
      <c r="LSH232" s="297" t="s">
        <v>124</v>
      </c>
      <c r="LSI232" s="297" t="s">
        <v>124</v>
      </c>
      <c r="LSJ232" s="297" t="s">
        <v>124</v>
      </c>
      <c r="LSK232" s="297" t="s">
        <v>124</v>
      </c>
      <c r="LSL232" s="297" t="s">
        <v>124</v>
      </c>
      <c r="LSM232" s="297" t="s">
        <v>124</v>
      </c>
      <c r="LSN232" s="297" t="s">
        <v>124</v>
      </c>
      <c r="LSO232" s="297" t="s">
        <v>124</v>
      </c>
      <c r="LSP232" s="297" t="s">
        <v>124</v>
      </c>
      <c r="LSQ232" s="297" t="s">
        <v>124</v>
      </c>
      <c r="LSR232" s="297" t="s">
        <v>124</v>
      </c>
      <c r="LSS232" s="297" t="s">
        <v>124</v>
      </c>
      <c r="LST232" s="297" t="s">
        <v>124</v>
      </c>
      <c r="LSU232" s="297" t="s">
        <v>124</v>
      </c>
      <c r="LSV232" s="297" t="s">
        <v>124</v>
      </c>
      <c r="LSW232" s="297" t="s">
        <v>124</v>
      </c>
      <c r="LSX232" s="297" t="s">
        <v>124</v>
      </c>
      <c r="LSY232" s="297" t="s">
        <v>124</v>
      </c>
      <c r="LSZ232" s="297" t="s">
        <v>124</v>
      </c>
      <c r="LTA232" s="297" t="s">
        <v>124</v>
      </c>
      <c r="LTB232" s="297" t="s">
        <v>124</v>
      </c>
      <c r="LTC232" s="297" t="s">
        <v>124</v>
      </c>
      <c r="LTD232" s="297" t="s">
        <v>124</v>
      </c>
      <c r="LTE232" s="297" t="s">
        <v>124</v>
      </c>
      <c r="LTF232" s="297" t="s">
        <v>124</v>
      </c>
      <c r="LTG232" s="297" t="s">
        <v>124</v>
      </c>
      <c r="LTH232" s="297" t="s">
        <v>124</v>
      </c>
      <c r="LTI232" s="297" t="s">
        <v>124</v>
      </c>
      <c r="LTJ232" s="297" t="s">
        <v>124</v>
      </c>
      <c r="LTK232" s="297" t="s">
        <v>124</v>
      </c>
      <c r="LTL232" s="297" t="s">
        <v>124</v>
      </c>
      <c r="LTM232" s="297" t="s">
        <v>124</v>
      </c>
      <c r="LTN232" s="297" t="s">
        <v>124</v>
      </c>
      <c r="LTO232" s="297" t="s">
        <v>124</v>
      </c>
      <c r="LTP232" s="297" t="s">
        <v>124</v>
      </c>
      <c r="LTQ232" s="297" t="s">
        <v>124</v>
      </c>
      <c r="LTR232" s="297" t="s">
        <v>124</v>
      </c>
      <c r="LTS232" s="297" t="s">
        <v>124</v>
      </c>
      <c r="LTT232" s="297" t="s">
        <v>124</v>
      </c>
      <c r="LTU232" s="297" t="s">
        <v>124</v>
      </c>
      <c r="LTV232" s="297" t="s">
        <v>124</v>
      </c>
      <c r="LTW232" s="297" t="s">
        <v>124</v>
      </c>
      <c r="LTX232" s="297" t="s">
        <v>124</v>
      </c>
      <c r="LTY232" s="297" t="s">
        <v>124</v>
      </c>
      <c r="LTZ232" s="297" t="s">
        <v>124</v>
      </c>
      <c r="LUA232" s="297" t="s">
        <v>124</v>
      </c>
      <c r="LUB232" s="297" t="s">
        <v>124</v>
      </c>
      <c r="LUC232" s="297" t="s">
        <v>124</v>
      </c>
      <c r="LUD232" s="297" t="s">
        <v>124</v>
      </c>
      <c r="LUE232" s="297" t="s">
        <v>124</v>
      </c>
      <c r="LUF232" s="297" t="s">
        <v>124</v>
      </c>
      <c r="LUG232" s="297" t="s">
        <v>124</v>
      </c>
      <c r="LUH232" s="297" t="s">
        <v>124</v>
      </c>
      <c r="LUI232" s="297" t="s">
        <v>124</v>
      </c>
      <c r="LUJ232" s="297" t="s">
        <v>124</v>
      </c>
      <c r="LUK232" s="297" t="s">
        <v>124</v>
      </c>
      <c r="LUL232" s="297" t="s">
        <v>124</v>
      </c>
      <c r="LUM232" s="297" t="s">
        <v>124</v>
      </c>
      <c r="LUN232" s="297" t="s">
        <v>124</v>
      </c>
      <c r="LUO232" s="297" t="s">
        <v>124</v>
      </c>
      <c r="LUP232" s="297" t="s">
        <v>124</v>
      </c>
      <c r="LUQ232" s="297" t="s">
        <v>124</v>
      </c>
      <c r="LUR232" s="297" t="s">
        <v>124</v>
      </c>
      <c r="LUS232" s="297" t="s">
        <v>124</v>
      </c>
      <c r="LUT232" s="297" t="s">
        <v>124</v>
      </c>
      <c r="LUU232" s="297" t="s">
        <v>124</v>
      </c>
      <c r="LUV232" s="297" t="s">
        <v>124</v>
      </c>
      <c r="LUW232" s="297" t="s">
        <v>124</v>
      </c>
      <c r="LUX232" s="297" t="s">
        <v>124</v>
      </c>
      <c r="LUY232" s="297" t="s">
        <v>124</v>
      </c>
      <c r="LUZ232" s="297" t="s">
        <v>124</v>
      </c>
      <c r="LVA232" s="297" t="s">
        <v>124</v>
      </c>
      <c r="LVB232" s="297" t="s">
        <v>124</v>
      </c>
      <c r="LVC232" s="297" t="s">
        <v>124</v>
      </c>
      <c r="LVD232" s="297" t="s">
        <v>124</v>
      </c>
      <c r="LVE232" s="297" t="s">
        <v>124</v>
      </c>
      <c r="LVF232" s="297" t="s">
        <v>124</v>
      </c>
      <c r="LVG232" s="297" t="s">
        <v>124</v>
      </c>
      <c r="LVH232" s="297" t="s">
        <v>124</v>
      </c>
      <c r="LVI232" s="297" t="s">
        <v>124</v>
      </c>
      <c r="LVJ232" s="297" t="s">
        <v>124</v>
      </c>
      <c r="LVK232" s="297" t="s">
        <v>124</v>
      </c>
      <c r="LVL232" s="297" t="s">
        <v>124</v>
      </c>
      <c r="LVM232" s="297" t="s">
        <v>124</v>
      </c>
      <c r="LVN232" s="297" t="s">
        <v>124</v>
      </c>
      <c r="LVO232" s="297" t="s">
        <v>124</v>
      </c>
      <c r="LVP232" s="297" t="s">
        <v>124</v>
      </c>
      <c r="LVQ232" s="297" t="s">
        <v>124</v>
      </c>
      <c r="LVR232" s="297" t="s">
        <v>124</v>
      </c>
      <c r="LVS232" s="297" t="s">
        <v>124</v>
      </c>
      <c r="LVT232" s="297" t="s">
        <v>124</v>
      </c>
      <c r="LVU232" s="297" t="s">
        <v>124</v>
      </c>
      <c r="LVV232" s="297" t="s">
        <v>124</v>
      </c>
      <c r="LVW232" s="297" t="s">
        <v>124</v>
      </c>
      <c r="LVX232" s="297" t="s">
        <v>124</v>
      </c>
      <c r="LVY232" s="297" t="s">
        <v>124</v>
      </c>
      <c r="LVZ232" s="297" t="s">
        <v>124</v>
      </c>
      <c r="LWA232" s="297" t="s">
        <v>124</v>
      </c>
      <c r="LWB232" s="297" t="s">
        <v>124</v>
      </c>
      <c r="LWC232" s="297" t="s">
        <v>124</v>
      </c>
      <c r="LWD232" s="297" t="s">
        <v>124</v>
      </c>
      <c r="LWE232" s="297" t="s">
        <v>124</v>
      </c>
      <c r="LWF232" s="297" t="s">
        <v>124</v>
      </c>
      <c r="LWG232" s="297" t="s">
        <v>124</v>
      </c>
      <c r="LWH232" s="297" t="s">
        <v>124</v>
      </c>
      <c r="LWI232" s="297" t="s">
        <v>124</v>
      </c>
      <c r="LWJ232" s="297" t="s">
        <v>124</v>
      </c>
      <c r="LWK232" s="297" t="s">
        <v>124</v>
      </c>
      <c r="LWL232" s="297" t="s">
        <v>124</v>
      </c>
      <c r="LWM232" s="297" t="s">
        <v>124</v>
      </c>
      <c r="LWN232" s="297" t="s">
        <v>124</v>
      </c>
      <c r="LWO232" s="297" t="s">
        <v>124</v>
      </c>
      <c r="LWP232" s="297" t="s">
        <v>124</v>
      </c>
      <c r="LWQ232" s="297" t="s">
        <v>124</v>
      </c>
      <c r="LWR232" s="297" t="s">
        <v>124</v>
      </c>
      <c r="LWS232" s="297" t="s">
        <v>124</v>
      </c>
      <c r="LWT232" s="297" t="s">
        <v>124</v>
      </c>
      <c r="LWU232" s="297" t="s">
        <v>124</v>
      </c>
      <c r="LWV232" s="297" t="s">
        <v>124</v>
      </c>
      <c r="LWW232" s="297" t="s">
        <v>124</v>
      </c>
      <c r="LWX232" s="297" t="s">
        <v>124</v>
      </c>
      <c r="LWY232" s="297" t="s">
        <v>124</v>
      </c>
      <c r="LWZ232" s="297" t="s">
        <v>124</v>
      </c>
      <c r="LXA232" s="297" t="s">
        <v>124</v>
      </c>
      <c r="LXB232" s="297" t="s">
        <v>124</v>
      </c>
      <c r="LXC232" s="297" t="s">
        <v>124</v>
      </c>
      <c r="LXD232" s="297" t="s">
        <v>124</v>
      </c>
      <c r="LXE232" s="297" t="s">
        <v>124</v>
      </c>
      <c r="LXF232" s="297" t="s">
        <v>124</v>
      </c>
      <c r="LXG232" s="297" t="s">
        <v>124</v>
      </c>
      <c r="LXH232" s="297" t="s">
        <v>124</v>
      </c>
      <c r="LXI232" s="297" t="s">
        <v>124</v>
      </c>
      <c r="LXJ232" s="297" t="s">
        <v>124</v>
      </c>
      <c r="LXK232" s="297" t="s">
        <v>124</v>
      </c>
      <c r="LXL232" s="297" t="s">
        <v>124</v>
      </c>
      <c r="LXM232" s="297" t="s">
        <v>124</v>
      </c>
      <c r="LXN232" s="297" t="s">
        <v>124</v>
      </c>
      <c r="LXO232" s="297" t="s">
        <v>124</v>
      </c>
      <c r="LXP232" s="297" t="s">
        <v>124</v>
      </c>
      <c r="LXQ232" s="297" t="s">
        <v>124</v>
      </c>
      <c r="LXR232" s="297" t="s">
        <v>124</v>
      </c>
      <c r="LXS232" s="297" t="s">
        <v>124</v>
      </c>
      <c r="LXT232" s="297" t="s">
        <v>124</v>
      </c>
      <c r="LXU232" s="297" t="s">
        <v>124</v>
      </c>
      <c r="LXV232" s="297" t="s">
        <v>124</v>
      </c>
      <c r="LXW232" s="297" t="s">
        <v>124</v>
      </c>
      <c r="LXX232" s="297" t="s">
        <v>124</v>
      </c>
      <c r="LXY232" s="297" t="s">
        <v>124</v>
      </c>
      <c r="LXZ232" s="297" t="s">
        <v>124</v>
      </c>
      <c r="LYA232" s="297" t="s">
        <v>124</v>
      </c>
      <c r="LYB232" s="297" t="s">
        <v>124</v>
      </c>
      <c r="LYC232" s="297" t="s">
        <v>124</v>
      </c>
      <c r="LYD232" s="297" t="s">
        <v>124</v>
      </c>
      <c r="LYE232" s="297" t="s">
        <v>124</v>
      </c>
      <c r="LYF232" s="297" t="s">
        <v>124</v>
      </c>
      <c r="LYG232" s="297" t="s">
        <v>124</v>
      </c>
      <c r="LYH232" s="297" t="s">
        <v>124</v>
      </c>
      <c r="LYI232" s="297" t="s">
        <v>124</v>
      </c>
      <c r="LYJ232" s="297" t="s">
        <v>124</v>
      </c>
      <c r="LYK232" s="297" t="s">
        <v>124</v>
      </c>
      <c r="LYL232" s="297" t="s">
        <v>124</v>
      </c>
      <c r="LYM232" s="297" t="s">
        <v>124</v>
      </c>
      <c r="LYN232" s="297" t="s">
        <v>124</v>
      </c>
      <c r="LYO232" s="297" t="s">
        <v>124</v>
      </c>
      <c r="LYP232" s="297" t="s">
        <v>124</v>
      </c>
      <c r="LYQ232" s="297" t="s">
        <v>124</v>
      </c>
      <c r="LYR232" s="297" t="s">
        <v>124</v>
      </c>
      <c r="LYS232" s="297" t="s">
        <v>124</v>
      </c>
      <c r="LYT232" s="297" t="s">
        <v>124</v>
      </c>
      <c r="LYU232" s="297" t="s">
        <v>124</v>
      </c>
      <c r="LYV232" s="297" t="s">
        <v>124</v>
      </c>
      <c r="LYW232" s="297" t="s">
        <v>124</v>
      </c>
      <c r="LYX232" s="297" t="s">
        <v>124</v>
      </c>
      <c r="LYY232" s="297" t="s">
        <v>124</v>
      </c>
      <c r="LYZ232" s="297" t="s">
        <v>124</v>
      </c>
      <c r="LZA232" s="297" t="s">
        <v>124</v>
      </c>
      <c r="LZB232" s="297" t="s">
        <v>124</v>
      </c>
      <c r="LZC232" s="297" t="s">
        <v>124</v>
      </c>
      <c r="LZD232" s="297" t="s">
        <v>124</v>
      </c>
      <c r="LZE232" s="297" t="s">
        <v>124</v>
      </c>
      <c r="LZF232" s="297" t="s">
        <v>124</v>
      </c>
      <c r="LZG232" s="297" t="s">
        <v>124</v>
      </c>
      <c r="LZH232" s="297" t="s">
        <v>124</v>
      </c>
      <c r="LZI232" s="297" t="s">
        <v>124</v>
      </c>
      <c r="LZJ232" s="297" t="s">
        <v>124</v>
      </c>
      <c r="LZK232" s="297" t="s">
        <v>124</v>
      </c>
      <c r="LZL232" s="297" t="s">
        <v>124</v>
      </c>
      <c r="LZM232" s="297" t="s">
        <v>124</v>
      </c>
      <c r="LZN232" s="297" t="s">
        <v>124</v>
      </c>
      <c r="LZO232" s="297" t="s">
        <v>124</v>
      </c>
      <c r="LZP232" s="297" t="s">
        <v>124</v>
      </c>
      <c r="LZQ232" s="297" t="s">
        <v>124</v>
      </c>
      <c r="LZR232" s="297" t="s">
        <v>124</v>
      </c>
      <c r="LZS232" s="297" t="s">
        <v>124</v>
      </c>
      <c r="LZT232" s="297" t="s">
        <v>124</v>
      </c>
      <c r="LZU232" s="297" t="s">
        <v>124</v>
      </c>
      <c r="LZV232" s="297" t="s">
        <v>124</v>
      </c>
      <c r="LZW232" s="297" t="s">
        <v>124</v>
      </c>
      <c r="LZX232" s="297" t="s">
        <v>124</v>
      </c>
      <c r="LZY232" s="297" t="s">
        <v>124</v>
      </c>
      <c r="LZZ232" s="297" t="s">
        <v>124</v>
      </c>
      <c r="MAA232" s="297" t="s">
        <v>124</v>
      </c>
      <c r="MAB232" s="297" t="s">
        <v>124</v>
      </c>
      <c r="MAC232" s="297" t="s">
        <v>124</v>
      </c>
      <c r="MAD232" s="297" t="s">
        <v>124</v>
      </c>
      <c r="MAE232" s="297" t="s">
        <v>124</v>
      </c>
      <c r="MAF232" s="297" t="s">
        <v>124</v>
      </c>
      <c r="MAG232" s="297" t="s">
        <v>124</v>
      </c>
      <c r="MAH232" s="297" t="s">
        <v>124</v>
      </c>
      <c r="MAI232" s="297" t="s">
        <v>124</v>
      </c>
      <c r="MAJ232" s="297" t="s">
        <v>124</v>
      </c>
      <c r="MAK232" s="297" t="s">
        <v>124</v>
      </c>
      <c r="MAL232" s="297" t="s">
        <v>124</v>
      </c>
      <c r="MAM232" s="297" t="s">
        <v>124</v>
      </c>
      <c r="MAN232" s="297" t="s">
        <v>124</v>
      </c>
      <c r="MAO232" s="297" t="s">
        <v>124</v>
      </c>
      <c r="MAP232" s="297" t="s">
        <v>124</v>
      </c>
      <c r="MAQ232" s="297" t="s">
        <v>124</v>
      </c>
      <c r="MAR232" s="297" t="s">
        <v>124</v>
      </c>
      <c r="MAS232" s="297" t="s">
        <v>124</v>
      </c>
      <c r="MAT232" s="297" t="s">
        <v>124</v>
      </c>
      <c r="MAU232" s="297" t="s">
        <v>124</v>
      </c>
      <c r="MAV232" s="297" t="s">
        <v>124</v>
      </c>
      <c r="MAW232" s="297" t="s">
        <v>124</v>
      </c>
      <c r="MAX232" s="297" t="s">
        <v>124</v>
      </c>
      <c r="MAY232" s="297" t="s">
        <v>124</v>
      </c>
      <c r="MAZ232" s="297" t="s">
        <v>124</v>
      </c>
      <c r="MBA232" s="297" t="s">
        <v>124</v>
      </c>
      <c r="MBB232" s="297" t="s">
        <v>124</v>
      </c>
      <c r="MBC232" s="297" t="s">
        <v>124</v>
      </c>
      <c r="MBD232" s="297" t="s">
        <v>124</v>
      </c>
      <c r="MBE232" s="297" t="s">
        <v>124</v>
      </c>
      <c r="MBF232" s="297" t="s">
        <v>124</v>
      </c>
      <c r="MBG232" s="297" t="s">
        <v>124</v>
      </c>
      <c r="MBH232" s="297" t="s">
        <v>124</v>
      </c>
      <c r="MBI232" s="297" t="s">
        <v>124</v>
      </c>
      <c r="MBJ232" s="297" t="s">
        <v>124</v>
      </c>
      <c r="MBK232" s="297" t="s">
        <v>124</v>
      </c>
      <c r="MBL232" s="297" t="s">
        <v>124</v>
      </c>
      <c r="MBM232" s="297" t="s">
        <v>124</v>
      </c>
      <c r="MBN232" s="297" t="s">
        <v>124</v>
      </c>
      <c r="MBO232" s="297" t="s">
        <v>124</v>
      </c>
      <c r="MBP232" s="297" t="s">
        <v>124</v>
      </c>
      <c r="MBQ232" s="297" t="s">
        <v>124</v>
      </c>
      <c r="MBR232" s="297" t="s">
        <v>124</v>
      </c>
      <c r="MBS232" s="297" t="s">
        <v>124</v>
      </c>
      <c r="MBT232" s="297" t="s">
        <v>124</v>
      </c>
      <c r="MBU232" s="297" t="s">
        <v>124</v>
      </c>
      <c r="MBV232" s="297" t="s">
        <v>124</v>
      </c>
      <c r="MBW232" s="297" t="s">
        <v>124</v>
      </c>
      <c r="MBX232" s="297" t="s">
        <v>124</v>
      </c>
      <c r="MBY232" s="297" t="s">
        <v>124</v>
      </c>
      <c r="MBZ232" s="297" t="s">
        <v>124</v>
      </c>
      <c r="MCA232" s="297" t="s">
        <v>124</v>
      </c>
      <c r="MCB232" s="297" t="s">
        <v>124</v>
      </c>
      <c r="MCC232" s="297" t="s">
        <v>124</v>
      </c>
      <c r="MCD232" s="297" t="s">
        <v>124</v>
      </c>
      <c r="MCE232" s="297" t="s">
        <v>124</v>
      </c>
      <c r="MCF232" s="297" t="s">
        <v>124</v>
      </c>
      <c r="MCG232" s="297" t="s">
        <v>124</v>
      </c>
      <c r="MCH232" s="297" t="s">
        <v>124</v>
      </c>
      <c r="MCI232" s="297" t="s">
        <v>124</v>
      </c>
      <c r="MCJ232" s="297" t="s">
        <v>124</v>
      </c>
      <c r="MCK232" s="297" t="s">
        <v>124</v>
      </c>
      <c r="MCL232" s="297" t="s">
        <v>124</v>
      </c>
      <c r="MCM232" s="297" t="s">
        <v>124</v>
      </c>
      <c r="MCN232" s="297" t="s">
        <v>124</v>
      </c>
      <c r="MCO232" s="297" t="s">
        <v>124</v>
      </c>
      <c r="MCP232" s="297" t="s">
        <v>124</v>
      </c>
      <c r="MCQ232" s="297" t="s">
        <v>124</v>
      </c>
      <c r="MCR232" s="297" t="s">
        <v>124</v>
      </c>
      <c r="MCS232" s="297" t="s">
        <v>124</v>
      </c>
      <c r="MCT232" s="297" t="s">
        <v>124</v>
      </c>
      <c r="MCU232" s="297" t="s">
        <v>124</v>
      </c>
      <c r="MCV232" s="297" t="s">
        <v>124</v>
      </c>
      <c r="MCW232" s="297" t="s">
        <v>124</v>
      </c>
      <c r="MCX232" s="297" t="s">
        <v>124</v>
      </c>
      <c r="MCY232" s="297" t="s">
        <v>124</v>
      </c>
      <c r="MCZ232" s="297" t="s">
        <v>124</v>
      </c>
      <c r="MDA232" s="297" t="s">
        <v>124</v>
      </c>
      <c r="MDB232" s="297" t="s">
        <v>124</v>
      </c>
      <c r="MDC232" s="297" t="s">
        <v>124</v>
      </c>
      <c r="MDD232" s="297" t="s">
        <v>124</v>
      </c>
      <c r="MDE232" s="297" t="s">
        <v>124</v>
      </c>
      <c r="MDF232" s="297" t="s">
        <v>124</v>
      </c>
      <c r="MDG232" s="297" t="s">
        <v>124</v>
      </c>
      <c r="MDH232" s="297" t="s">
        <v>124</v>
      </c>
      <c r="MDI232" s="297" t="s">
        <v>124</v>
      </c>
      <c r="MDJ232" s="297" t="s">
        <v>124</v>
      </c>
      <c r="MDK232" s="297" t="s">
        <v>124</v>
      </c>
      <c r="MDL232" s="297" t="s">
        <v>124</v>
      </c>
      <c r="MDM232" s="297" t="s">
        <v>124</v>
      </c>
      <c r="MDN232" s="297" t="s">
        <v>124</v>
      </c>
      <c r="MDO232" s="297" t="s">
        <v>124</v>
      </c>
      <c r="MDP232" s="297" t="s">
        <v>124</v>
      </c>
      <c r="MDQ232" s="297" t="s">
        <v>124</v>
      </c>
      <c r="MDR232" s="297" t="s">
        <v>124</v>
      </c>
      <c r="MDS232" s="297" t="s">
        <v>124</v>
      </c>
      <c r="MDT232" s="297" t="s">
        <v>124</v>
      </c>
      <c r="MDU232" s="297" t="s">
        <v>124</v>
      </c>
      <c r="MDV232" s="297" t="s">
        <v>124</v>
      </c>
      <c r="MDW232" s="297" t="s">
        <v>124</v>
      </c>
      <c r="MDX232" s="297" t="s">
        <v>124</v>
      </c>
      <c r="MDY232" s="297" t="s">
        <v>124</v>
      </c>
      <c r="MDZ232" s="297" t="s">
        <v>124</v>
      </c>
      <c r="MEA232" s="297" t="s">
        <v>124</v>
      </c>
      <c r="MEB232" s="297" t="s">
        <v>124</v>
      </c>
      <c r="MEC232" s="297" t="s">
        <v>124</v>
      </c>
      <c r="MED232" s="297" t="s">
        <v>124</v>
      </c>
      <c r="MEE232" s="297" t="s">
        <v>124</v>
      </c>
      <c r="MEF232" s="297" t="s">
        <v>124</v>
      </c>
      <c r="MEG232" s="297" t="s">
        <v>124</v>
      </c>
      <c r="MEH232" s="297" t="s">
        <v>124</v>
      </c>
      <c r="MEI232" s="297" t="s">
        <v>124</v>
      </c>
      <c r="MEJ232" s="297" t="s">
        <v>124</v>
      </c>
      <c r="MEK232" s="297" t="s">
        <v>124</v>
      </c>
      <c r="MEL232" s="297" t="s">
        <v>124</v>
      </c>
      <c r="MEM232" s="297" t="s">
        <v>124</v>
      </c>
      <c r="MEN232" s="297" t="s">
        <v>124</v>
      </c>
      <c r="MEO232" s="297" t="s">
        <v>124</v>
      </c>
      <c r="MEP232" s="297" t="s">
        <v>124</v>
      </c>
      <c r="MEQ232" s="297" t="s">
        <v>124</v>
      </c>
      <c r="MER232" s="297" t="s">
        <v>124</v>
      </c>
      <c r="MES232" s="297" t="s">
        <v>124</v>
      </c>
      <c r="MET232" s="297" t="s">
        <v>124</v>
      </c>
      <c r="MEU232" s="297" t="s">
        <v>124</v>
      </c>
      <c r="MEV232" s="297" t="s">
        <v>124</v>
      </c>
      <c r="MEW232" s="297" t="s">
        <v>124</v>
      </c>
      <c r="MEX232" s="297" t="s">
        <v>124</v>
      </c>
      <c r="MEY232" s="297" t="s">
        <v>124</v>
      </c>
      <c r="MEZ232" s="297" t="s">
        <v>124</v>
      </c>
      <c r="MFA232" s="297" t="s">
        <v>124</v>
      </c>
      <c r="MFB232" s="297" t="s">
        <v>124</v>
      </c>
      <c r="MFC232" s="297" t="s">
        <v>124</v>
      </c>
      <c r="MFD232" s="297" t="s">
        <v>124</v>
      </c>
      <c r="MFE232" s="297" t="s">
        <v>124</v>
      </c>
      <c r="MFF232" s="297" t="s">
        <v>124</v>
      </c>
      <c r="MFG232" s="297" t="s">
        <v>124</v>
      </c>
      <c r="MFH232" s="297" t="s">
        <v>124</v>
      </c>
      <c r="MFI232" s="297" t="s">
        <v>124</v>
      </c>
      <c r="MFJ232" s="297" t="s">
        <v>124</v>
      </c>
      <c r="MFK232" s="297" t="s">
        <v>124</v>
      </c>
      <c r="MFL232" s="297" t="s">
        <v>124</v>
      </c>
      <c r="MFM232" s="297" t="s">
        <v>124</v>
      </c>
      <c r="MFN232" s="297" t="s">
        <v>124</v>
      </c>
      <c r="MFO232" s="297" t="s">
        <v>124</v>
      </c>
      <c r="MFP232" s="297" t="s">
        <v>124</v>
      </c>
      <c r="MFQ232" s="297" t="s">
        <v>124</v>
      </c>
      <c r="MFR232" s="297" t="s">
        <v>124</v>
      </c>
      <c r="MFS232" s="297" t="s">
        <v>124</v>
      </c>
      <c r="MFT232" s="297" t="s">
        <v>124</v>
      </c>
      <c r="MFU232" s="297" t="s">
        <v>124</v>
      </c>
      <c r="MFV232" s="297" t="s">
        <v>124</v>
      </c>
      <c r="MFW232" s="297" t="s">
        <v>124</v>
      </c>
      <c r="MFX232" s="297" t="s">
        <v>124</v>
      </c>
      <c r="MFY232" s="297" t="s">
        <v>124</v>
      </c>
      <c r="MFZ232" s="297" t="s">
        <v>124</v>
      </c>
      <c r="MGA232" s="297" t="s">
        <v>124</v>
      </c>
      <c r="MGB232" s="297" t="s">
        <v>124</v>
      </c>
      <c r="MGC232" s="297" t="s">
        <v>124</v>
      </c>
      <c r="MGD232" s="297" t="s">
        <v>124</v>
      </c>
      <c r="MGE232" s="297" t="s">
        <v>124</v>
      </c>
      <c r="MGF232" s="297" t="s">
        <v>124</v>
      </c>
      <c r="MGG232" s="297" t="s">
        <v>124</v>
      </c>
      <c r="MGH232" s="297" t="s">
        <v>124</v>
      </c>
      <c r="MGI232" s="297" t="s">
        <v>124</v>
      </c>
      <c r="MGJ232" s="297" t="s">
        <v>124</v>
      </c>
      <c r="MGK232" s="297" t="s">
        <v>124</v>
      </c>
      <c r="MGL232" s="297" t="s">
        <v>124</v>
      </c>
      <c r="MGM232" s="297" t="s">
        <v>124</v>
      </c>
      <c r="MGN232" s="297" t="s">
        <v>124</v>
      </c>
      <c r="MGO232" s="297" t="s">
        <v>124</v>
      </c>
      <c r="MGP232" s="297" t="s">
        <v>124</v>
      </c>
      <c r="MGQ232" s="297" t="s">
        <v>124</v>
      </c>
      <c r="MGR232" s="297" t="s">
        <v>124</v>
      </c>
      <c r="MGS232" s="297" t="s">
        <v>124</v>
      </c>
      <c r="MGT232" s="297" t="s">
        <v>124</v>
      </c>
      <c r="MGU232" s="297" t="s">
        <v>124</v>
      </c>
      <c r="MGV232" s="297" t="s">
        <v>124</v>
      </c>
      <c r="MGW232" s="297" t="s">
        <v>124</v>
      </c>
      <c r="MGX232" s="297" t="s">
        <v>124</v>
      </c>
      <c r="MGY232" s="297" t="s">
        <v>124</v>
      </c>
      <c r="MGZ232" s="297" t="s">
        <v>124</v>
      </c>
      <c r="MHA232" s="297" t="s">
        <v>124</v>
      </c>
      <c r="MHB232" s="297" t="s">
        <v>124</v>
      </c>
      <c r="MHC232" s="297" t="s">
        <v>124</v>
      </c>
      <c r="MHD232" s="297" t="s">
        <v>124</v>
      </c>
      <c r="MHE232" s="297" t="s">
        <v>124</v>
      </c>
      <c r="MHF232" s="297" t="s">
        <v>124</v>
      </c>
      <c r="MHG232" s="297" t="s">
        <v>124</v>
      </c>
      <c r="MHH232" s="297" t="s">
        <v>124</v>
      </c>
      <c r="MHI232" s="297" t="s">
        <v>124</v>
      </c>
      <c r="MHJ232" s="297" t="s">
        <v>124</v>
      </c>
      <c r="MHK232" s="297" t="s">
        <v>124</v>
      </c>
      <c r="MHL232" s="297" t="s">
        <v>124</v>
      </c>
      <c r="MHM232" s="297" t="s">
        <v>124</v>
      </c>
      <c r="MHN232" s="297" t="s">
        <v>124</v>
      </c>
      <c r="MHO232" s="297" t="s">
        <v>124</v>
      </c>
      <c r="MHP232" s="297" t="s">
        <v>124</v>
      </c>
      <c r="MHQ232" s="297" t="s">
        <v>124</v>
      </c>
      <c r="MHR232" s="297" t="s">
        <v>124</v>
      </c>
      <c r="MHS232" s="297" t="s">
        <v>124</v>
      </c>
      <c r="MHT232" s="297" t="s">
        <v>124</v>
      </c>
      <c r="MHU232" s="297" t="s">
        <v>124</v>
      </c>
      <c r="MHV232" s="297" t="s">
        <v>124</v>
      </c>
      <c r="MHW232" s="297" t="s">
        <v>124</v>
      </c>
      <c r="MHX232" s="297" t="s">
        <v>124</v>
      </c>
      <c r="MHY232" s="297" t="s">
        <v>124</v>
      </c>
      <c r="MHZ232" s="297" t="s">
        <v>124</v>
      </c>
      <c r="MIA232" s="297" t="s">
        <v>124</v>
      </c>
      <c r="MIB232" s="297" t="s">
        <v>124</v>
      </c>
      <c r="MIC232" s="297" t="s">
        <v>124</v>
      </c>
      <c r="MID232" s="297" t="s">
        <v>124</v>
      </c>
      <c r="MIE232" s="297" t="s">
        <v>124</v>
      </c>
      <c r="MIF232" s="297" t="s">
        <v>124</v>
      </c>
      <c r="MIG232" s="297" t="s">
        <v>124</v>
      </c>
      <c r="MIH232" s="297" t="s">
        <v>124</v>
      </c>
      <c r="MII232" s="297" t="s">
        <v>124</v>
      </c>
      <c r="MIJ232" s="297" t="s">
        <v>124</v>
      </c>
      <c r="MIK232" s="297" t="s">
        <v>124</v>
      </c>
      <c r="MIL232" s="297" t="s">
        <v>124</v>
      </c>
      <c r="MIM232" s="297" t="s">
        <v>124</v>
      </c>
      <c r="MIN232" s="297" t="s">
        <v>124</v>
      </c>
      <c r="MIO232" s="297" t="s">
        <v>124</v>
      </c>
      <c r="MIP232" s="297" t="s">
        <v>124</v>
      </c>
      <c r="MIQ232" s="297" t="s">
        <v>124</v>
      </c>
      <c r="MIR232" s="297" t="s">
        <v>124</v>
      </c>
      <c r="MIS232" s="297" t="s">
        <v>124</v>
      </c>
      <c r="MIT232" s="297" t="s">
        <v>124</v>
      </c>
      <c r="MIU232" s="297" t="s">
        <v>124</v>
      </c>
      <c r="MIV232" s="297" t="s">
        <v>124</v>
      </c>
      <c r="MIW232" s="297" t="s">
        <v>124</v>
      </c>
      <c r="MIX232" s="297" t="s">
        <v>124</v>
      </c>
      <c r="MIY232" s="297" t="s">
        <v>124</v>
      </c>
      <c r="MIZ232" s="297" t="s">
        <v>124</v>
      </c>
      <c r="MJA232" s="297" t="s">
        <v>124</v>
      </c>
      <c r="MJB232" s="297" t="s">
        <v>124</v>
      </c>
      <c r="MJC232" s="297" t="s">
        <v>124</v>
      </c>
      <c r="MJD232" s="297" t="s">
        <v>124</v>
      </c>
      <c r="MJE232" s="297" t="s">
        <v>124</v>
      </c>
      <c r="MJF232" s="297" t="s">
        <v>124</v>
      </c>
      <c r="MJG232" s="297" t="s">
        <v>124</v>
      </c>
      <c r="MJH232" s="297" t="s">
        <v>124</v>
      </c>
      <c r="MJI232" s="297" t="s">
        <v>124</v>
      </c>
      <c r="MJJ232" s="297" t="s">
        <v>124</v>
      </c>
      <c r="MJK232" s="297" t="s">
        <v>124</v>
      </c>
      <c r="MJL232" s="297" t="s">
        <v>124</v>
      </c>
      <c r="MJM232" s="297" t="s">
        <v>124</v>
      </c>
      <c r="MJN232" s="297" t="s">
        <v>124</v>
      </c>
      <c r="MJO232" s="297" t="s">
        <v>124</v>
      </c>
      <c r="MJP232" s="297" t="s">
        <v>124</v>
      </c>
      <c r="MJQ232" s="297" t="s">
        <v>124</v>
      </c>
      <c r="MJR232" s="297" t="s">
        <v>124</v>
      </c>
      <c r="MJS232" s="297" t="s">
        <v>124</v>
      </c>
      <c r="MJT232" s="297" t="s">
        <v>124</v>
      </c>
      <c r="MJU232" s="297" t="s">
        <v>124</v>
      </c>
      <c r="MJV232" s="297" t="s">
        <v>124</v>
      </c>
      <c r="MJW232" s="297" t="s">
        <v>124</v>
      </c>
      <c r="MJX232" s="297" t="s">
        <v>124</v>
      </c>
      <c r="MJY232" s="297" t="s">
        <v>124</v>
      </c>
      <c r="MJZ232" s="297" t="s">
        <v>124</v>
      </c>
      <c r="MKA232" s="297" t="s">
        <v>124</v>
      </c>
      <c r="MKB232" s="297" t="s">
        <v>124</v>
      </c>
      <c r="MKC232" s="297" t="s">
        <v>124</v>
      </c>
      <c r="MKD232" s="297" t="s">
        <v>124</v>
      </c>
      <c r="MKE232" s="297" t="s">
        <v>124</v>
      </c>
      <c r="MKF232" s="297" t="s">
        <v>124</v>
      </c>
      <c r="MKG232" s="297" t="s">
        <v>124</v>
      </c>
      <c r="MKH232" s="297" t="s">
        <v>124</v>
      </c>
      <c r="MKI232" s="297" t="s">
        <v>124</v>
      </c>
      <c r="MKJ232" s="297" t="s">
        <v>124</v>
      </c>
      <c r="MKK232" s="297" t="s">
        <v>124</v>
      </c>
      <c r="MKL232" s="297" t="s">
        <v>124</v>
      </c>
      <c r="MKM232" s="297" t="s">
        <v>124</v>
      </c>
      <c r="MKN232" s="297" t="s">
        <v>124</v>
      </c>
      <c r="MKO232" s="297" t="s">
        <v>124</v>
      </c>
      <c r="MKP232" s="297" t="s">
        <v>124</v>
      </c>
      <c r="MKQ232" s="297" t="s">
        <v>124</v>
      </c>
      <c r="MKR232" s="297" t="s">
        <v>124</v>
      </c>
      <c r="MKS232" s="297" t="s">
        <v>124</v>
      </c>
      <c r="MKT232" s="297" t="s">
        <v>124</v>
      </c>
      <c r="MKU232" s="297" t="s">
        <v>124</v>
      </c>
      <c r="MKV232" s="297" t="s">
        <v>124</v>
      </c>
      <c r="MKW232" s="297" t="s">
        <v>124</v>
      </c>
      <c r="MKX232" s="297" t="s">
        <v>124</v>
      </c>
      <c r="MKY232" s="297" t="s">
        <v>124</v>
      </c>
      <c r="MKZ232" s="297" t="s">
        <v>124</v>
      </c>
      <c r="MLA232" s="297" t="s">
        <v>124</v>
      </c>
      <c r="MLB232" s="297" t="s">
        <v>124</v>
      </c>
      <c r="MLC232" s="297" t="s">
        <v>124</v>
      </c>
      <c r="MLD232" s="297" t="s">
        <v>124</v>
      </c>
      <c r="MLE232" s="297" t="s">
        <v>124</v>
      </c>
      <c r="MLF232" s="297" t="s">
        <v>124</v>
      </c>
      <c r="MLG232" s="297" t="s">
        <v>124</v>
      </c>
      <c r="MLH232" s="297" t="s">
        <v>124</v>
      </c>
      <c r="MLI232" s="297" t="s">
        <v>124</v>
      </c>
      <c r="MLJ232" s="297" t="s">
        <v>124</v>
      </c>
      <c r="MLK232" s="297" t="s">
        <v>124</v>
      </c>
      <c r="MLL232" s="297" t="s">
        <v>124</v>
      </c>
      <c r="MLM232" s="297" t="s">
        <v>124</v>
      </c>
      <c r="MLN232" s="297" t="s">
        <v>124</v>
      </c>
      <c r="MLO232" s="297" t="s">
        <v>124</v>
      </c>
      <c r="MLP232" s="297" t="s">
        <v>124</v>
      </c>
      <c r="MLQ232" s="297" t="s">
        <v>124</v>
      </c>
      <c r="MLR232" s="297" t="s">
        <v>124</v>
      </c>
      <c r="MLS232" s="297" t="s">
        <v>124</v>
      </c>
      <c r="MLT232" s="297" t="s">
        <v>124</v>
      </c>
      <c r="MLU232" s="297" t="s">
        <v>124</v>
      </c>
      <c r="MLV232" s="297" t="s">
        <v>124</v>
      </c>
      <c r="MLW232" s="297" t="s">
        <v>124</v>
      </c>
      <c r="MLX232" s="297" t="s">
        <v>124</v>
      </c>
      <c r="MLY232" s="297" t="s">
        <v>124</v>
      </c>
      <c r="MLZ232" s="297" t="s">
        <v>124</v>
      </c>
      <c r="MMA232" s="297" t="s">
        <v>124</v>
      </c>
      <c r="MMB232" s="297" t="s">
        <v>124</v>
      </c>
      <c r="MMC232" s="297" t="s">
        <v>124</v>
      </c>
      <c r="MMD232" s="297" t="s">
        <v>124</v>
      </c>
      <c r="MME232" s="297" t="s">
        <v>124</v>
      </c>
      <c r="MMF232" s="297" t="s">
        <v>124</v>
      </c>
      <c r="MMG232" s="297" t="s">
        <v>124</v>
      </c>
      <c r="MMH232" s="297" t="s">
        <v>124</v>
      </c>
      <c r="MMI232" s="297" t="s">
        <v>124</v>
      </c>
      <c r="MMJ232" s="297" t="s">
        <v>124</v>
      </c>
      <c r="MMK232" s="297" t="s">
        <v>124</v>
      </c>
      <c r="MML232" s="297" t="s">
        <v>124</v>
      </c>
      <c r="MMM232" s="297" t="s">
        <v>124</v>
      </c>
      <c r="MMN232" s="297" t="s">
        <v>124</v>
      </c>
      <c r="MMO232" s="297" t="s">
        <v>124</v>
      </c>
      <c r="MMP232" s="297" t="s">
        <v>124</v>
      </c>
      <c r="MMQ232" s="297" t="s">
        <v>124</v>
      </c>
      <c r="MMR232" s="297" t="s">
        <v>124</v>
      </c>
      <c r="MMS232" s="297" t="s">
        <v>124</v>
      </c>
      <c r="MMT232" s="297" t="s">
        <v>124</v>
      </c>
      <c r="MMU232" s="297" t="s">
        <v>124</v>
      </c>
      <c r="MMV232" s="297" t="s">
        <v>124</v>
      </c>
      <c r="MMW232" s="297" t="s">
        <v>124</v>
      </c>
      <c r="MMX232" s="297" t="s">
        <v>124</v>
      </c>
      <c r="MMY232" s="297" t="s">
        <v>124</v>
      </c>
      <c r="MMZ232" s="297" t="s">
        <v>124</v>
      </c>
      <c r="MNA232" s="297" t="s">
        <v>124</v>
      </c>
      <c r="MNB232" s="297" t="s">
        <v>124</v>
      </c>
      <c r="MNC232" s="297" t="s">
        <v>124</v>
      </c>
      <c r="MND232" s="297" t="s">
        <v>124</v>
      </c>
      <c r="MNE232" s="297" t="s">
        <v>124</v>
      </c>
      <c r="MNF232" s="297" t="s">
        <v>124</v>
      </c>
      <c r="MNG232" s="297" t="s">
        <v>124</v>
      </c>
      <c r="MNH232" s="297" t="s">
        <v>124</v>
      </c>
      <c r="MNI232" s="297" t="s">
        <v>124</v>
      </c>
      <c r="MNJ232" s="297" t="s">
        <v>124</v>
      </c>
      <c r="MNK232" s="297" t="s">
        <v>124</v>
      </c>
      <c r="MNL232" s="297" t="s">
        <v>124</v>
      </c>
      <c r="MNM232" s="297" t="s">
        <v>124</v>
      </c>
      <c r="MNN232" s="297" t="s">
        <v>124</v>
      </c>
      <c r="MNO232" s="297" t="s">
        <v>124</v>
      </c>
      <c r="MNP232" s="297" t="s">
        <v>124</v>
      </c>
      <c r="MNQ232" s="297" t="s">
        <v>124</v>
      </c>
      <c r="MNR232" s="297" t="s">
        <v>124</v>
      </c>
      <c r="MNS232" s="297" t="s">
        <v>124</v>
      </c>
      <c r="MNT232" s="297" t="s">
        <v>124</v>
      </c>
      <c r="MNU232" s="297" t="s">
        <v>124</v>
      </c>
      <c r="MNV232" s="297" t="s">
        <v>124</v>
      </c>
      <c r="MNW232" s="297" t="s">
        <v>124</v>
      </c>
      <c r="MNX232" s="297" t="s">
        <v>124</v>
      </c>
      <c r="MNY232" s="297" t="s">
        <v>124</v>
      </c>
      <c r="MNZ232" s="297" t="s">
        <v>124</v>
      </c>
      <c r="MOA232" s="297" t="s">
        <v>124</v>
      </c>
      <c r="MOB232" s="297" t="s">
        <v>124</v>
      </c>
      <c r="MOC232" s="297" t="s">
        <v>124</v>
      </c>
      <c r="MOD232" s="297" t="s">
        <v>124</v>
      </c>
      <c r="MOE232" s="297" t="s">
        <v>124</v>
      </c>
      <c r="MOF232" s="297" t="s">
        <v>124</v>
      </c>
      <c r="MOG232" s="297" t="s">
        <v>124</v>
      </c>
      <c r="MOH232" s="297" t="s">
        <v>124</v>
      </c>
      <c r="MOI232" s="297" t="s">
        <v>124</v>
      </c>
      <c r="MOJ232" s="297" t="s">
        <v>124</v>
      </c>
      <c r="MOK232" s="297" t="s">
        <v>124</v>
      </c>
      <c r="MOL232" s="297" t="s">
        <v>124</v>
      </c>
      <c r="MOM232" s="297" t="s">
        <v>124</v>
      </c>
      <c r="MON232" s="297" t="s">
        <v>124</v>
      </c>
      <c r="MOO232" s="297" t="s">
        <v>124</v>
      </c>
      <c r="MOP232" s="297" t="s">
        <v>124</v>
      </c>
      <c r="MOQ232" s="297" t="s">
        <v>124</v>
      </c>
      <c r="MOR232" s="297" t="s">
        <v>124</v>
      </c>
      <c r="MOS232" s="297" t="s">
        <v>124</v>
      </c>
      <c r="MOT232" s="297" t="s">
        <v>124</v>
      </c>
      <c r="MOU232" s="297" t="s">
        <v>124</v>
      </c>
      <c r="MOV232" s="297" t="s">
        <v>124</v>
      </c>
      <c r="MOW232" s="297" t="s">
        <v>124</v>
      </c>
      <c r="MOX232" s="297" t="s">
        <v>124</v>
      </c>
      <c r="MOY232" s="297" t="s">
        <v>124</v>
      </c>
      <c r="MOZ232" s="297" t="s">
        <v>124</v>
      </c>
      <c r="MPA232" s="297" t="s">
        <v>124</v>
      </c>
      <c r="MPB232" s="297" t="s">
        <v>124</v>
      </c>
      <c r="MPC232" s="297" t="s">
        <v>124</v>
      </c>
      <c r="MPD232" s="297" t="s">
        <v>124</v>
      </c>
      <c r="MPE232" s="297" t="s">
        <v>124</v>
      </c>
      <c r="MPF232" s="297" t="s">
        <v>124</v>
      </c>
      <c r="MPG232" s="297" t="s">
        <v>124</v>
      </c>
      <c r="MPH232" s="297" t="s">
        <v>124</v>
      </c>
      <c r="MPI232" s="297" t="s">
        <v>124</v>
      </c>
      <c r="MPJ232" s="297" t="s">
        <v>124</v>
      </c>
      <c r="MPK232" s="297" t="s">
        <v>124</v>
      </c>
      <c r="MPL232" s="297" t="s">
        <v>124</v>
      </c>
      <c r="MPM232" s="297" t="s">
        <v>124</v>
      </c>
      <c r="MPN232" s="297" t="s">
        <v>124</v>
      </c>
      <c r="MPO232" s="297" t="s">
        <v>124</v>
      </c>
      <c r="MPP232" s="297" t="s">
        <v>124</v>
      </c>
      <c r="MPQ232" s="297" t="s">
        <v>124</v>
      </c>
      <c r="MPR232" s="297" t="s">
        <v>124</v>
      </c>
      <c r="MPS232" s="297" t="s">
        <v>124</v>
      </c>
      <c r="MPT232" s="297" t="s">
        <v>124</v>
      </c>
      <c r="MPU232" s="297" t="s">
        <v>124</v>
      </c>
      <c r="MPV232" s="297" t="s">
        <v>124</v>
      </c>
      <c r="MPW232" s="297" t="s">
        <v>124</v>
      </c>
      <c r="MPX232" s="297" t="s">
        <v>124</v>
      </c>
      <c r="MPY232" s="297" t="s">
        <v>124</v>
      </c>
      <c r="MPZ232" s="297" t="s">
        <v>124</v>
      </c>
      <c r="MQA232" s="297" t="s">
        <v>124</v>
      </c>
      <c r="MQB232" s="297" t="s">
        <v>124</v>
      </c>
      <c r="MQC232" s="297" t="s">
        <v>124</v>
      </c>
      <c r="MQD232" s="297" t="s">
        <v>124</v>
      </c>
      <c r="MQE232" s="297" t="s">
        <v>124</v>
      </c>
      <c r="MQF232" s="297" t="s">
        <v>124</v>
      </c>
      <c r="MQG232" s="297" t="s">
        <v>124</v>
      </c>
      <c r="MQH232" s="297" t="s">
        <v>124</v>
      </c>
      <c r="MQI232" s="297" t="s">
        <v>124</v>
      </c>
      <c r="MQJ232" s="297" t="s">
        <v>124</v>
      </c>
      <c r="MQK232" s="297" t="s">
        <v>124</v>
      </c>
      <c r="MQL232" s="297" t="s">
        <v>124</v>
      </c>
      <c r="MQM232" s="297" t="s">
        <v>124</v>
      </c>
      <c r="MQN232" s="297" t="s">
        <v>124</v>
      </c>
      <c r="MQO232" s="297" t="s">
        <v>124</v>
      </c>
      <c r="MQP232" s="297" t="s">
        <v>124</v>
      </c>
      <c r="MQQ232" s="297" t="s">
        <v>124</v>
      </c>
      <c r="MQR232" s="297" t="s">
        <v>124</v>
      </c>
      <c r="MQS232" s="297" t="s">
        <v>124</v>
      </c>
      <c r="MQT232" s="297" t="s">
        <v>124</v>
      </c>
      <c r="MQU232" s="297" t="s">
        <v>124</v>
      </c>
      <c r="MQV232" s="297" t="s">
        <v>124</v>
      </c>
      <c r="MQW232" s="297" t="s">
        <v>124</v>
      </c>
      <c r="MQX232" s="297" t="s">
        <v>124</v>
      </c>
      <c r="MQY232" s="297" t="s">
        <v>124</v>
      </c>
      <c r="MQZ232" s="297" t="s">
        <v>124</v>
      </c>
      <c r="MRA232" s="297" t="s">
        <v>124</v>
      </c>
      <c r="MRB232" s="297" t="s">
        <v>124</v>
      </c>
      <c r="MRC232" s="297" t="s">
        <v>124</v>
      </c>
      <c r="MRD232" s="297" t="s">
        <v>124</v>
      </c>
      <c r="MRE232" s="297" t="s">
        <v>124</v>
      </c>
      <c r="MRF232" s="297" t="s">
        <v>124</v>
      </c>
      <c r="MRG232" s="297" t="s">
        <v>124</v>
      </c>
      <c r="MRH232" s="297" t="s">
        <v>124</v>
      </c>
      <c r="MRI232" s="297" t="s">
        <v>124</v>
      </c>
      <c r="MRJ232" s="297" t="s">
        <v>124</v>
      </c>
      <c r="MRK232" s="297" t="s">
        <v>124</v>
      </c>
      <c r="MRL232" s="297" t="s">
        <v>124</v>
      </c>
      <c r="MRM232" s="297" t="s">
        <v>124</v>
      </c>
      <c r="MRN232" s="297" t="s">
        <v>124</v>
      </c>
      <c r="MRO232" s="297" t="s">
        <v>124</v>
      </c>
      <c r="MRP232" s="297" t="s">
        <v>124</v>
      </c>
      <c r="MRQ232" s="297" t="s">
        <v>124</v>
      </c>
      <c r="MRR232" s="297" t="s">
        <v>124</v>
      </c>
      <c r="MRS232" s="297" t="s">
        <v>124</v>
      </c>
      <c r="MRT232" s="297" t="s">
        <v>124</v>
      </c>
      <c r="MRU232" s="297" t="s">
        <v>124</v>
      </c>
      <c r="MRV232" s="297" t="s">
        <v>124</v>
      </c>
      <c r="MRW232" s="297" t="s">
        <v>124</v>
      </c>
      <c r="MRX232" s="297" t="s">
        <v>124</v>
      </c>
      <c r="MRY232" s="297" t="s">
        <v>124</v>
      </c>
      <c r="MRZ232" s="297" t="s">
        <v>124</v>
      </c>
      <c r="MSA232" s="297" t="s">
        <v>124</v>
      </c>
      <c r="MSB232" s="297" t="s">
        <v>124</v>
      </c>
      <c r="MSC232" s="297" t="s">
        <v>124</v>
      </c>
      <c r="MSD232" s="297" t="s">
        <v>124</v>
      </c>
      <c r="MSE232" s="297" t="s">
        <v>124</v>
      </c>
      <c r="MSF232" s="297" t="s">
        <v>124</v>
      </c>
      <c r="MSG232" s="297" t="s">
        <v>124</v>
      </c>
      <c r="MSH232" s="297" t="s">
        <v>124</v>
      </c>
      <c r="MSI232" s="297" t="s">
        <v>124</v>
      </c>
      <c r="MSJ232" s="297" t="s">
        <v>124</v>
      </c>
      <c r="MSK232" s="297" t="s">
        <v>124</v>
      </c>
      <c r="MSL232" s="297" t="s">
        <v>124</v>
      </c>
      <c r="MSM232" s="297" t="s">
        <v>124</v>
      </c>
      <c r="MSN232" s="297" t="s">
        <v>124</v>
      </c>
      <c r="MSO232" s="297" t="s">
        <v>124</v>
      </c>
      <c r="MSP232" s="297" t="s">
        <v>124</v>
      </c>
      <c r="MSQ232" s="297" t="s">
        <v>124</v>
      </c>
      <c r="MSR232" s="297" t="s">
        <v>124</v>
      </c>
      <c r="MSS232" s="297" t="s">
        <v>124</v>
      </c>
      <c r="MST232" s="297" t="s">
        <v>124</v>
      </c>
      <c r="MSU232" s="297" t="s">
        <v>124</v>
      </c>
      <c r="MSV232" s="297" t="s">
        <v>124</v>
      </c>
      <c r="MSW232" s="297" t="s">
        <v>124</v>
      </c>
      <c r="MSX232" s="297" t="s">
        <v>124</v>
      </c>
      <c r="MSY232" s="297" t="s">
        <v>124</v>
      </c>
      <c r="MSZ232" s="297" t="s">
        <v>124</v>
      </c>
      <c r="MTA232" s="297" t="s">
        <v>124</v>
      </c>
      <c r="MTB232" s="297" t="s">
        <v>124</v>
      </c>
      <c r="MTC232" s="297" t="s">
        <v>124</v>
      </c>
      <c r="MTD232" s="297" t="s">
        <v>124</v>
      </c>
      <c r="MTE232" s="297" t="s">
        <v>124</v>
      </c>
      <c r="MTF232" s="297" t="s">
        <v>124</v>
      </c>
      <c r="MTG232" s="297" t="s">
        <v>124</v>
      </c>
      <c r="MTH232" s="297" t="s">
        <v>124</v>
      </c>
      <c r="MTI232" s="297" t="s">
        <v>124</v>
      </c>
      <c r="MTJ232" s="297" t="s">
        <v>124</v>
      </c>
      <c r="MTK232" s="297" t="s">
        <v>124</v>
      </c>
      <c r="MTL232" s="297" t="s">
        <v>124</v>
      </c>
      <c r="MTM232" s="297" t="s">
        <v>124</v>
      </c>
      <c r="MTN232" s="297" t="s">
        <v>124</v>
      </c>
      <c r="MTO232" s="297" t="s">
        <v>124</v>
      </c>
      <c r="MTP232" s="297" t="s">
        <v>124</v>
      </c>
      <c r="MTQ232" s="297" t="s">
        <v>124</v>
      </c>
      <c r="MTR232" s="297" t="s">
        <v>124</v>
      </c>
      <c r="MTS232" s="297" t="s">
        <v>124</v>
      </c>
      <c r="MTT232" s="297" t="s">
        <v>124</v>
      </c>
      <c r="MTU232" s="297" t="s">
        <v>124</v>
      </c>
      <c r="MTV232" s="297" t="s">
        <v>124</v>
      </c>
      <c r="MTW232" s="297" t="s">
        <v>124</v>
      </c>
      <c r="MTX232" s="297" t="s">
        <v>124</v>
      </c>
      <c r="MTY232" s="297" t="s">
        <v>124</v>
      </c>
      <c r="MTZ232" s="297" t="s">
        <v>124</v>
      </c>
      <c r="MUA232" s="297" t="s">
        <v>124</v>
      </c>
      <c r="MUB232" s="297" t="s">
        <v>124</v>
      </c>
      <c r="MUC232" s="297" t="s">
        <v>124</v>
      </c>
      <c r="MUD232" s="297" t="s">
        <v>124</v>
      </c>
      <c r="MUE232" s="297" t="s">
        <v>124</v>
      </c>
      <c r="MUF232" s="297" t="s">
        <v>124</v>
      </c>
      <c r="MUG232" s="297" t="s">
        <v>124</v>
      </c>
      <c r="MUH232" s="297" t="s">
        <v>124</v>
      </c>
      <c r="MUI232" s="297" t="s">
        <v>124</v>
      </c>
      <c r="MUJ232" s="297" t="s">
        <v>124</v>
      </c>
      <c r="MUK232" s="297" t="s">
        <v>124</v>
      </c>
      <c r="MUL232" s="297" t="s">
        <v>124</v>
      </c>
      <c r="MUM232" s="297" t="s">
        <v>124</v>
      </c>
      <c r="MUN232" s="297" t="s">
        <v>124</v>
      </c>
      <c r="MUO232" s="297" t="s">
        <v>124</v>
      </c>
      <c r="MUP232" s="297" t="s">
        <v>124</v>
      </c>
      <c r="MUQ232" s="297" t="s">
        <v>124</v>
      </c>
      <c r="MUR232" s="297" t="s">
        <v>124</v>
      </c>
      <c r="MUS232" s="297" t="s">
        <v>124</v>
      </c>
      <c r="MUT232" s="297" t="s">
        <v>124</v>
      </c>
      <c r="MUU232" s="297" t="s">
        <v>124</v>
      </c>
      <c r="MUV232" s="297" t="s">
        <v>124</v>
      </c>
      <c r="MUW232" s="297" t="s">
        <v>124</v>
      </c>
      <c r="MUX232" s="297" t="s">
        <v>124</v>
      </c>
      <c r="MUY232" s="297" t="s">
        <v>124</v>
      </c>
      <c r="MUZ232" s="297" t="s">
        <v>124</v>
      </c>
      <c r="MVA232" s="297" t="s">
        <v>124</v>
      </c>
      <c r="MVB232" s="297" t="s">
        <v>124</v>
      </c>
      <c r="MVC232" s="297" t="s">
        <v>124</v>
      </c>
      <c r="MVD232" s="297" t="s">
        <v>124</v>
      </c>
      <c r="MVE232" s="297" t="s">
        <v>124</v>
      </c>
      <c r="MVF232" s="297" t="s">
        <v>124</v>
      </c>
      <c r="MVG232" s="297" t="s">
        <v>124</v>
      </c>
      <c r="MVH232" s="297" t="s">
        <v>124</v>
      </c>
      <c r="MVI232" s="297" t="s">
        <v>124</v>
      </c>
      <c r="MVJ232" s="297" t="s">
        <v>124</v>
      </c>
      <c r="MVK232" s="297" t="s">
        <v>124</v>
      </c>
      <c r="MVL232" s="297" t="s">
        <v>124</v>
      </c>
      <c r="MVM232" s="297" t="s">
        <v>124</v>
      </c>
      <c r="MVN232" s="297" t="s">
        <v>124</v>
      </c>
      <c r="MVO232" s="297" t="s">
        <v>124</v>
      </c>
      <c r="MVP232" s="297" t="s">
        <v>124</v>
      </c>
      <c r="MVQ232" s="297" t="s">
        <v>124</v>
      </c>
      <c r="MVR232" s="297" t="s">
        <v>124</v>
      </c>
      <c r="MVS232" s="297" t="s">
        <v>124</v>
      </c>
      <c r="MVT232" s="297" t="s">
        <v>124</v>
      </c>
      <c r="MVU232" s="297" t="s">
        <v>124</v>
      </c>
      <c r="MVV232" s="297" t="s">
        <v>124</v>
      </c>
      <c r="MVW232" s="297" t="s">
        <v>124</v>
      </c>
      <c r="MVX232" s="297" t="s">
        <v>124</v>
      </c>
      <c r="MVY232" s="297" t="s">
        <v>124</v>
      </c>
      <c r="MVZ232" s="297" t="s">
        <v>124</v>
      </c>
      <c r="MWA232" s="297" t="s">
        <v>124</v>
      </c>
      <c r="MWB232" s="297" t="s">
        <v>124</v>
      </c>
      <c r="MWC232" s="297" t="s">
        <v>124</v>
      </c>
      <c r="MWD232" s="297" t="s">
        <v>124</v>
      </c>
      <c r="MWE232" s="297" t="s">
        <v>124</v>
      </c>
      <c r="MWF232" s="297" t="s">
        <v>124</v>
      </c>
      <c r="MWG232" s="297" t="s">
        <v>124</v>
      </c>
      <c r="MWH232" s="297" t="s">
        <v>124</v>
      </c>
      <c r="MWI232" s="297" t="s">
        <v>124</v>
      </c>
      <c r="MWJ232" s="297" t="s">
        <v>124</v>
      </c>
      <c r="MWK232" s="297" t="s">
        <v>124</v>
      </c>
      <c r="MWL232" s="297" t="s">
        <v>124</v>
      </c>
      <c r="MWM232" s="297" t="s">
        <v>124</v>
      </c>
      <c r="MWN232" s="297" t="s">
        <v>124</v>
      </c>
      <c r="MWO232" s="297" t="s">
        <v>124</v>
      </c>
      <c r="MWP232" s="297" t="s">
        <v>124</v>
      </c>
      <c r="MWQ232" s="297" t="s">
        <v>124</v>
      </c>
      <c r="MWR232" s="297" t="s">
        <v>124</v>
      </c>
      <c r="MWS232" s="297" t="s">
        <v>124</v>
      </c>
      <c r="MWT232" s="297" t="s">
        <v>124</v>
      </c>
      <c r="MWU232" s="297" t="s">
        <v>124</v>
      </c>
      <c r="MWV232" s="297" t="s">
        <v>124</v>
      </c>
      <c r="MWW232" s="297" t="s">
        <v>124</v>
      </c>
      <c r="MWX232" s="297" t="s">
        <v>124</v>
      </c>
      <c r="MWY232" s="297" t="s">
        <v>124</v>
      </c>
      <c r="MWZ232" s="297" t="s">
        <v>124</v>
      </c>
      <c r="MXA232" s="297" t="s">
        <v>124</v>
      </c>
      <c r="MXB232" s="297" t="s">
        <v>124</v>
      </c>
      <c r="MXC232" s="297" t="s">
        <v>124</v>
      </c>
      <c r="MXD232" s="297" t="s">
        <v>124</v>
      </c>
      <c r="MXE232" s="297" t="s">
        <v>124</v>
      </c>
      <c r="MXF232" s="297" t="s">
        <v>124</v>
      </c>
      <c r="MXG232" s="297" t="s">
        <v>124</v>
      </c>
      <c r="MXH232" s="297" t="s">
        <v>124</v>
      </c>
      <c r="MXI232" s="297" t="s">
        <v>124</v>
      </c>
      <c r="MXJ232" s="297" t="s">
        <v>124</v>
      </c>
      <c r="MXK232" s="297" t="s">
        <v>124</v>
      </c>
      <c r="MXL232" s="297" t="s">
        <v>124</v>
      </c>
      <c r="MXM232" s="297" t="s">
        <v>124</v>
      </c>
      <c r="MXN232" s="297" t="s">
        <v>124</v>
      </c>
      <c r="MXO232" s="297" t="s">
        <v>124</v>
      </c>
      <c r="MXP232" s="297" t="s">
        <v>124</v>
      </c>
      <c r="MXQ232" s="297" t="s">
        <v>124</v>
      </c>
      <c r="MXR232" s="297" t="s">
        <v>124</v>
      </c>
      <c r="MXS232" s="297" t="s">
        <v>124</v>
      </c>
      <c r="MXT232" s="297" t="s">
        <v>124</v>
      </c>
      <c r="MXU232" s="297" t="s">
        <v>124</v>
      </c>
      <c r="MXV232" s="297" t="s">
        <v>124</v>
      </c>
      <c r="MXW232" s="297" t="s">
        <v>124</v>
      </c>
      <c r="MXX232" s="297" t="s">
        <v>124</v>
      </c>
      <c r="MXY232" s="297" t="s">
        <v>124</v>
      </c>
      <c r="MXZ232" s="297" t="s">
        <v>124</v>
      </c>
      <c r="MYA232" s="297" t="s">
        <v>124</v>
      </c>
      <c r="MYB232" s="297" t="s">
        <v>124</v>
      </c>
      <c r="MYC232" s="297" t="s">
        <v>124</v>
      </c>
      <c r="MYD232" s="297" t="s">
        <v>124</v>
      </c>
      <c r="MYE232" s="297" t="s">
        <v>124</v>
      </c>
      <c r="MYF232" s="297" t="s">
        <v>124</v>
      </c>
      <c r="MYG232" s="297" t="s">
        <v>124</v>
      </c>
      <c r="MYH232" s="297" t="s">
        <v>124</v>
      </c>
      <c r="MYI232" s="297" t="s">
        <v>124</v>
      </c>
      <c r="MYJ232" s="297" t="s">
        <v>124</v>
      </c>
      <c r="MYK232" s="297" t="s">
        <v>124</v>
      </c>
      <c r="MYL232" s="297" t="s">
        <v>124</v>
      </c>
      <c r="MYM232" s="297" t="s">
        <v>124</v>
      </c>
      <c r="MYN232" s="297" t="s">
        <v>124</v>
      </c>
      <c r="MYO232" s="297" t="s">
        <v>124</v>
      </c>
      <c r="MYP232" s="297" t="s">
        <v>124</v>
      </c>
      <c r="MYQ232" s="297" t="s">
        <v>124</v>
      </c>
      <c r="MYR232" s="297" t="s">
        <v>124</v>
      </c>
      <c r="MYS232" s="297" t="s">
        <v>124</v>
      </c>
      <c r="MYT232" s="297" t="s">
        <v>124</v>
      </c>
      <c r="MYU232" s="297" t="s">
        <v>124</v>
      </c>
      <c r="MYV232" s="297" t="s">
        <v>124</v>
      </c>
      <c r="MYW232" s="297" t="s">
        <v>124</v>
      </c>
      <c r="MYX232" s="297" t="s">
        <v>124</v>
      </c>
      <c r="MYY232" s="297" t="s">
        <v>124</v>
      </c>
      <c r="MYZ232" s="297" t="s">
        <v>124</v>
      </c>
      <c r="MZA232" s="297" t="s">
        <v>124</v>
      </c>
      <c r="MZB232" s="297" t="s">
        <v>124</v>
      </c>
      <c r="MZC232" s="297" t="s">
        <v>124</v>
      </c>
      <c r="MZD232" s="297" t="s">
        <v>124</v>
      </c>
      <c r="MZE232" s="297" t="s">
        <v>124</v>
      </c>
      <c r="MZF232" s="297" t="s">
        <v>124</v>
      </c>
      <c r="MZG232" s="297" t="s">
        <v>124</v>
      </c>
      <c r="MZH232" s="297" t="s">
        <v>124</v>
      </c>
      <c r="MZI232" s="297" t="s">
        <v>124</v>
      </c>
      <c r="MZJ232" s="297" t="s">
        <v>124</v>
      </c>
      <c r="MZK232" s="297" t="s">
        <v>124</v>
      </c>
      <c r="MZL232" s="297" t="s">
        <v>124</v>
      </c>
      <c r="MZM232" s="297" t="s">
        <v>124</v>
      </c>
      <c r="MZN232" s="297" t="s">
        <v>124</v>
      </c>
      <c r="MZO232" s="297" t="s">
        <v>124</v>
      </c>
      <c r="MZP232" s="297" t="s">
        <v>124</v>
      </c>
      <c r="MZQ232" s="297" t="s">
        <v>124</v>
      </c>
      <c r="MZR232" s="297" t="s">
        <v>124</v>
      </c>
      <c r="MZS232" s="297" t="s">
        <v>124</v>
      </c>
      <c r="MZT232" s="297" t="s">
        <v>124</v>
      </c>
      <c r="MZU232" s="297" t="s">
        <v>124</v>
      </c>
      <c r="MZV232" s="297" t="s">
        <v>124</v>
      </c>
      <c r="MZW232" s="297" t="s">
        <v>124</v>
      </c>
      <c r="MZX232" s="297" t="s">
        <v>124</v>
      </c>
      <c r="MZY232" s="297" t="s">
        <v>124</v>
      </c>
      <c r="MZZ232" s="297" t="s">
        <v>124</v>
      </c>
      <c r="NAA232" s="297" t="s">
        <v>124</v>
      </c>
      <c r="NAB232" s="297" t="s">
        <v>124</v>
      </c>
      <c r="NAC232" s="297" t="s">
        <v>124</v>
      </c>
      <c r="NAD232" s="297" t="s">
        <v>124</v>
      </c>
      <c r="NAE232" s="297" t="s">
        <v>124</v>
      </c>
      <c r="NAF232" s="297" t="s">
        <v>124</v>
      </c>
      <c r="NAG232" s="297" t="s">
        <v>124</v>
      </c>
      <c r="NAH232" s="297" t="s">
        <v>124</v>
      </c>
      <c r="NAI232" s="297" t="s">
        <v>124</v>
      </c>
      <c r="NAJ232" s="297" t="s">
        <v>124</v>
      </c>
      <c r="NAK232" s="297" t="s">
        <v>124</v>
      </c>
      <c r="NAL232" s="297" t="s">
        <v>124</v>
      </c>
      <c r="NAM232" s="297" t="s">
        <v>124</v>
      </c>
      <c r="NAN232" s="297" t="s">
        <v>124</v>
      </c>
      <c r="NAO232" s="297" t="s">
        <v>124</v>
      </c>
      <c r="NAP232" s="297" t="s">
        <v>124</v>
      </c>
      <c r="NAQ232" s="297" t="s">
        <v>124</v>
      </c>
      <c r="NAR232" s="297" t="s">
        <v>124</v>
      </c>
      <c r="NAS232" s="297" t="s">
        <v>124</v>
      </c>
      <c r="NAT232" s="297" t="s">
        <v>124</v>
      </c>
      <c r="NAU232" s="297" t="s">
        <v>124</v>
      </c>
      <c r="NAV232" s="297" t="s">
        <v>124</v>
      </c>
      <c r="NAW232" s="297" t="s">
        <v>124</v>
      </c>
      <c r="NAX232" s="297" t="s">
        <v>124</v>
      </c>
      <c r="NAY232" s="297" t="s">
        <v>124</v>
      </c>
      <c r="NAZ232" s="297" t="s">
        <v>124</v>
      </c>
      <c r="NBA232" s="297" t="s">
        <v>124</v>
      </c>
      <c r="NBB232" s="297" t="s">
        <v>124</v>
      </c>
      <c r="NBC232" s="297" t="s">
        <v>124</v>
      </c>
      <c r="NBD232" s="297" t="s">
        <v>124</v>
      </c>
      <c r="NBE232" s="297" t="s">
        <v>124</v>
      </c>
      <c r="NBF232" s="297" t="s">
        <v>124</v>
      </c>
      <c r="NBG232" s="297" t="s">
        <v>124</v>
      </c>
      <c r="NBH232" s="297" t="s">
        <v>124</v>
      </c>
      <c r="NBI232" s="297" t="s">
        <v>124</v>
      </c>
      <c r="NBJ232" s="297" t="s">
        <v>124</v>
      </c>
      <c r="NBK232" s="297" t="s">
        <v>124</v>
      </c>
      <c r="NBL232" s="297" t="s">
        <v>124</v>
      </c>
      <c r="NBM232" s="297" t="s">
        <v>124</v>
      </c>
      <c r="NBN232" s="297" t="s">
        <v>124</v>
      </c>
      <c r="NBO232" s="297" t="s">
        <v>124</v>
      </c>
      <c r="NBP232" s="297" t="s">
        <v>124</v>
      </c>
      <c r="NBQ232" s="297" t="s">
        <v>124</v>
      </c>
      <c r="NBR232" s="297" t="s">
        <v>124</v>
      </c>
      <c r="NBS232" s="297" t="s">
        <v>124</v>
      </c>
      <c r="NBT232" s="297" t="s">
        <v>124</v>
      </c>
      <c r="NBU232" s="297" t="s">
        <v>124</v>
      </c>
      <c r="NBV232" s="297" t="s">
        <v>124</v>
      </c>
      <c r="NBW232" s="297" t="s">
        <v>124</v>
      </c>
      <c r="NBX232" s="297" t="s">
        <v>124</v>
      </c>
      <c r="NBY232" s="297" t="s">
        <v>124</v>
      </c>
      <c r="NBZ232" s="297" t="s">
        <v>124</v>
      </c>
      <c r="NCA232" s="297" t="s">
        <v>124</v>
      </c>
      <c r="NCB232" s="297" t="s">
        <v>124</v>
      </c>
      <c r="NCC232" s="297" t="s">
        <v>124</v>
      </c>
      <c r="NCD232" s="297" t="s">
        <v>124</v>
      </c>
      <c r="NCE232" s="297" t="s">
        <v>124</v>
      </c>
      <c r="NCF232" s="297" t="s">
        <v>124</v>
      </c>
      <c r="NCG232" s="297" t="s">
        <v>124</v>
      </c>
      <c r="NCH232" s="297" t="s">
        <v>124</v>
      </c>
      <c r="NCI232" s="297" t="s">
        <v>124</v>
      </c>
      <c r="NCJ232" s="297" t="s">
        <v>124</v>
      </c>
      <c r="NCK232" s="297" t="s">
        <v>124</v>
      </c>
      <c r="NCL232" s="297" t="s">
        <v>124</v>
      </c>
      <c r="NCM232" s="297" t="s">
        <v>124</v>
      </c>
      <c r="NCN232" s="297" t="s">
        <v>124</v>
      </c>
      <c r="NCO232" s="297" t="s">
        <v>124</v>
      </c>
      <c r="NCP232" s="297" t="s">
        <v>124</v>
      </c>
      <c r="NCQ232" s="297" t="s">
        <v>124</v>
      </c>
      <c r="NCR232" s="297" t="s">
        <v>124</v>
      </c>
      <c r="NCS232" s="297" t="s">
        <v>124</v>
      </c>
      <c r="NCT232" s="297" t="s">
        <v>124</v>
      </c>
      <c r="NCU232" s="297" t="s">
        <v>124</v>
      </c>
      <c r="NCV232" s="297" t="s">
        <v>124</v>
      </c>
      <c r="NCW232" s="297" t="s">
        <v>124</v>
      </c>
      <c r="NCX232" s="297" t="s">
        <v>124</v>
      </c>
      <c r="NCY232" s="297" t="s">
        <v>124</v>
      </c>
      <c r="NCZ232" s="297" t="s">
        <v>124</v>
      </c>
      <c r="NDA232" s="297" t="s">
        <v>124</v>
      </c>
      <c r="NDB232" s="297" t="s">
        <v>124</v>
      </c>
      <c r="NDC232" s="297" t="s">
        <v>124</v>
      </c>
      <c r="NDD232" s="297" t="s">
        <v>124</v>
      </c>
      <c r="NDE232" s="297" t="s">
        <v>124</v>
      </c>
      <c r="NDF232" s="297" t="s">
        <v>124</v>
      </c>
      <c r="NDG232" s="297" t="s">
        <v>124</v>
      </c>
      <c r="NDH232" s="297" t="s">
        <v>124</v>
      </c>
      <c r="NDI232" s="297" t="s">
        <v>124</v>
      </c>
      <c r="NDJ232" s="297" t="s">
        <v>124</v>
      </c>
      <c r="NDK232" s="297" t="s">
        <v>124</v>
      </c>
      <c r="NDL232" s="297" t="s">
        <v>124</v>
      </c>
      <c r="NDM232" s="297" t="s">
        <v>124</v>
      </c>
      <c r="NDN232" s="297" t="s">
        <v>124</v>
      </c>
      <c r="NDO232" s="297" t="s">
        <v>124</v>
      </c>
      <c r="NDP232" s="297" t="s">
        <v>124</v>
      </c>
      <c r="NDQ232" s="297" t="s">
        <v>124</v>
      </c>
      <c r="NDR232" s="297" t="s">
        <v>124</v>
      </c>
      <c r="NDS232" s="297" t="s">
        <v>124</v>
      </c>
      <c r="NDT232" s="297" t="s">
        <v>124</v>
      </c>
      <c r="NDU232" s="297" t="s">
        <v>124</v>
      </c>
      <c r="NDV232" s="297" t="s">
        <v>124</v>
      </c>
      <c r="NDW232" s="297" t="s">
        <v>124</v>
      </c>
      <c r="NDX232" s="297" t="s">
        <v>124</v>
      </c>
      <c r="NDY232" s="297" t="s">
        <v>124</v>
      </c>
      <c r="NDZ232" s="297" t="s">
        <v>124</v>
      </c>
      <c r="NEA232" s="297" t="s">
        <v>124</v>
      </c>
      <c r="NEB232" s="297" t="s">
        <v>124</v>
      </c>
      <c r="NEC232" s="297" t="s">
        <v>124</v>
      </c>
      <c r="NED232" s="297" t="s">
        <v>124</v>
      </c>
      <c r="NEE232" s="297" t="s">
        <v>124</v>
      </c>
      <c r="NEF232" s="297" t="s">
        <v>124</v>
      </c>
      <c r="NEG232" s="297" t="s">
        <v>124</v>
      </c>
      <c r="NEH232" s="297" t="s">
        <v>124</v>
      </c>
      <c r="NEI232" s="297" t="s">
        <v>124</v>
      </c>
      <c r="NEJ232" s="297" t="s">
        <v>124</v>
      </c>
      <c r="NEK232" s="297" t="s">
        <v>124</v>
      </c>
      <c r="NEL232" s="297" t="s">
        <v>124</v>
      </c>
      <c r="NEM232" s="297" t="s">
        <v>124</v>
      </c>
      <c r="NEN232" s="297" t="s">
        <v>124</v>
      </c>
      <c r="NEO232" s="297" t="s">
        <v>124</v>
      </c>
      <c r="NEP232" s="297" t="s">
        <v>124</v>
      </c>
      <c r="NEQ232" s="297" t="s">
        <v>124</v>
      </c>
      <c r="NER232" s="297" t="s">
        <v>124</v>
      </c>
      <c r="NES232" s="297" t="s">
        <v>124</v>
      </c>
      <c r="NET232" s="297" t="s">
        <v>124</v>
      </c>
      <c r="NEU232" s="297" t="s">
        <v>124</v>
      </c>
      <c r="NEV232" s="297" t="s">
        <v>124</v>
      </c>
      <c r="NEW232" s="297" t="s">
        <v>124</v>
      </c>
      <c r="NEX232" s="297" t="s">
        <v>124</v>
      </c>
      <c r="NEY232" s="297" t="s">
        <v>124</v>
      </c>
      <c r="NEZ232" s="297" t="s">
        <v>124</v>
      </c>
      <c r="NFA232" s="297" t="s">
        <v>124</v>
      </c>
      <c r="NFB232" s="297" t="s">
        <v>124</v>
      </c>
      <c r="NFC232" s="297" t="s">
        <v>124</v>
      </c>
      <c r="NFD232" s="297" t="s">
        <v>124</v>
      </c>
      <c r="NFE232" s="297" t="s">
        <v>124</v>
      </c>
      <c r="NFF232" s="297" t="s">
        <v>124</v>
      </c>
      <c r="NFG232" s="297" t="s">
        <v>124</v>
      </c>
      <c r="NFH232" s="297" t="s">
        <v>124</v>
      </c>
      <c r="NFI232" s="297" t="s">
        <v>124</v>
      </c>
      <c r="NFJ232" s="297" t="s">
        <v>124</v>
      </c>
      <c r="NFK232" s="297" t="s">
        <v>124</v>
      </c>
      <c r="NFL232" s="297" t="s">
        <v>124</v>
      </c>
      <c r="NFM232" s="297" t="s">
        <v>124</v>
      </c>
      <c r="NFN232" s="297" t="s">
        <v>124</v>
      </c>
      <c r="NFO232" s="297" t="s">
        <v>124</v>
      </c>
      <c r="NFP232" s="297" t="s">
        <v>124</v>
      </c>
      <c r="NFQ232" s="297" t="s">
        <v>124</v>
      </c>
      <c r="NFR232" s="297" t="s">
        <v>124</v>
      </c>
      <c r="NFS232" s="297" t="s">
        <v>124</v>
      </c>
      <c r="NFT232" s="297" t="s">
        <v>124</v>
      </c>
      <c r="NFU232" s="297" t="s">
        <v>124</v>
      </c>
      <c r="NFV232" s="297" t="s">
        <v>124</v>
      </c>
      <c r="NFW232" s="297" t="s">
        <v>124</v>
      </c>
      <c r="NFX232" s="297" t="s">
        <v>124</v>
      </c>
      <c r="NFY232" s="297" t="s">
        <v>124</v>
      </c>
      <c r="NFZ232" s="297" t="s">
        <v>124</v>
      </c>
      <c r="NGA232" s="297" t="s">
        <v>124</v>
      </c>
      <c r="NGB232" s="297" t="s">
        <v>124</v>
      </c>
      <c r="NGC232" s="297" t="s">
        <v>124</v>
      </c>
      <c r="NGD232" s="297" t="s">
        <v>124</v>
      </c>
      <c r="NGE232" s="297" t="s">
        <v>124</v>
      </c>
      <c r="NGF232" s="297" t="s">
        <v>124</v>
      </c>
      <c r="NGG232" s="297" t="s">
        <v>124</v>
      </c>
      <c r="NGH232" s="297" t="s">
        <v>124</v>
      </c>
      <c r="NGI232" s="297" t="s">
        <v>124</v>
      </c>
      <c r="NGJ232" s="297" t="s">
        <v>124</v>
      </c>
      <c r="NGK232" s="297" t="s">
        <v>124</v>
      </c>
      <c r="NGL232" s="297" t="s">
        <v>124</v>
      </c>
      <c r="NGM232" s="297" t="s">
        <v>124</v>
      </c>
      <c r="NGN232" s="297" t="s">
        <v>124</v>
      </c>
      <c r="NGO232" s="297" t="s">
        <v>124</v>
      </c>
      <c r="NGP232" s="297" t="s">
        <v>124</v>
      </c>
      <c r="NGQ232" s="297" t="s">
        <v>124</v>
      </c>
      <c r="NGR232" s="297" t="s">
        <v>124</v>
      </c>
      <c r="NGS232" s="297" t="s">
        <v>124</v>
      </c>
      <c r="NGT232" s="297" t="s">
        <v>124</v>
      </c>
      <c r="NGU232" s="297" t="s">
        <v>124</v>
      </c>
      <c r="NGV232" s="297" t="s">
        <v>124</v>
      </c>
      <c r="NGW232" s="297" t="s">
        <v>124</v>
      </c>
      <c r="NGX232" s="297" t="s">
        <v>124</v>
      </c>
      <c r="NGY232" s="297" t="s">
        <v>124</v>
      </c>
      <c r="NGZ232" s="297" t="s">
        <v>124</v>
      </c>
      <c r="NHA232" s="297" t="s">
        <v>124</v>
      </c>
      <c r="NHB232" s="297" t="s">
        <v>124</v>
      </c>
      <c r="NHC232" s="297" t="s">
        <v>124</v>
      </c>
      <c r="NHD232" s="297" t="s">
        <v>124</v>
      </c>
      <c r="NHE232" s="297" t="s">
        <v>124</v>
      </c>
      <c r="NHF232" s="297" t="s">
        <v>124</v>
      </c>
      <c r="NHG232" s="297" t="s">
        <v>124</v>
      </c>
      <c r="NHH232" s="297" t="s">
        <v>124</v>
      </c>
      <c r="NHI232" s="297" t="s">
        <v>124</v>
      </c>
      <c r="NHJ232" s="297" t="s">
        <v>124</v>
      </c>
      <c r="NHK232" s="297" t="s">
        <v>124</v>
      </c>
      <c r="NHL232" s="297" t="s">
        <v>124</v>
      </c>
      <c r="NHM232" s="297" t="s">
        <v>124</v>
      </c>
      <c r="NHN232" s="297" t="s">
        <v>124</v>
      </c>
      <c r="NHO232" s="297" t="s">
        <v>124</v>
      </c>
      <c r="NHP232" s="297" t="s">
        <v>124</v>
      </c>
      <c r="NHQ232" s="297" t="s">
        <v>124</v>
      </c>
      <c r="NHR232" s="297" t="s">
        <v>124</v>
      </c>
      <c r="NHS232" s="297" t="s">
        <v>124</v>
      </c>
      <c r="NHT232" s="297" t="s">
        <v>124</v>
      </c>
      <c r="NHU232" s="297" t="s">
        <v>124</v>
      </c>
      <c r="NHV232" s="297" t="s">
        <v>124</v>
      </c>
      <c r="NHW232" s="297" t="s">
        <v>124</v>
      </c>
      <c r="NHX232" s="297" t="s">
        <v>124</v>
      </c>
      <c r="NHY232" s="297" t="s">
        <v>124</v>
      </c>
      <c r="NHZ232" s="297" t="s">
        <v>124</v>
      </c>
      <c r="NIA232" s="297" t="s">
        <v>124</v>
      </c>
      <c r="NIB232" s="297" t="s">
        <v>124</v>
      </c>
      <c r="NIC232" s="297" t="s">
        <v>124</v>
      </c>
      <c r="NID232" s="297" t="s">
        <v>124</v>
      </c>
      <c r="NIE232" s="297" t="s">
        <v>124</v>
      </c>
      <c r="NIF232" s="297" t="s">
        <v>124</v>
      </c>
      <c r="NIG232" s="297" t="s">
        <v>124</v>
      </c>
      <c r="NIH232" s="297" t="s">
        <v>124</v>
      </c>
      <c r="NII232" s="297" t="s">
        <v>124</v>
      </c>
      <c r="NIJ232" s="297" t="s">
        <v>124</v>
      </c>
      <c r="NIK232" s="297" t="s">
        <v>124</v>
      </c>
      <c r="NIL232" s="297" t="s">
        <v>124</v>
      </c>
      <c r="NIM232" s="297" t="s">
        <v>124</v>
      </c>
      <c r="NIN232" s="297" t="s">
        <v>124</v>
      </c>
      <c r="NIO232" s="297" t="s">
        <v>124</v>
      </c>
      <c r="NIP232" s="297" t="s">
        <v>124</v>
      </c>
      <c r="NIQ232" s="297" t="s">
        <v>124</v>
      </c>
      <c r="NIR232" s="297" t="s">
        <v>124</v>
      </c>
      <c r="NIS232" s="297" t="s">
        <v>124</v>
      </c>
      <c r="NIT232" s="297" t="s">
        <v>124</v>
      </c>
      <c r="NIU232" s="297" t="s">
        <v>124</v>
      </c>
      <c r="NIV232" s="297" t="s">
        <v>124</v>
      </c>
      <c r="NIW232" s="297" t="s">
        <v>124</v>
      </c>
      <c r="NIX232" s="297" t="s">
        <v>124</v>
      </c>
      <c r="NIY232" s="297" t="s">
        <v>124</v>
      </c>
      <c r="NIZ232" s="297" t="s">
        <v>124</v>
      </c>
      <c r="NJA232" s="297" t="s">
        <v>124</v>
      </c>
      <c r="NJB232" s="297" t="s">
        <v>124</v>
      </c>
      <c r="NJC232" s="297" t="s">
        <v>124</v>
      </c>
      <c r="NJD232" s="297" t="s">
        <v>124</v>
      </c>
      <c r="NJE232" s="297" t="s">
        <v>124</v>
      </c>
      <c r="NJF232" s="297" t="s">
        <v>124</v>
      </c>
      <c r="NJG232" s="297" t="s">
        <v>124</v>
      </c>
      <c r="NJH232" s="297" t="s">
        <v>124</v>
      </c>
      <c r="NJI232" s="297" t="s">
        <v>124</v>
      </c>
      <c r="NJJ232" s="297" t="s">
        <v>124</v>
      </c>
      <c r="NJK232" s="297" t="s">
        <v>124</v>
      </c>
      <c r="NJL232" s="297" t="s">
        <v>124</v>
      </c>
      <c r="NJM232" s="297" t="s">
        <v>124</v>
      </c>
      <c r="NJN232" s="297" t="s">
        <v>124</v>
      </c>
      <c r="NJO232" s="297" t="s">
        <v>124</v>
      </c>
      <c r="NJP232" s="297" t="s">
        <v>124</v>
      </c>
      <c r="NJQ232" s="297" t="s">
        <v>124</v>
      </c>
      <c r="NJR232" s="297" t="s">
        <v>124</v>
      </c>
      <c r="NJS232" s="297" t="s">
        <v>124</v>
      </c>
      <c r="NJT232" s="297" t="s">
        <v>124</v>
      </c>
      <c r="NJU232" s="297" t="s">
        <v>124</v>
      </c>
      <c r="NJV232" s="297" t="s">
        <v>124</v>
      </c>
      <c r="NJW232" s="297" t="s">
        <v>124</v>
      </c>
      <c r="NJX232" s="297" t="s">
        <v>124</v>
      </c>
      <c r="NJY232" s="297" t="s">
        <v>124</v>
      </c>
      <c r="NJZ232" s="297" t="s">
        <v>124</v>
      </c>
      <c r="NKA232" s="297" t="s">
        <v>124</v>
      </c>
      <c r="NKB232" s="297" t="s">
        <v>124</v>
      </c>
      <c r="NKC232" s="297" t="s">
        <v>124</v>
      </c>
      <c r="NKD232" s="297" t="s">
        <v>124</v>
      </c>
      <c r="NKE232" s="297" t="s">
        <v>124</v>
      </c>
      <c r="NKF232" s="297" t="s">
        <v>124</v>
      </c>
      <c r="NKG232" s="297" t="s">
        <v>124</v>
      </c>
      <c r="NKH232" s="297" t="s">
        <v>124</v>
      </c>
      <c r="NKI232" s="297" t="s">
        <v>124</v>
      </c>
      <c r="NKJ232" s="297" t="s">
        <v>124</v>
      </c>
      <c r="NKK232" s="297" t="s">
        <v>124</v>
      </c>
      <c r="NKL232" s="297" t="s">
        <v>124</v>
      </c>
      <c r="NKM232" s="297" t="s">
        <v>124</v>
      </c>
      <c r="NKN232" s="297" t="s">
        <v>124</v>
      </c>
      <c r="NKO232" s="297" t="s">
        <v>124</v>
      </c>
      <c r="NKP232" s="297" t="s">
        <v>124</v>
      </c>
      <c r="NKQ232" s="297" t="s">
        <v>124</v>
      </c>
      <c r="NKR232" s="297" t="s">
        <v>124</v>
      </c>
      <c r="NKS232" s="297" t="s">
        <v>124</v>
      </c>
      <c r="NKT232" s="297" t="s">
        <v>124</v>
      </c>
      <c r="NKU232" s="297" t="s">
        <v>124</v>
      </c>
      <c r="NKV232" s="297" t="s">
        <v>124</v>
      </c>
      <c r="NKW232" s="297" t="s">
        <v>124</v>
      </c>
      <c r="NKX232" s="297" t="s">
        <v>124</v>
      </c>
      <c r="NKY232" s="297" t="s">
        <v>124</v>
      </c>
      <c r="NKZ232" s="297" t="s">
        <v>124</v>
      </c>
      <c r="NLA232" s="297" t="s">
        <v>124</v>
      </c>
      <c r="NLB232" s="297" t="s">
        <v>124</v>
      </c>
      <c r="NLC232" s="297" t="s">
        <v>124</v>
      </c>
      <c r="NLD232" s="297" t="s">
        <v>124</v>
      </c>
      <c r="NLE232" s="297" t="s">
        <v>124</v>
      </c>
      <c r="NLF232" s="297" t="s">
        <v>124</v>
      </c>
      <c r="NLG232" s="297" t="s">
        <v>124</v>
      </c>
      <c r="NLH232" s="297" t="s">
        <v>124</v>
      </c>
      <c r="NLI232" s="297" t="s">
        <v>124</v>
      </c>
      <c r="NLJ232" s="297" t="s">
        <v>124</v>
      </c>
      <c r="NLK232" s="297" t="s">
        <v>124</v>
      </c>
      <c r="NLL232" s="297" t="s">
        <v>124</v>
      </c>
      <c r="NLM232" s="297" t="s">
        <v>124</v>
      </c>
      <c r="NLN232" s="297" t="s">
        <v>124</v>
      </c>
      <c r="NLO232" s="297" t="s">
        <v>124</v>
      </c>
      <c r="NLP232" s="297" t="s">
        <v>124</v>
      </c>
      <c r="NLQ232" s="297" t="s">
        <v>124</v>
      </c>
      <c r="NLR232" s="297" t="s">
        <v>124</v>
      </c>
      <c r="NLS232" s="297" t="s">
        <v>124</v>
      </c>
      <c r="NLT232" s="297" t="s">
        <v>124</v>
      </c>
      <c r="NLU232" s="297" t="s">
        <v>124</v>
      </c>
      <c r="NLV232" s="297" t="s">
        <v>124</v>
      </c>
      <c r="NLW232" s="297" t="s">
        <v>124</v>
      </c>
      <c r="NLX232" s="297" t="s">
        <v>124</v>
      </c>
      <c r="NLY232" s="297" t="s">
        <v>124</v>
      </c>
      <c r="NLZ232" s="297" t="s">
        <v>124</v>
      </c>
      <c r="NMA232" s="297" t="s">
        <v>124</v>
      </c>
      <c r="NMB232" s="297" t="s">
        <v>124</v>
      </c>
      <c r="NMC232" s="297" t="s">
        <v>124</v>
      </c>
      <c r="NMD232" s="297" t="s">
        <v>124</v>
      </c>
      <c r="NME232" s="297" t="s">
        <v>124</v>
      </c>
      <c r="NMF232" s="297" t="s">
        <v>124</v>
      </c>
      <c r="NMG232" s="297" t="s">
        <v>124</v>
      </c>
      <c r="NMH232" s="297" t="s">
        <v>124</v>
      </c>
      <c r="NMI232" s="297" t="s">
        <v>124</v>
      </c>
      <c r="NMJ232" s="297" t="s">
        <v>124</v>
      </c>
      <c r="NMK232" s="297" t="s">
        <v>124</v>
      </c>
      <c r="NML232" s="297" t="s">
        <v>124</v>
      </c>
      <c r="NMM232" s="297" t="s">
        <v>124</v>
      </c>
      <c r="NMN232" s="297" t="s">
        <v>124</v>
      </c>
      <c r="NMO232" s="297" t="s">
        <v>124</v>
      </c>
      <c r="NMP232" s="297" t="s">
        <v>124</v>
      </c>
      <c r="NMQ232" s="297" t="s">
        <v>124</v>
      </c>
      <c r="NMR232" s="297" t="s">
        <v>124</v>
      </c>
      <c r="NMS232" s="297" t="s">
        <v>124</v>
      </c>
      <c r="NMT232" s="297" t="s">
        <v>124</v>
      </c>
      <c r="NMU232" s="297" t="s">
        <v>124</v>
      </c>
      <c r="NMV232" s="297" t="s">
        <v>124</v>
      </c>
      <c r="NMW232" s="297" t="s">
        <v>124</v>
      </c>
      <c r="NMX232" s="297" t="s">
        <v>124</v>
      </c>
      <c r="NMY232" s="297" t="s">
        <v>124</v>
      </c>
      <c r="NMZ232" s="297" t="s">
        <v>124</v>
      </c>
      <c r="NNA232" s="297" t="s">
        <v>124</v>
      </c>
      <c r="NNB232" s="297" t="s">
        <v>124</v>
      </c>
      <c r="NNC232" s="297" t="s">
        <v>124</v>
      </c>
      <c r="NND232" s="297" t="s">
        <v>124</v>
      </c>
      <c r="NNE232" s="297" t="s">
        <v>124</v>
      </c>
      <c r="NNF232" s="297" t="s">
        <v>124</v>
      </c>
      <c r="NNG232" s="297" t="s">
        <v>124</v>
      </c>
      <c r="NNH232" s="297" t="s">
        <v>124</v>
      </c>
      <c r="NNI232" s="297" t="s">
        <v>124</v>
      </c>
      <c r="NNJ232" s="297" t="s">
        <v>124</v>
      </c>
      <c r="NNK232" s="297" t="s">
        <v>124</v>
      </c>
      <c r="NNL232" s="297" t="s">
        <v>124</v>
      </c>
      <c r="NNM232" s="297" t="s">
        <v>124</v>
      </c>
      <c r="NNN232" s="297" t="s">
        <v>124</v>
      </c>
      <c r="NNO232" s="297" t="s">
        <v>124</v>
      </c>
      <c r="NNP232" s="297" t="s">
        <v>124</v>
      </c>
      <c r="NNQ232" s="297" t="s">
        <v>124</v>
      </c>
      <c r="NNR232" s="297" t="s">
        <v>124</v>
      </c>
      <c r="NNS232" s="297" t="s">
        <v>124</v>
      </c>
      <c r="NNT232" s="297" t="s">
        <v>124</v>
      </c>
      <c r="NNU232" s="297" t="s">
        <v>124</v>
      </c>
      <c r="NNV232" s="297" t="s">
        <v>124</v>
      </c>
      <c r="NNW232" s="297" t="s">
        <v>124</v>
      </c>
      <c r="NNX232" s="297" t="s">
        <v>124</v>
      </c>
      <c r="NNY232" s="297" t="s">
        <v>124</v>
      </c>
      <c r="NNZ232" s="297" t="s">
        <v>124</v>
      </c>
      <c r="NOA232" s="297" t="s">
        <v>124</v>
      </c>
      <c r="NOB232" s="297" t="s">
        <v>124</v>
      </c>
      <c r="NOC232" s="297" t="s">
        <v>124</v>
      </c>
      <c r="NOD232" s="297" t="s">
        <v>124</v>
      </c>
      <c r="NOE232" s="297" t="s">
        <v>124</v>
      </c>
      <c r="NOF232" s="297" t="s">
        <v>124</v>
      </c>
      <c r="NOG232" s="297" t="s">
        <v>124</v>
      </c>
      <c r="NOH232" s="297" t="s">
        <v>124</v>
      </c>
      <c r="NOI232" s="297" t="s">
        <v>124</v>
      </c>
      <c r="NOJ232" s="297" t="s">
        <v>124</v>
      </c>
      <c r="NOK232" s="297" t="s">
        <v>124</v>
      </c>
      <c r="NOL232" s="297" t="s">
        <v>124</v>
      </c>
      <c r="NOM232" s="297" t="s">
        <v>124</v>
      </c>
      <c r="NON232" s="297" t="s">
        <v>124</v>
      </c>
      <c r="NOO232" s="297" t="s">
        <v>124</v>
      </c>
      <c r="NOP232" s="297" t="s">
        <v>124</v>
      </c>
      <c r="NOQ232" s="297" t="s">
        <v>124</v>
      </c>
      <c r="NOR232" s="297" t="s">
        <v>124</v>
      </c>
      <c r="NOS232" s="297" t="s">
        <v>124</v>
      </c>
      <c r="NOT232" s="297" t="s">
        <v>124</v>
      </c>
      <c r="NOU232" s="297" t="s">
        <v>124</v>
      </c>
      <c r="NOV232" s="297" t="s">
        <v>124</v>
      </c>
      <c r="NOW232" s="297" t="s">
        <v>124</v>
      </c>
      <c r="NOX232" s="297" t="s">
        <v>124</v>
      </c>
      <c r="NOY232" s="297" t="s">
        <v>124</v>
      </c>
      <c r="NOZ232" s="297" t="s">
        <v>124</v>
      </c>
      <c r="NPA232" s="297" t="s">
        <v>124</v>
      </c>
      <c r="NPB232" s="297" t="s">
        <v>124</v>
      </c>
      <c r="NPC232" s="297" t="s">
        <v>124</v>
      </c>
      <c r="NPD232" s="297" t="s">
        <v>124</v>
      </c>
      <c r="NPE232" s="297" t="s">
        <v>124</v>
      </c>
      <c r="NPF232" s="297" t="s">
        <v>124</v>
      </c>
      <c r="NPG232" s="297" t="s">
        <v>124</v>
      </c>
      <c r="NPH232" s="297" t="s">
        <v>124</v>
      </c>
      <c r="NPI232" s="297" t="s">
        <v>124</v>
      </c>
      <c r="NPJ232" s="297" t="s">
        <v>124</v>
      </c>
      <c r="NPK232" s="297" t="s">
        <v>124</v>
      </c>
      <c r="NPL232" s="297" t="s">
        <v>124</v>
      </c>
      <c r="NPM232" s="297" t="s">
        <v>124</v>
      </c>
      <c r="NPN232" s="297" t="s">
        <v>124</v>
      </c>
      <c r="NPO232" s="297" t="s">
        <v>124</v>
      </c>
      <c r="NPP232" s="297" t="s">
        <v>124</v>
      </c>
      <c r="NPQ232" s="297" t="s">
        <v>124</v>
      </c>
      <c r="NPR232" s="297" t="s">
        <v>124</v>
      </c>
      <c r="NPS232" s="297" t="s">
        <v>124</v>
      </c>
      <c r="NPT232" s="297" t="s">
        <v>124</v>
      </c>
      <c r="NPU232" s="297" t="s">
        <v>124</v>
      </c>
      <c r="NPV232" s="297" t="s">
        <v>124</v>
      </c>
      <c r="NPW232" s="297" t="s">
        <v>124</v>
      </c>
      <c r="NPX232" s="297" t="s">
        <v>124</v>
      </c>
      <c r="NPY232" s="297" t="s">
        <v>124</v>
      </c>
      <c r="NPZ232" s="297" t="s">
        <v>124</v>
      </c>
      <c r="NQA232" s="297" t="s">
        <v>124</v>
      </c>
      <c r="NQB232" s="297" t="s">
        <v>124</v>
      </c>
      <c r="NQC232" s="297" t="s">
        <v>124</v>
      </c>
      <c r="NQD232" s="297" t="s">
        <v>124</v>
      </c>
      <c r="NQE232" s="297" t="s">
        <v>124</v>
      </c>
      <c r="NQF232" s="297" t="s">
        <v>124</v>
      </c>
      <c r="NQG232" s="297" t="s">
        <v>124</v>
      </c>
      <c r="NQH232" s="297" t="s">
        <v>124</v>
      </c>
      <c r="NQI232" s="297" t="s">
        <v>124</v>
      </c>
      <c r="NQJ232" s="297" t="s">
        <v>124</v>
      </c>
      <c r="NQK232" s="297" t="s">
        <v>124</v>
      </c>
      <c r="NQL232" s="297" t="s">
        <v>124</v>
      </c>
      <c r="NQM232" s="297" t="s">
        <v>124</v>
      </c>
      <c r="NQN232" s="297" t="s">
        <v>124</v>
      </c>
      <c r="NQO232" s="297" t="s">
        <v>124</v>
      </c>
      <c r="NQP232" s="297" t="s">
        <v>124</v>
      </c>
      <c r="NQQ232" s="297" t="s">
        <v>124</v>
      </c>
      <c r="NQR232" s="297" t="s">
        <v>124</v>
      </c>
      <c r="NQS232" s="297" t="s">
        <v>124</v>
      </c>
      <c r="NQT232" s="297" t="s">
        <v>124</v>
      </c>
      <c r="NQU232" s="297" t="s">
        <v>124</v>
      </c>
      <c r="NQV232" s="297" t="s">
        <v>124</v>
      </c>
      <c r="NQW232" s="297" t="s">
        <v>124</v>
      </c>
      <c r="NQX232" s="297" t="s">
        <v>124</v>
      </c>
      <c r="NQY232" s="297" t="s">
        <v>124</v>
      </c>
      <c r="NQZ232" s="297" t="s">
        <v>124</v>
      </c>
      <c r="NRA232" s="297" t="s">
        <v>124</v>
      </c>
      <c r="NRB232" s="297" t="s">
        <v>124</v>
      </c>
      <c r="NRC232" s="297" t="s">
        <v>124</v>
      </c>
      <c r="NRD232" s="297" t="s">
        <v>124</v>
      </c>
      <c r="NRE232" s="297" t="s">
        <v>124</v>
      </c>
      <c r="NRF232" s="297" t="s">
        <v>124</v>
      </c>
      <c r="NRG232" s="297" t="s">
        <v>124</v>
      </c>
      <c r="NRH232" s="297" t="s">
        <v>124</v>
      </c>
      <c r="NRI232" s="297" t="s">
        <v>124</v>
      </c>
      <c r="NRJ232" s="297" t="s">
        <v>124</v>
      </c>
      <c r="NRK232" s="297" t="s">
        <v>124</v>
      </c>
      <c r="NRL232" s="297" t="s">
        <v>124</v>
      </c>
      <c r="NRM232" s="297" t="s">
        <v>124</v>
      </c>
      <c r="NRN232" s="297" t="s">
        <v>124</v>
      </c>
      <c r="NRO232" s="297" t="s">
        <v>124</v>
      </c>
      <c r="NRP232" s="297" t="s">
        <v>124</v>
      </c>
      <c r="NRQ232" s="297" t="s">
        <v>124</v>
      </c>
      <c r="NRR232" s="297" t="s">
        <v>124</v>
      </c>
      <c r="NRS232" s="297" t="s">
        <v>124</v>
      </c>
      <c r="NRT232" s="297" t="s">
        <v>124</v>
      </c>
      <c r="NRU232" s="297" t="s">
        <v>124</v>
      </c>
      <c r="NRV232" s="297" t="s">
        <v>124</v>
      </c>
      <c r="NRW232" s="297" t="s">
        <v>124</v>
      </c>
      <c r="NRX232" s="297" t="s">
        <v>124</v>
      </c>
      <c r="NRY232" s="297" t="s">
        <v>124</v>
      </c>
      <c r="NRZ232" s="297" t="s">
        <v>124</v>
      </c>
      <c r="NSA232" s="297" t="s">
        <v>124</v>
      </c>
      <c r="NSB232" s="297" t="s">
        <v>124</v>
      </c>
      <c r="NSC232" s="297" t="s">
        <v>124</v>
      </c>
      <c r="NSD232" s="297" t="s">
        <v>124</v>
      </c>
      <c r="NSE232" s="297" t="s">
        <v>124</v>
      </c>
      <c r="NSF232" s="297" t="s">
        <v>124</v>
      </c>
      <c r="NSG232" s="297" t="s">
        <v>124</v>
      </c>
      <c r="NSH232" s="297" t="s">
        <v>124</v>
      </c>
      <c r="NSI232" s="297" t="s">
        <v>124</v>
      </c>
      <c r="NSJ232" s="297" t="s">
        <v>124</v>
      </c>
      <c r="NSK232" s="297" t="s">
        <v>124</v>
      </c>
      <c r="NSL232" s="297" t="s">
        <v>124</v>
      </c>
      <c r="NSM232" s="297" t="s">
        <v>124</v>
      </c>
      <c r="NSN232" s="297" t="s">
        <v>124</v>
      </c>
      <c r="NSO232" s="297" t="s">
        <v>124</v>
      </c>
      <c r="NSP232" s="297" t="s">
        <v>124</v>
      </c>
      <c r="NSQ232" s="297" t="s">
        <v>124</v>
      </c>
      <c r="NSR232" s="297" t="s">
        <v>124</v>
      </c>
      <c r="NSS232" s="297" t="s">
        <v>124</v>
      </c>
      <c r="NST232" s="297" t="s">
        <v>124</v>
      </c>
      <c r="NSU232" s="297" t="s">
        <v>124</v>
      </c>
      <c r="NSV232" s="297" t="s">
        <v>124</v>
      </c>
      <c r="NSW232" s="297" t="s">
        <v>124</v>
      </c>
      <c r="NSX232" s="297" t="s">
        <v>124</v>
      </c>
      <c r="NSY232" s="297" t="s">
        <v>124</v>
      </c>
      <c r="NSZ232" s="297" t="s">
        <v>124</v>
      </c>
      <c r="NTA232" s="297" t="s">
        <v>124</v>
      </c>
      <c r="NTB232" s="297" t="s">
        <v>124</v>
      </c>
      <c r="NTC232" s="297" t="s">
        <v>124</v>
      </c>
      <c r="NTD232" s="297" t="s">
        <v>124</v>
      </c>
      <c r="NTE232" s="297" t="s">
        <v>124</v>
      </c>
      <c r="NTF232" s="297" t="s">
        <v>124</v>
      </c>
      <c r="NTG232" s="297" t="s">
        <v>124</v>
      </c>
      <c r="NTH232" s="297" t="s">
        <v>124</v>
      </c>
      <c r="NTI232" s="297" t="s">
        <v>124</v>
      </c>
      <c r="NTJ232" s="297" t="s">
        <v>124</v>
      </c>
      <c r="NTK232" s="297" t="s">
        <v>124</v>
      </c>
      <c r="NTL232" s="297" t="s">
        <v>124</v>
      </c>
      <c r="NTM232" s="297" t="s">
        <v>124</v>
      </c>
      <c r="NTN232" s="297" t="s">
        <v>124</v>
      </c>
      <c r="NTO232" s="297" t="s">
        <v>124</v>
      </c>
      <c r="NTP232" s="297" t="s">
        <v>124</v>
      </c>
      <c r="NTQ232" s="297" t="s">
        <v>124</v>
      </c>
      <c r="NTR232" s="297" t="s">
        <v>124</v>
      </c>
      <c r="NTS232" s="297" t="s">
        <v>124</v>
      </c>
      <c r="NTT232" s="297" t="s">
        <v>124</v>
      </c>
      <c r="NTU232" s="297" t="s">
        <v>124</v>
      </c>
      <c r="NTV232" s="297" t="s">
        <v>124</v>
      </c>
      <c r="NTW232" s="297" t="s">
        <v>124</v>
      </c>
      <c r="NTX232" s="297" t="s">
        <v>124</v>
      </c>
      <c r="NTY232" s="297" t="s">
        <v>124</v>
      </c>
      <c r="NTZ232" s="297" t="s">
        <v>124</v>
      </c>
      <c r="NUA232" s="297" t="s">
        <v>124</v>
      </c>
      <c r="NUB232" s="297" t="s">
        <v>124</v>
      </c>
      <c r="NUC232" s="297" t="s">
        <v>124</v>
      </c>
      <c r="NUD232" s="297" t="s">
        <v>124</v>
      </c>
      <c r="NUE232" s="297" t="s">
        <v>124</v>
      </c>
      <c r="NUF232" s="297" t="s">
        <v>124</v>
      </c>
      <c r="NUG232" s="297" t="s">
        <v>124</v>
      </c>
      <c r="NUH232" s="297" t="s">
        <v>124</v>
      </c>
      <c r="NUI232" s="297" t="s">
        <v>124</v>
      </c>
      <c r="NUJ232" s="297" t="s">
        <v>124</v>
      </c>
      <c r="NUK232" s="297" t="s">
        <v>124</v>
      </c>
      <c r="NUL232" s="297" t="s">
        <v>124</v>
      </c>
      <c r="NUM232" s="297" t="s">
        <v>124</v>
      </c>
      <c r="NUN232" s="297" t="s">
        <v>124</v>
      </c>
      <c r="NUO232" s="297" t="s">
        <v>124</v>
      </c>
      <c r="NUP232" s="297" t="s">
        <v>124</v>
      </c>
      <c r="NUQ232" s="297" t="s">
        <v>124</v>
      </c>
      <c r="NUR232" s="297" t="s">
        <v>124</v>
      </c>
      <c r="NUS232" s="297" t="s">
        <v>124</v>
      </c>
      <c r="NUT232" s="297" t="s">
        <v>124</v>
      </c>
      <c r="NUU232" s="297" t="s">
        <v>124</v>
      </c>
      <c r="NUV232" s="297" t="s">
        <v>124</v>
      </c>
      <c r="NUW232" s="297" t="s">
        <v>124</v>
      </c>
      <c r="NUX232" s="297" t="s">
        <v>124</v>
      </c>
      <c r="NUY232" s="297" t="s">
        <v>124</v>
      </c>
      <c r="NUZ232" s="297" t="s">
        <v>124</v>
      </c>
      <c r="NVA232" s="297" t="s">
        <v>124</v>
      </c>
      <c r="NVB232" s="297" t="s">
        <v>124</v>
      </c>
      <c r="NVC232" s="297" t="s">
        <v>124</v>
      </c>
      <c r="NVD232" s="297" t="s">
        <v>124</v>
      </c>
      <c r="NVE232" s="297" t="s">
        <v>124</v>
      </c>
      <c r="NVF232" s="297" t="s">
        <v>124</v>
      </c>
      <c r="NVG232" s="297" t="s">
        <v>124</v>
      </c>
      <c r="NVH232" s="297" t="s">
        <v>124</v>
      </c>
      <c r="NVI232" s="297" t="s">
        <v>124</v>
      </c>
      <c r="NVJ232" s="297" t="s">
        <v>124</v>
      </c>
      <c r="NVK232" s="297" t="s">
        <v>124</v>
      </c>
      <c r="NVL232" s="297" t="s">
        <v>124</v>
      </c>
      <c r="NVM232" s="297" t="s">
        <v>124</v>
      </c>
      <c r="NVN232" s="297" t="s">
        <v>124</v>
      </c>
      <c r="NVO232" s="297" t="s">
        <v>124</v>
      </c>
      <c r="NVP232" s="297" t="s">
        <v>124</v>
      </c>
      <c r="NVQ232" s="297" t="s">
        <v>124</v>
      </c>
      <c r="NVR232" s="297" t="s">
        <v>124</v>
      </c>
      <c r="NVS232" s="297" t="s">
        <v>124</v>
      </c>
      <c r="NVT232" s="297" t="s">
        <v>124</v>
      </c>
      <c r="NVU232" s="297" t="s">
        <v>124</v>
      </c>
      <c r="NVV232" s="297" t="s">
        <v>124</v>
      </c>
      <c r="NVW232" s="297" t="s">
        <v>124</v>
      </c>
      <c r="NVX232" s="297" t="s">
        <v>124</v>
      </c>
      <c r="NVY232" s="297" t="s">
        <v>124</v>
      </c>
      <c r="NVZ232" s="297" t="s">
        <v>124</v>
      </c>
      <c r="NWA232" s="297" t="s">
        <v>124</v>
      </c>
      <c r="NWB232" s="297" t="s">
        <v>124</v>
      </c>
      <c r="NWC232" s="297" t="s">
        <v>124</v>
      </c>
      <c r="NWD232" s="297" t="s">
        <v>124</v>
      </c>
      <c r="NWE232" s="297" t="s">
        <v>124</v>
      </c>
      <c r="NWF232" s="297" t="s">
        <v>124</v>
      </c>
      <c r="NWG232" s="297" t="s">
        <v>124</v>
      </c>
      <c r="NWH232" s="297" t="s">
        <v>124</v>
      </c>
      <c r="NWI232" s="297" t="s">
        <v>124</v>
      </c>
      <c r="NWJ232" s="297" t="s">
        <v>124</v>
      </c>
      <c r="NWK232" s="297" t="s">
        <v>124</v>
      </c>
      <c r="NWL232" s="297" t="s">
        <v>124</v>
      </c>
      <c r="NWM232" s="297" t="s">
        <v>124</v>
      </c>
      <c r="NWN232" s="297" t="s">
        <v>124</v>
      </c>
      <c r="NWO232" s="297" t="s">
        <v>124</v>
      </c>
      <c r="NWP232" s="297" t="s">
        <v>124</v>
      </c>
      <c r="NWQ232" s="297" t="s">
        <v>124</v>
      </c>
      <c r="NWR232" s="297" t="s">
        <v>124</v>
      </c>
      <c r="NWS232" s="297" t="s">
        <v>124</v>
      </c>
      <c r="NWT232" s="297" t="s">
        <v>124</v>
      </c>
      <c r="NWU232" s="297" t="s">
        <v>124</v>
      </c>
      <c r="NWV232" s="297" t="s">
        <v>124</v>
      </c>
      <c r="NWW232" s="297" t="s">
        <v>124</v>
      </c>
      <c r="NWX232" s="297" t="s">
        <v>124</v>
      </c>
      <c r="NWY232" s="297" t="s">
        <v>124</v>
      </c>
      <c r="NWZ232" s="297" t="s">
        <v>124</v>
      </c>
      <c r="NXA232" s="297" t="s">
        <v>124</v>
      </c>
      <c r="NXB232" s="297" t="s">
        <v>124</v>
      </c>
      <c r="NXC232" s="297" t="s">
        <v>124</v>
      </c>
      <c r="NXD232" s="297" t="s">
        <v>124</v>
      </c>
      <c r="NXE232" s="297" t="s">
        <v>124</v>
      </c>
      <c r="NXF232" s="297" t="s">
        <v>124</v>
      </c>
      <c r="NXG232" s="297" t="s">
        <v>124</v>
      </c>
      <c r="NXH232" s="297" t="s">
        <v>124</v>
      </c>
      <c r="NXI232" s="297" t="s">
        <v>124</v>
      </c>
      <c r="NXJ232" s="297" t="s">
        <v>124</v>
      </c>
      <c r="NXK232" s="297" t="s">
        <v>124</v>
      </c>
      <c r="NXL232" s="297" t="s">
        <v>124</v>
      </c>
      <c r="NXM232" s="297" t="s">
        <v>124</v>
      </c>
      <c r="NXN232" s="297" t="s">
        <v>124</v>
      </c>
      <c r="NXO232" s="297" t="s">
        <v>124</v>
      </c>
      <c r="NXP232" s="297" t="s">
        <v>124</v>
      </c>
      <c r="NXQ232" s="297" t="s">
        <v>124</v>
      </c>
      <c r="NXR232" s="297" t="s">
        <v>124</v>
      </c>
      <c r="NXS232" s="297" t="s">
        <v>124</v>
      </c>
      <c r="NXT232" s="297" t="s">
        <v>124</v>
      </c>
      <c r="NXU232" s="297" t="s">
        <v>124</v>
      </c>
      <c r="NXV232" s="297" t="s">
        <v>124</v>
      </c>
      <c r="NXW232" s="297" t="s">
        <v>124</v>
      </c>
      <c r="NXX232" s="297" t="s">
        <v>124</v>
      </c>
      <c r="NXY232" s="297" t="s">
        <v>124</v>
      </c>
      <c r="NXZ232" s="297" t="s">
        <v>124</v>
      </c>
      <c r="NYA232" s="297" t="s">
        <v>124</v>
      </c>
      <c r="NYB232" s="297" t="s">
        <v>124</v>
      </c>
      <c r="NYC232" s="297" t="s">
        <v>124</v>
      </c>
      <c r="NYD232" s="297" t="s">
        <v>124</v>
      </c>
      <c r="NYE232" s="297" t="s">
        <v>124</v>
      </c>
      <c r="NYF232" s="297" t="s">
        <v>124</v>
      </c>
      <c r="NYG232" s="297" t="s">
        <v>124</v>
      </c>
      <c r="NYH232" s="297" t="s">
        <v>124</v>
      </c>
      <c r="NYI232" s="297" t="s">
        <v>124</v>
      </c>
      <c r="NYJ232" s="297" t="s">
        <v>124</v>
      </c>
      <c r="NYK232" s="297" t="s">
        <v>124</v>
      </c>
      <c r="NYL232" s="297" t="s">
        <v>124</v>
      </c>
      <c r="NYM232" s="297" t="s">
        <v>124</v>
      </c>
      <c r="NYN232" s="297" t="s">
        <v>124</v>
      </c>
      <c r="NYO232" s="297" t="s">
        <v>124</v>
      </c>
      <c r="NYP232" s="297" t="s">
        <v>124</v>
      </c>
      <c r="NYQ232" s="297" t="s">
        <v>124</v>
      </c>
      <c r="NYR232" s="297" t="s">
        <v>124</v>
      </c>
      <c r="NYS232" s="297" t="s">
        <v>124</v>
      </c>
      <c r="NYT232" s="297" t="s">
        <v>124</v>
      </c>
      <c r="NYU232" s="297" t="s">
        <v>124</v>
      </c>
      <c r="NYV232" s="297" t="s">
        <v>124</v>
      </c>
      <c r="NYW232" s="297" t="s">
        <v>124</v>
      </c>
      <c r="NYX232" s="297" t="s">
        <v>124</v>
      </c>
      <c r="NYY232" s="297" t="s">
        <v>124</v>
      </c>
      <c r="NYZ232" s="297" t="s">
        <v>124</v>
      </c>
      <c r="NZA232" s="297" t="s">
        <v>124</v>
      </c>
      <c r="NZB232" s="297" t="s">
        <v>124</v>
      </c>
      <c r="NZC232" s="297" t="s">
        <v>124</v>
      </c>
      <c r="NZD232" s="297" t="s">
        <v>124</v>
      </c>
      <c r="NZE232" s="297" t="s">
        <v>124</v>
      </c>
      <c r="NZF232" s="297" t="s">
        <v>124</v>
      </c>
      <c r="NZG232" s="297" t="s">
        <v>124</v>
      </c>
      <c r="NZH232" s="297" t="s">
        <v>124</v>
      </c>
      <c r="NZI232" s="297" t="s">
        <v>124</v>
      </c>
      <c r="NZJ232" s="297" t="s">
        <v>124</v>
      </c>
      <c r="NZK232" s="297" t="s">
        <v>124</v>
      </c>
      <c r="NZL232" s="297" t="s">
        <v>124</v>
      </c>
      <c r="NZM232" s="297" t="s">
        <v>124</v>
      </c>
      <c r="NZN232" s="297" t="s">
        <v>124</v>
      </c>
      <c r="NZO232" s="297" t="s">
        <v>124</v>
      </c>
      <c r="NZP232" s="297" t="s">
        <v>124</v>
      </c>
      <c r="NZQ232" s="297" t="s">
        <v>124</v>
      </c>
      <c r="NZR232" s="297" t="s">
        <v>124</v>
      </c>
      <c r="NZS232" s="297" t="s">
        <v>124</v>
      </c>
      <c r="NZT232" s="297" t="s">
        <v>124</v>
      </c>
      <c r="NZU232" s="297" t="s">
        <v>124</v>
      </c>
      <c r="NZV232" s="297" t="s">
        <v>124</v>
      </c>
      <c r="NZW232" s="297" t="s">
        <v>124</v>
      </c>
      <c r="NZX232" s="297" t="s">
        <v>124</v>
      </c>
      <c r="NZY232" s="297" t="s">
        <v>124</v>
      </c>
      <c r="NZZ232" s="297" t="s">
        <v>124</v>
      </c>
      <c r="OAA232" s="297" t="s">
        <v>124</v>
      </c>
      <c r="OAB232" s="297" t="s">
        <v>124</v>
      </c>
      <c r="OAC232" s="297" t="s">
        <v>124</v>
      </c>
      <c r="OAD232" s="297" t="s">
        <v>124</v>
      </c>
      <c r="OAE232" s="297" t="s">
        <v>124</v>
      </c>
      <c r="OAF232" s="297" t="s">
        <v>124</v>
      </c>
      <c r="OAG232" s="297" t="s">
        <v>124</v>
      </c>
      <c r="OAH232" s="297" t="s">
        <v>124</v>
      </c>
      <c r="OAI232" s="297" t="s">
        <v>124</v>
      </c>
      <c r="OAJ232" s="297" t="s">
        <v>124</v>
      </c>
      <c r="OAK232" s="297" t="s">
        <v>124</v>
      </c>
      <c r="OAL232" s="297" t="s">
        <v>124</v>
      </c>
      <c r="OAM232" s="297" t="s">
        <v>124</v>
      </c>
      <c r="OAN232" s="297" t="s">
        <v>124</v>
      </c>
      <c r="OAO232" s="297" t="s">
        <v>124</v>
      </c>
      <c r="OAP232" s="297" t="s">
        <v>124</v>
      </c>
      <c r="OAQ232" s="297" t="s">
        <v>124</v>
      </c>
      <c r="OAR232" s="297" t="s">
        <v>124</v>
      </c>
      <c r="OAS232" s="297" t="s">
        <v>124</v>
      </c>
      <c r="OAT232" s="297" t="s">
        <v>124</v>
      </c>
      <c r="OAU232" s="297" t="s">
        <v>124</v>
      </c>
      <c r="OAV232" s="297" t="s">
        <v>124</v>
      </c>
      <c r="OAW232" s="297" t="s">
        <v>124</v>
      </c>
      <c r="OAX232" s="297" t="s">
        <v>124</v>
      </c>
      <c r="OAY232" s="297" t="s">
        <v>124</v>
      </c>
      <c r="OAZ232" s="297" t="s">
        <v>124</v>
      </c>
      <c r="OBA232" s="297" t="s">
        <v>124</v>
      </c>
      <c r="OBB232" s="297" t="s">
        <v>124</v>
      </c>
      <c r="OBC232" s="297" t="s">
        <v>124</v>
      </c>
      <c r="OBD232" s="297" t="s">
        <v>124</v>
      </c>
      <c r="OBE232" s="297" t="s">
        <v>124</v>
      </c>
      <c r="OBF232" s="297" t="s">
        <v>124</v>
      </c>
      <c r="OBG232" s="297" t="s">
        <v>124</v>
      </c>
      <c r="OBH232" s="297" t="s">
        <v>124</v>
      </c>
      <c r="OBI232" s="297" t="s">
        <v>124</v>
      </c>
      <c r="OBJ232" s="297" t="s">
        <v>124</v>
      </c>
      <c r="OBK232" s="297" t="s">
        <v>124</v>
      </c>
      <c r="OBL232" s="297" t="s">
        <v>124</v>
      </c>
      <c r="OBM232" s="297" t="s">
        <v>124</v>
      </c>
      <c r="OBN232" s="297" t="s">
        <v>124</v>
      </c>
      <c r="OBO232" s="297" t="s">
        <v>124</v>
      </c>
      <c r="OBP232" s="297" t="s">
        <v>124</v>
      </c>
      <c r="OBQ232" s="297" t="s">
        <v>124</v>
      </c>
      <c r="OBR232" s="297" t="s">
        <v>124</v>
      </c>
      <c r="OBS232" s="297" t="s">
        <v>124</v>
      </c>
      <c r="OBT232" s="297" t="s">
        <v>124</v>
      </c>
      <c r="OBU232" s="297" t="s">
        <v>124</v>
      </c>
      <c r="OBV232" s="297" t="s">
        <v>124</v>
      </c>
      <c r="OBW232" s="297" t="s">
        <v>124</v>
      </c>
      <c r="OBX232" s="297" t="s">
        <v>124</v>
      </c>
      <c r="OBY232" s="297" t="s">
        <v>124</v>
      </c>
      <c r="OBZ232" s="297" t="s">
        <v>124</v>
      </c>
      <c r="OCA232" s="297" t="s">
        <v>124</v>
      </c>
      <c r="OCB232" s="297" t="s">
        <v>124</v>
      </c>
      <c r="OCC232" s="297" t="s">
        <v>124</v>
      </c>
      <c r="OCD232" s="297" t="s">
        <v>124</v>
      </c>
      <c r="OCE232" s="297" t="s">
        <v>124</v>
      </c>
      <c r="OCF232" s="297" t="s">
        <v>124</v>
      </c>
      <c r="OCG232" s="297" t="s">
        <v>124</v>
      </c>
      <c r="OCH232" s="297" t="s">
        <v>124</v>
      </c>
      <c r="OCI232" s="297" t="s">
        <v>124</v>
      </c>
      <c r="OCJ232" s="297" t="s">
        <v>124</v>
      </c>
      <c r="OCK232" s="297" t="s">
        <v>124</v>
      </c>
      <c r="OCL232" s="297" t="s">
        <v>124</v>
      </c>
      <c r="OCM232" s="297" t="s">
        <v>124</v>
      </c>
      <c r="OCN232" s="297" t="s">
        <v>124</v>
      </c>
      <c r="OCO232" s="297" t="s">
        <v>124</v>
      </c>
      <c r="OCP232" s="297" t="s">
        <v>124</v>
      </c>
      <c r="OCQ232" s="297" t="s">
        <v>124</v>
      </c>
      <c r="OCR232" s="297" t="s">
        <v>124</v>
      </c>
      <c r="OCS232" s="297" t="s">
        <v>124</v>
      </c>
      <c r="OCT232" s="297" t="s">
        <v>124</v>
      </c>
      <c r="OCU232" s="297" t="s">
        <v>124</v>
      </c>
      <c r="OCV232" s="297" t="s">
        <v>124</v>
      </c>
      <c r="OCW232" s="297" t="s">
        <v>124</v>
      </c>
      <c r="OCX232" s="297" t="s">
        <v>124</v>
      </c>
      <c r="OCY232" s="297" t="s">
        <v>124</v>
      </c>
      <c r="OCZ232" s="297" t="s">
        <v>124</v>
      </c>
      <c r="ODA232" s="297" t="s">
        <v>124</v>
      </c>
      <c r="ODB232" s="297" t="s">
        <v>124</v>
      </c>
      <c r="ODC232" s="297" t="s">
        <v>124</v>
      </c>
      <c r="ODD232" s="297" t="s">
        <v>124</v>
      </c>
      <c r="ODE232" s="297" t="s">
        <v>124</v>
      </c>
      <c r="ODF232" s="297" t="s">
        <v>124</v>
      </c>
      <c r="ODG232" s="297" t="s">
        <v>124</v>
      </c>
      <c r="ODH232" s="297" t="s">
        <v>124</v>
      </c>
      <c r="ODI232" s="297" t="s">
        <v>124</v>
      </c>
      <c r="ODJ232" s="297" t="s">
        <v>124</v>
      </c>
      <c r="ODK232" s="297" t="s">
        <v>124</v>
      </c>
      <c r="ODL232" s="297" t="s">
        <v>124</v>
      </c>
      <c r="ODM232" s="297" t="s">
        <v>124</v>
      </c>
      <c r="ODN232" s="297" t="s">
        <v>124</v>
      </c>
      <c r="ODO232" s="297" t="s">
        <v>124</v>
      </c>
      <c r="ODP232" s="297" t="s">
        <v>124</v>
      </c>
      <c r="ODQ232" s="297" t="s">
        <v>124</v>
      </c>
      <c r="ODR232" s="297" t="s">
        <v>124</v>
      </c>
      <c r="ODS232" s="297" t="s">
        <v>124</v>
      </c>
      <c r="ODT232" s="297" t="s">
        <v>124</v>
      </c>
      <c r="ODU232" s="297" t="s">
        <v>124</v>
      </c>
      <c r="ODV232" s="297" t="s">
        <v>124</v>
      </c>
      <c r="ODW232" s="297" t="s">
        <v>124</v>
      </c>
      <c r="ODX232" s="297" t="s">
        <v>124</v>
      </c>
      <c r="ODY232" s="297" t="s">
        <v>124</v>
      </c>
      <c r="ODZ232" s="297" t="s">
        <v>124</v>
      </c>
      <c r="OEA232" s="297" t="s">
        <v>124</v>
      </c>
      <c r="OEB232" s="297" t="s">
        <v>124</v>
      </c>
      <c r="OEC232" s="297" t="s">
        <v>124</v>
      </c>
      <c r="OED232" s="297" t="s">
        <v>124</v>
      </c>
      <c r="OEE232" s="297" t="s">
        <v>124</v>
      </c>
      <c r="OEF232" s="297" t="s">
        <v>124</v>
      </c>
      <c r="OEG232" s="297" t="s">
        <v>124</v>
      </c>
      <c r="OEH232" s="297" t="s">
        <v>124</v>
      </c>
      <c r="OEI232" s="297" t="s">
        <v>124</v>
      </c>
      <c r="OEJ232" s="297" t="s">
        <v>124</v>
      </c>
      <c r="OEK232" s="297" t="s">
        <v>124</v>
      </c>
      <c r="OEL232" s="297" t="s">
        <v>124</v>
      </c>
      <c r="OEM232" s="297" t="s">
        <v>124</v>
      </c>
      <c r="OEN232" s="297" t="s">
        <v>124</v>
      </c>
      <c r="OEO232" s="297" t="s">
        <v>124</v>
      </c>
      <c r="OEP232" s="297" t="s">
        <v>124</v>
      </c>
      <c r="OEQ232" s="297" t="s">
        <v>124</v>
      </c>
      <c r="OER232" s="297" t="s">
        <v>124</v>
      </c>
      <c r="OES232" s="297" t="s">
        <v>124</v>
      </c>
      <c r="OET232" s="297" t="s">
        <v>124</v>
      </c>
      <c r="OEU232" s="297" t="s">
        <v>124</v>
      </c>
      <c r="OEV232" s="297" t="s">
        <v>124</v>
      </c>
      <c r="OEW232" s="297" t="s">
        <v>124</v>
      </c>
      <c r="OEX232" s="297" t="s">
        <v>124</v>
      </c>
      <c r="OEY232" s="297" t="s">
        <v>124</v>
      </c>
      <c r="OEZ232" s="297" t="s">
        <v>124</v>
      </c>
      <c r="OFA232" s="297" t="s">
        <v>124</v>
      </c>
      <c r="OFB232" s="297" t="s">
        <v>124</v>
      </c>
      <c r="OFC232" s="297" t="s">
        <v>124</v>
      </c>
      <c r="OFD232" s="297" t="s">
        <v>124</v>
      </c>
      <c r="OFE232" s="297" t="s">
        <v>124</v>
      </c>
      <c r="OFF232" s="297" t="s">
        <v>124</v>
      </c>
      <c r="OFG232" s="297" t="s">
        <v>124</v>
      </c>
      <c r="OFH232" s="297" t="s">
        <v>124</v>
      </c>
      <c r="OFI232" s="297" t="s">
        <v>124</v>
      </c>
      <c r="OFJ232" s="297" t="s">
        <v>124</v>
      </c>
      <c r="OFK232" s="297" t="s">
        <v>124</v>
      </c>
      <c r="OFL232" s="297" t="s">
        <v>124</v>
      </c>
      <c r="OFM232" s="297" t="s">
        <v>124</v>
      </c>
      <c r="OFN232" s="297" t="s">
        <v>124</v>
      </c>
      <c r="OFO232" s="297" t="s">
        <v>124</v>
      </c>
      <c r="OFP232" s="297" t="s">
        <v>124</v>
      </c>
      <c r="OFQ232" s="297" t="s">
        <v>124</v>
      </c>
      <c r="OFR232" s="297" t="s">
        <v>124</v>
      </c>
      <c r="OFS232" s="297" t="s">
        <v>124</v>
      </c>
      <c r="OFT232" s="297" t="s">
        <v>124</v>
      </c>
      <c r="OFU232" s="297" t="s">
        <v>124</v>
      </c>
      <c r="OFV232" s="297" t="s">
        <v>124</v>
      </c>
      <c r="OFW232" s="297" t="s">
        <v>124</v>
      </c>
      <c r="OFX232" s="297" t="s">
        <v>124</v>
      </c>
      <c r="OFY232" s="297" t="s">
        <v>124</v>
      </c>
      <c r="OFZ232" s="297" t="s">
        <v>124</v>
      </c>
      <c r="OGA232" s="297" t="s">
        <v>124</v>
      </c>
      <c r="OGB232" s="297" t="s">
        <v>124</v>
      </c>
      <c r="OGC232" s="297" t="s">
        <v>124</v>
      </c>
      <c r="OGD232" s="297" t="s">
        <v>124</v>
      </c>
      <c r="OGE232" s="297" t="s">
        <v>124</v>
      </c>
      <c r="OGF232" s="297" t="s">
        <v>124</v>
      </c>
      <c r="OGG232" s="297" t="s">
        <v>124</v>
      </c>
      <c r="OGH232" s="297" t="s">
        <v>124</v>
      </c>
      <c r="OGI232" s="297" t="s">
        <v>124</v>
      </c>
      <c r="OGJ232" s="297" t="s">
        <v>124</v>
      </c>
      <c r="OGK232" s="297" t="s">
        <v>124</v>
      </c>
      <c r="OGL232" s="297" t="s">
        <v>124</v>
      </c>
      <c r="OGM232" s="297" t="s">
        <v>124</v>
      </c>
      <c r="OGN232" s="297" t="s">
        <v>124</v>
      </c>
      <c r="OGO232" s="297" t="s">
        <v>124</v>
      </c>
      <c r="OGP232" s="297" t="s">
        <v>124</v>
      </c>
      <c r="OGQ232" s="297" t="s">
        <v>124</v>
      </c>
      <c r="OGR232" s="297" t="s">
        <v>124</v>
      </c>
      <c r="OGS232" s="297" t="s">
        <v>124</v>
      </c>
      <c r="OGT232" s="297" t="s">
        <v>124</v>
      </c>
      <c r="OGU232" s="297" t="s">
        <v>124</v>
      </c>
      <c r="OGV232" s="297" t="s">
        <v>124</v>
      </c>
      <c r="OGW232" s="297" t="s">
        <v>124</v>
      </c>
      <c r="OGX232" s="297" t="s">
        <v>124</v>
      </c>
      <c r="OGY232" s="297" t="s">
        <v>124</v>
      </c>
      <c r="OGZ232" s="297" t="s">
        <v>124</v>
      </c>
      <c r="OHA232" s="297" t="s">
        <v>124</v>
      </c>
      <c r="OHB232" s="297" t="s">
        <v>124</v>
      </c>
      <c r="OHC232" s="297" t="s">
        <v>124</v>
      </c>
      <c r="OHD232" s="297" t="s">
        <v>124</v>
      </c>
      <c r="OHE232" s="297" t="s">
        <v>124</v>
      </c>
      <c r="OHF232" s="297" t="s">
        <v>124</v>
      </c>
      <c r="OHG232" s="297" t="s">
        <v>124</v>
      </c>
      <c r="OHH232" s="297" t="s">
        <v>124</v>
      </c>
      <c r="OHI232" s="297" t="s">
        <v>124</v>
      </c>
      <c r="OHJ232" s="297" t="s">
        <v>124</v>
      </c>
      <c r="OHK232" s="297" t="s">
        <v>124</v>
      </c>
      <c r="OHL232" s="297" t="s">
        <v>124</v>
      </c>
      <c r="OHM232" s="297" t="s">
        <v>124</v>
      </c>
      <c r="OHN232" s="297" t="s">
        <v>124</v>
      </c>
      <c r="OHO232" s="297" t="s">
        <v>124</v>
      </c>
      <c r="OHP232" s="297" t="s">
        <v>124</v>
      </c>
      <c r="OHQ232" s="297" t="s">
        <v>124</v>
      </c>
      <c r="OHR232" s="297" t="s">
        <v>124</v>
      </c>
      <c r="OHS232" s="297" t="s">
        <v>124</v>
      </c>
      <c r="OHT232" s="297" t="s">
        <v>124</v>
      </c>
      <c r="OHU232" s="297" t="s">
        <v>124</v>
      </c>
      <c r="OHV232" s="297" t="s">
        <v>124</v>
      </c>
      <c r="OHW232" s="297" t="s">
        <v>124</v>
      </c>
      <c r="OHX232" s="297" t="s">
        <v>124</v>
      </c>
      <c r="OHY232" s="297" t="s">
        <v>124</v>
      </c>
      <c r="OHZ232" s="297" t="s">
        <v>124</v>
      </c>
      <c r="OIA232" s="297" t="s">
        <v>124</v>
      </c>
      <c r="OIB232" s="297" t="s">
        <v>124</v>
      </c>
      <c r="OIC232" s="297" t="s">
        <v>124</v>
      </c>
      <c r="OID232" s="297" t="s">
        <v>124</v>
      </c>
      <c r="OIE232" s="297" t="s">
        <v>124</v>
      </c>
      <c r="OIF232" s="297" t="s">
        <v>124</v>
      </c>
      <c r="OIG232" s="297" t="s">
        <v>124</v>
      </c>
      <c r="OIH232" s="297" t="s">
        <v>124</v>
      </c>
      <c r="OII232" s="297" t="s">
        <v>124</v>
      </c>
      <c r="OIJ232" s="297" t="s">
        <v>124</v>
      </c>
      <c r="OIK232" s="297" t="s">
        <v>124</v>
      </c>
      <c r="OIL232" s="297" t="s">
        <v>124</v>
      </c>
      <c r="OIM232" s="297" t="s">
        <v>124</v>
      </c>
      <c r="OIN232" s="297" t="s">
        <v>124</v>
      </c>
      <c r="OIO232" s="297" t="s">
        <v>124</v>
      </c>
      <c r="OIP232" s="297" t="s">
        <v>124</v>
      </c>
      <c r="OIQ232" s="297" t="s">
        <v>124</v>
      </c>
      <c r="OIR232" s="297" t="s">
        <v>124</v>
      </c>
      <c r="OIS232" s="297" t="s">
        <v>124</v>
      </c>
      <c r="OIT232" s="297" t="s">
        <v>124</v>
      </c>
      <c r="OIU232" s="297" t="s">
        <v>124</v>
      </c>
      <c r="OIV232" s="297" t="s">
        <v>124</v>
      </c>
      <c r="OIW232" s="297" t="s">
        <v>124</v>
      </c>
      <c r="OIX232" s="297" t="s">
        <v>124</v>
      </c>
      <c r="OIY232" s="297" t="s">
        <v>124</v>
      </c>
      <c r="OIZ232" s="297" t="s">
        <v>124</v>
      </c>
      <c r="OJA232" s="297" t="s">
        <v>124</v>
      </c>
      <c r="OJB232" s="297" t="s">
        <v>124</v>
      </c>
      <c r="OJC232" s="297" t="s">
        <v>124</v>
      </c>
      <c r="OJD232" s="297" t="s">
        <v>124</v>
      </c>
      <c r="OJE232" s="297" t="s">
        <v>124</v>
      </c>
      <c r="OJF232" s="297" t="s">
        <v>124</v>
      </c>
      <c r="OJG232" s="297" t="s">
        <v>124</v>
      </c>
      <c r="OJH232" s="297" t="s">
        <v>124</v>
      </c>
      <c r="OJI232" s="297" t="s">
        <v>124</v>
      </c>
      <c r="OJJ232" s="297" t="s">
        <v>124</v>
      </c>
      <c r="OJK232" s="297" t="s">
        <v>124</v>
      </c>
      <c r="OJL232" s="297" t="s">
        <v>124</v>
      </c>
      <c r="OJM232" s="297" t="s">
        <v>124</v>
      </c>
      <c r="OJN232" s="297" t="s">
        <v>124</v>
      </c>
      <c r="OJO232" s="297" t="s">
        <v>124</v>
      </c>
      <c r="OJP232" s="297" t="s">
        <v>124</v>
      </c>
      <c r="OJQ232" s="297" t="s">
        <v>124</v>
      </c>
      <c r="OJR232" s="297" t="s">
        <v>124</v>
      </c>
      <c r="OJS232" s="297" t="s">
        <v>124</v>
      </c>
      <c r="OJT232" s="297" t="s">
        <v>124</v>
      </c>
      <c r="OJU232" s="297" t="s">
        <v>124</v>
      </c>
      <c r="OJV232" s="297" t="s">
        <v>124</v>
      </c>
      <c r="OJW232" s="297" t="s">
        <v>124</v>
      </c>
      <c r="OJX232" s="297" t="s">
        <v>124</v>
      </c>
      <c r="OJY232" s="297" t="s">
        <v>124</v>
      </c>
      <c r="OJZ232" s="297" t="s">
        <v>124</v>
      </c>
      <c r="OKA232" s="297" t="s">
        <v>124</v>
      </c>
      <c r="OKB232" s="297" t="s">
        <v>124</v>
      </c>
      <c r="OKC232" s="297" t="s">
        <v>124</v>
      </c>
      <c r="OKD232" s="297" t="s">
        <v>124</v>
      </c>
      <c r="OKE232" s="297" t="s">
        <v>124</v>
      </c>
      <c r="OKF232" s="297" t="s">
        <v>124</v>
      </c>
      <c r="OKG232" s="297" t="s">
        <v>124</v>
      </c>
      <c r="OKH232" s="297" t="s">
        <v>124</v>
      </c>
      <c r="OKI232" s="297" t="s">
        <v>124</v>
      </c>
      <c r="OKJ232" s="297" t="s">
        <v>124</v>
      </c>
      <c r="OKK232" s="297" t="s">
        <v>124</v>
      </c>
      <c r="OKL232" s="297" t="s">
        <v>124</v>
      </c>
      <c r="OKM232" s="297" t="s">
        <v>124</v>
      </c>
      <c r="OKN232" s="297" t="s">
        <v>124</v>
      </c>
      <c r="OKO232" s="297" t="s">
        <v>124</v>
      </c>
      <c r="OKP232" s="297" t="s">
        <v>124</v>
      </c>
      <c r="OKQ232" s="297" t="s">
        <v>124</v>
      </c>
      <c r="OKR232" s="297" t="s">
        <v>124</v>
      </c>
      <c r="OKS232" s="297" t="s">
        <v>124</v>
      </c>
      <c r="OKT232" s="297" t="s">
        <v>124</v>
      </c>
      <c r="OKU232" s="297" t="s">
        <v>124</v>
      </c>
      <c r="OKV232" s="297" t="s">
        <v>124</v>
      </c>
      <c r="OKW232" s="297" t="s">
        <v>124</v>
      </c>
      <c r="OKX232" s="297" t="s">
        <v>124</v>
      </c>
      <c r="OKY232" s="297" t="s">
        <v>124</v>
      </c>
      <c r="OKZ232" s="297" t="s">
        <v>124</v>
      </c>
      <c r="OLA232" s="297" t="s">
        <v>124</v>
      </c>
      <c r="OLB232" s="297" t="s">
        <v>124</v>
      </c>
      <c r="OLC232" s="297" t="s">
        <v>124</v>
      </c>
      <c r="OLD232" s="297" t="s">
        <v>124</v>
      </c>
      <c r="OLE232" s="297" t="s">
        <v>124</v>
      </c>
      <c r="OLF232" s="297" t="s">
        <v>124</v>
      </c>
      <c r="OLG232" s="297" t="s">
        <v>124</v>
      </c>
      <c r="OLH232" s="297" t="s">
        <v>124</v>
      </c>
      <c r="OLI232" s="297" t="s">
        <v>124</v>
      </c>
      <c r="OLJ232" s="297" t="s">
        <v>124</v>
      </c>
      <c r="OLK232" s="297" t="s">
        <v>124</v>
      </c>
      <c r="OLL232" s="297" t="s">
        <v>124</v>
      </c>
      <c r="OLM232" s="297" t="s">
        <v>124</v>
      </c>
      <c r="OLN232" s="297" t="s">
        <v>124</v>
      </c>
      <c r="OLO232" s="297" t="s">
        <v>124</v>
      </c>
      <c r="OLP232" s="297" t="s">
        <v>124</v>
      </c>
      <c r="OLQ232" s="297" t="s">
        <v>124</v>
      </c>
      <c r="OLR232" s="297" t="s">
        <v>124</v>
      </c>
      <c r="OLS232" s="297" t="s">
        <v>124</v>
      </c>
      <c r="OLT232" s="297" t="s">
        <v>124</v>
      </c>
      <c r="OLU232" s="297" t="s">
        <v>124</v>
      </c>
      <c r="OLV232" s="297" t="s">
        <v>124</v>
      </c>
      <c r="OLW232" s="297" t="s">
        <v>124</v>
      </c>
      <c r="OLX232" s="297" t="s">
        <v>124</v>
      </c>
      <c r="OLY232" s="297" t="s">
        <v>124</v>
      </c>
      <c r="OLZ232" s="297" t="s">
        <v>124</v>
      </c>
      <c r="OMA232" s="297" t="s">
        <v>124</v>
      </c>
      <c r="OMB232" s="297" t="s">
        <v>124</v>
      </c>
      <c r="OMC232" s="297" t="s">
        <v>124</v>
      </c>
      <c r="OMD232" s="297" t="s">
        <v>124</v>
      </c>
      <c r="OME232" s="297" t="s">
        <v>124</v>
      </c>
      <c r="OMF232" s="297" t="s">
        <v>124</v>
      </c>
      <c r="OMG232" s="297" t="s">
        <v>124</v>
      </c>
      <c r="OMH232" s="297" t="s">
        <v>124</v>
      </c>
      <c r="OMI232" s="297" t="s">
        <v>124</v>
      </c>
      <c r="OMJ232" s="297" t="s">
        <v>124</v>
      </c>
      <c r="OMK232" s="297" t="s">
        <v>124</v>
      </c>
      <c r="OML232" s="297" t="s">
        <v>124</v>
      </c>
      <c r="OMM232" s="297" t="s">
        <v>124</v>
      </c>
      <c r="OMN232" s="297" t="s">
        <v>124</v>
      </c>
      <c r="OMO232" s="297" t="s">
        <v>124</v>
      </c>
      <c r="OMP232" s="297" t="s">
        <v>124</v>
      </c>
      <c r="OMQ232" s="297" t="s">
        <v>124</v>
      </c>
      <c r="OMR232" s="297" t="s">
        <v>124</v>
      </c>
      <c r="OMS232" s="297" t="s">
        <v>124</v>
      </c>
      <c r="OMT232" s="297" t="s">
        <v>124</v>
      </c>
      <c r="OMU232" s="297" t="s">
        <v>124</v>
      </c>
      <c r="OMV232" s="297" t="s">
        <v>124</v>
      </c>
      <c r="OMW232" s="297" t="s">
        <v>124</v>
      </c>
      <c r="OMX232" s="297" t="s">
        <v>124</v>
      </c>
      <c r="OMY232" s="297" t="s">
        <v>124</v>
      </c>
      <c r="OMZ232" s="297" t="s">
        <v>124</v>
      </c>
      <c r="ONA232" s="297" t="s">
        <v>124</v>
      </c>
      <c r="ONB232" s="297" t="s">
        <v>124</v>
      </c>
      <c r="ONC232" s="297" t="s">
        <v>124</v>
      </c>
      <c r="OND232" s="297" t="s">
        <v>124</v>
      </c>
      <c r="ONE232" s="297" t="s">
        <v>124</v>
      </c>
      <c r="ONF232" s="297" t="s">
        <v>124</v>
      </c>
      <c r="ONG232" s="297" t="s">
        <v>124</v>
      </c>
      <c r="ONH232" s="297" t="s">
        <v>124</v>
      </c>
      <c r="ONI232" s="297" t="s">
        <v>124</v>
      </c>
      <c r="ONJ232" s="297" t="s">
        <v>124</v>
      </c>
      <c r="ONK232" s="297" t="s">
        <v>124</v>
      </c>
      <c r="ONL232" s="297" t="s">
        <v>124</v>
      </c>
      <c r="ONM232" s="297" t="s">
        <v>124</v>
      </c>
      <c r="ONN232" s="297" t="s">
        <v>124</v>
      </c>
      <c r="ONO232" s="297" t="s">
        <v>124</v>
      </c>
      <c r="ONP232" s="297" t="s">
        <v>124</v>
      </c>
      <c r="ONQ232" s="297" t="s">
        <v>124</v>
      </c>
      <c r="ONR232" s="297" t="s">
        <v>124</v>
      </c>
      <c r="ONS232" s="297" t="s">
        <v>124</v>
      </c>
      <c r="ONT232" s="297" t="s">
        <v>124</v>
      </c>
      <c r="ONU232" s="297" t="s">
        <v>124</v>
      </c>
      <c r="ONV232" s="297" t="s">
        <v>124</v>
      </c>
      <c r="ONW232" s="297" t="s">
        <v>124</v>
      </c>
      <c r="ONX232" s="297" t="s">
        <v>124</v>
      </c>
      <c r="ONY232" s="297" t="s">
        <v>124</v>
      </c>
      <c r="ONZ232" s="297" t="s">
        <v>124</v>
      </c>
      <c r="OOA232" s="297" t="s">
        <v>124</v>
      </c>
      <c r="OOB232" s="297" t="s">
        <v>124</v>
      </c>
      <c r="OOC232" s="297" t="s">
        <v>124</v>
      </c>
      <c r="OOD232" s="297" t="s">
        <v>124</v>
      </c>
      <c r="OOE232" s="297" t="s">
        <v>124</v>
      </c>
      <c r="OOF232" s="297" t="s">
        <v>124</v>
      </c>
      <c r="OOG232" s="297" t="s">
        <v>124</v>
      </c>
      <c r="OOH232" s="297" t="s">
        <v>124</v>
      </c>
      <c r="OOI232" s="297" t="s">
        <v>124</v>
      </c>
      <c r="OOJ232" s="297" t="s">
        <v>124</v>
      </c>
      <c r="OOK232" s="297" t="s">
        <v>124</v>
      </c>
      <c r="OOL232" s="297" t="s">
        <v>124</v>
      </c>
      <c r="OOM232" s="297" t="s">
        <v>124</v>
      </c>
      <c r="OON232" s="297" t="s">
        <v>124</v>
      </c>
      <c r="OOO232" s="297" t="s">
        <v>124</v>
      </c>
      <c r="OOP232" s="297" t="s">
        <v>124</v>
      </c>
      <c r="OOQ232" s="297" t="s">
        <v>124</v>
      </c>
      <c r="OOR232" s="297" t="s">
        <v>124</v>
      </c>
      <c r="OOS232" s="297" t="s">
        <v>124</v>
      </c>
      <c r="OOT232" s="297" t="s">
        <v>124</v>
      </c>
      <c r="OOU232" s="297" t="s">
        <v>124</v>
      </c>
      <c r="OOV232" s="297" t="s">
        <v>124</v>
      </c>
      <c r="OOW232" s="297" t="s">
        <v>124</v>
      </c>
      <c r="OOX232" s="297" t="s">
        <v>124</v>
      </c>
      <c r="OOY232" s="297" t="s">
        <v>124</v>
      </c>
      <c r="OOZ232" s="297" t="s">
        <v>124</v>
      </c>
      <c r="OPA232" s="297" t="s">
        <v>124</v>
      </c>
      <c r="OPB232" s="297" t="s">
        <v>124</v>
      </c>
      <c r="OPC232" s="297" t="s">
        <v>124</v>
      </c>
      <c r="OPD232" s="297" t="s">
        <v>124</v>
      </c>
      <c r="OPE232" s="297" t="s">
        <v>124</v>
      </c>
      <c r="OPF232" s="297" t="s">
        <v>124</v>
      </c>
      <c r="OPG232" s="297" t="s">
        <v>124</v>
      </c>
      <c r="OPH232" s="297" t="s">
        <v>124</v>
      </c>
      <c r="OPI232" s="297" t="s">
        <v>124</v>
      </c>
      <c r="OPJ232" s="297" t="s">
        <v>124</v>
      </c>
      <c r="OPK232" s="297" t="s">
        <v>124</v>
      </c>
      <c r="OPL232" s="297" t="s">
        <v>124</v>
      </c>
      <c r="OPM232" s="297" t="s">
        <v>124</v>
      </c>
      <c r="OPN232" s="297" t="s">
        <v>124</v>
      </c>
      <c r="OPO232" s="297" t="s">
        <v>124</v>
      </c>
      <c r="OPP232" s="297" t="s">
        <v>124</v>
      </c>
      <c r="OPQ232" s="297" t="s">
        <v>124</v>
      </c>
      <c r="OPR232" s="297" t="s">
        <v>124</v>
      </c>
      <c r="OPS232" s="297" t="s">
        <v>124</v>
      </c>
      <c r="OPT232" s="297" t="s">
        <v>124</v>
      </c>
      <c r="OPU232" s="297" t="s">
        <v>124</v>
      </c>
      <c r="OPV232" s="297" t="s">
        <v>124</v>
      </c>
      <c r="OPW232" s="297" t="s">
        <v>124</v>
      </c>
      <c r="OPX232" s="297" t="s">
        <v>124</v>
      </c>
      <c r="OPY232" s="297" t="s">
        <v>124</v>
      </c>
      <c r="OPZ232" s="297" t="s">
        <v>124</v>
      </c>
      <c r="OQA232" s="297" t="s">
        <v>124</v>
      </c>
      <c r="OQB232" s="297" t="s">
        <v>124</v>
      </c>
      <c r="OQC232" s="297" t="s">
        <v>124</v>
      </c>
      <c r="OQD232" s="297" t="s">
        <v>124</v>
      </c>
      <c r="OQE232" s="297" t="s">
        <v>124</v>
      </c>
      <c r="OQF232" s="297" t="s">
        <v>124</v>
      </c>
      <c r="OQG232" s="297" t="s">
        <v>124</v>
      </c>
      <c r="OQH232" s="297" t="s">
        <v>124</v>
      </c>
      <c r="OQI232" s="297" t="s">
        <v>124</v>
      </c>
      <c r="OQJ232" s="297" t="s">
        <v>124</v>
      </c>
      <c r="OQK232" s="297" t="s">
        <v>124</v>
      </c>
      <c r="OQL232" s="297" t="s">
        <v>124</v>
      </c>
      <c r="OQM232" s="297" t="s">
        <v>124</v>
      </c>
      <c r="OQN232" s="297" t="s">
        <v>124</v>
      </c>
      <c r="OQO232" s="297" t="s">
        <v>124</v>
      </c>
      <c r="OQP232" s="297" t="s">
        <v>124</v>
      </c>
      <c r="OQQ232" s="297" t="s">
        <v>124</v>
      </c>
      <c r="OQR232" s="297" t="s">
        <v>124</v>
      </c>
      <c r="OQS232" s="297" t="s">
        <v>124</v>
      </c>
      <c r="OQT232" s="297" t="s">
        <v>124</v>
      </c>
      <c r="OQU232" s="297" t="s">
        <v>124</v>
      </c>
      <c r="OQV232" s="297" t="s">
        <v>124</v>
      </c>
      <c r="OQW232" s="297" t="s">
        <v>124</v>
      </c>
      <c r="OQX232" s="297" t="s">
        <v>124</v>
      </c>
      <c r="OQY232" s="297" t="s">
        <v>124</v>
      </c>
      <c r="OQZ232" s="297" t="s">
        <v>124</v>
      </c>
      <c r="ORA232" s="297" t="s">
        <v>124</v>
      </c>
      <c r="ORB232" s="297" t="s">
        <v>124</v>
      </c>
      <c r="ORC232" s="297" t="s">
        <v>124</v>
      </c>
      <c r="ORD232" s="297" t="s">
        <v>124</v>
      </c>
      <c r="ORE232" s="297" t="s">
        <v>124</v>
      </c>
      <c r="ORF232" s="297" t="s">
        <v>124</v>
      </c>
      <c r="ORG232" s="297" t="s">
        <v>124</v>
      </c>
      <c r="ORH232" s="297" t="s">
        <v>124</v>
      </c>
      <c r="ORI232" s="297" t="s">
        <v>124</v>
      </c>
      <c r="ORJ232" s="297" t="s">
        <v>124</v>
      </c>
      <c r="ORK232" s="297" t="s">
        <v>124</v>
      </c>
      <c r="ORL232" s="297" t="s">
        <v>124</v>
      </c>
      <c r="ORM232" s="297" t="s">
        <v>124</v>
      </c>
      <c r="ORN232" s="297" t="s">
        <v>124</v>
      </c>
      <c r="ORO232" s="297" t="s">
        <v>124</v>
      </c>
      <c r="ORP232" s="297" t="s">
        <v>124</v>
      </c>
      <c r="ORQ232" s="297" t="s">
        <v>124</v>
      </c>
      <c r="ORR232" s="297" t="s">
        <v>124</v>
      </c>
      <c r="ORS232" s="297" t="s">
        <v>124</v>
      </c>
      <c r="ORT232" s="297" t="s">
        <v>124</v>
      </c>
      <c r="ORU232" s="297" t="s">
        <v>124</v>
      </c>
      <c r="ORV232" s="297" t="s">
        <v>124</v>
      </c>
      <c r="ORW232" s="297" t="s">
        <v>124</v>
      </c>
      <c r="ORX232" s="297" t="s">
        <v>124</v>
      </c>
      <c r="ORY232" s="297" t="s">
        <v>124</v>
      </c>
      <c r="ORZ232" s="297" t="s">
        <v>124</v>
      </c>
      <c r="OSA232" s="297" t="s">
        <v>124</v>
      </c>
      <c r="OSB232" s="297" t="s">
        <v>124</v>
      </c>
      <c r="OSC232" s="297" t="s">
        <v>124</v>
      </c>
      <c r="OSD232" s="297" t="s">
        <v>124</v>
      </c>
      <c r="OSE232" s="297" t="s">
        <v>124</v>
      </c>
      <c r="OSF232" s="297" t="s">
        <v>124</v>
      </c>
      <c r="OSG232" s="297" t="s">
        <v>124</v>
      </c>
      <c r="OSH232" s="297" t="s">
        <v>124</v>
      </c>
      <c r="OSI232" s="297" t="s">
        <v>124</v>
      </c>
      <c r="OSJ232" s="297" t="s">
        <v>124</v>
      </c>
      <c r="OSK232" s="297" t="s">
        <v>124</v>
      </c>
      <c r="OSL232" s="297" t="s">
        <v>124</v>
      </c>
      <c r="OSM232" s="297" t="s">
        <v>124</v>
      </c>
      <c r="OSN232" s="297" t="s">
        <v>124</v>
      </c>
      <c r="OSO232" s="297" t="s">
        <v>124</v>
      </c>
      <c r="OSP232" s="297" t="s">
        <v>124</v>
      </c>
      <c r="OSQ232" s="297" t="s">
        <v>124</v>
      </c>
      <c r="OSR232" s="297" t="s">
        <v>124</v>
      </c>
      <c r="OSS232" s="297" t="s">
        <v>124</v>
      </c>
      <c r="OST232" s="297" t="s">
        <v>124</v>
      </c>
      <c r="OSU232" s="297" t="s">
        <v>124</v>
      </c>
      <c r="OSV232" s="297" t="s">
        <v>124</v>
      </c>
      <c r="OSW232" s="297" t="s">
        <v>124</v>
      </c>
      <c r="OSX232" s="297" t="s">
        <v>124</v>
      </c>
      <c r="OSY232" s="297" t="s">
        <v>124</v>
      </c>
      <c r="OSZ232" s="297" t="s">
        <v>124</v>
      </c>
      <c r="OTA232" s="297" t="s">
        <v>124</v>
      </c>
      <c r="OTB232" s="297" t="s">
        <v>124</v>
      </c>
      <c r="OTC232" s="297" t="s">
        <v>124</v>
      </c>
      <c r="OTD232" s="297" t="s">
        <v>124</v>
      </c>
      <c r="OTE232" s="297" t="s">
        <v>124</v>
      </c>
      <c r="OTF232" s="297" t="s">
        <v>124</v>
      </c>
      <c r="OTG232" s="297" t="s">
        <v>124</v>
      </c>
      <c r="OTH232" s="297" t="s">
        <v>124</v>
      </c>
      <c r="OTI232" s="297" t="s">
        <v>124</v>
      </c>
      <c r="OTJ232" s="297" t="s">
        <v>124</v>
      </c>
      <c r="OTK232" s="297" t="s">
        <v>124</v>
      </c>
      <c r="OTL232" s="297" t="s">
        <v>124</v>
      </c>
      <c r="OTM232" s="297" t="s">
        <v>124</v>
      </c>
      <c r="OTN232" s="297" t="s">
        <v>124</v>
      </c>
      <c r="OTO232" s="297" t="s">
        <v>124</v>
      </c>
      <c r="OTP232" s="297" t="s">
        <v>124</v>
      </c>
      <c r="OTQ232" s="297" t="s">
        <v>124</v>
      </c>
      <c r="OTR232" s="297" t="s">
        <v>124</v>
      </c>
      <c r="OTS232" s="297" t="s">
        <v>124</v>
      </c>
      <c r="OTT232" s="297" t="s">
        <v>124</v>
      </c>
      <c r="OTU232" s="297" t="s">
        <v>124</v>
      </c>
      <c r="OTV232" s="297" t="s">
        <v>124</v>
      </c>
      <c r="OTW232" s="297" t="s">
        <v>124</v>
      </c>
      <c r="OTX232" s="297" t="s">
        <v>124</v>
      </c>
      <c r="OTY232" s="297" t="s">
        <v>124</v>
      </c>
      <c r="OTZ232" s="297" t="s">
        <v>124</v>
      </c>
      <c r="OUA232" s="297" t="s">
        <v>124</v>
      </c>
      <c r="OUB232" s="297" t="s">
        <v>124</v>
      </c>
      <c r="OUC232" s="297" t="s">
        <v>124</v>
      </c>
      <c r="OUD232" s="297" t="s">
        <v>124</v>
      </c>
      <c r="OUE232" s="297" t="s">
        <v>124</v>
      </c>
      <c r="OUF232" s="297" t="s">
        <v>124</v>
      </c>
      <c r="OUG232" s="297" t="s">
        <v>124</v>
      </c>
      <c r="OUH232" s="297" t="s">
        <v>124</v>
      </c>
      <c r="OUI232" s="297" t="s">
        <v>124</v>
      </c>
      <c r="OUJ232" s="297" t="s">
        <v>124</v>
      </c>
      <c r="OUK232" s="297" t="s">
        <v>124</v>
      </c>
      <c r="OUL232" s="297" t="s">
        <v>124</v>
      </c>
      <c r="OUM232" s="297" t="s">
        <v>124</v>
      </c>
      <c r="OUN232" s="297" t="s">
        <v>124</v>
      </c>
      <c r="OUO232" s="297" t="s">
        <v>124</v>
      </c>
      <c r="OUP232" s="297" t="s">
        <v>124</v>
      </c>
      <c r="OUQ232" s="297" t="s">
        <v>124</v>
      </c>
      <c r="OUR232" s="297" t="s">
        <v>124</v>
      </c>
      <c r="OUS232" s="297" t="s">
        <v>124</v>
      </c>
      <c r="OUT232" s="297" t="s">
        <v>124</v>
      </c>
      <c r="OUU232" s="297" t="s">
        <v>124</v>
      </c>
      <c r="OUV232" s="297" t="s">
        <v>124</v>
      </c>
      <c r="OUW232" s="297" t="s">
        <v>124</v>
      </c>
      <c r="OUX232" s="297" t="s">
        <v>124</v>
      </c>
      <c r="OUY232" s="297" t="s">
        <v>124</v>
      </c>
      <c r="OUZ232" s="297" t="s">
        <v>124</v>
      </c>
      <c r="OVA232" s="297" t="s">
        <v>124</v>
      </c>
      <c r="OVB232" s="297" t="s">
        <v>124</v>
      </c>
      <c r="OVC232" s="297" t="s">
        <v>124</v>
      </c>
      <c r="OVD232" s="297" t="s">
        <v>124</v>
      </c>
      <c r="OVE232" s="297" t="s">
        <v>124</v>
      </c>
      <c r="OVF232" s="297" t="s">
        <v>124</v>
      </c>
      <c r="OVG232" s="297" t="s">
        <v>124</v>
      </c>
      <c r="OVH232" s="297" t="s">
        <v>124</v>
      </c>
      <c r="OVI232" s="297" t="s">
        <v>124</v>
      </c>
      <c r="OVJ232" s="297" t="s">
        <v>124</v>
      </c>
      <c r="OVK232" s="297" t="s">
        <v>124</v>
      </c>
      <c r="OVL232" s="297" t="s">
        <v>124</v>
      </c>
      <c r="OVM232" s="297" t="s">
        <v>124</v>
      </c>
      <c r="OVN232" s="297" t="s">
        <v>124</v>
      </c>
      <c r="OVO232" s="297" t="s">
        <v>124</v>
      </c>
      <c r="OVP232" s="297" t="s">
        <v>124</v>
      </c>
      <c r="OVQ232" s="297" t="s">
        <v>124</v>
      </c>
      <c r="OVR232" s="297" t="s">
        <v>124</v>
      </c>
      <c r="OVS232" s="297" t="s">
        <v>124</v>
      </c>
      <c r="OVT232" s="297" t="s">
        <v>124</v>
      </c>
      <c r="OVU232" s="297" t="s">
        <v>124</v>
      </c>
      <c r="OVV232" s="297" t="s">
        <v>124</v>
      </c>
      <c r="OVW232" s="297" t="s">
        <v>124</v>
      </c>
      <c r="OVX232" s="297" t="s">
        <v>124</v>
      </c>
      <c r="OVY232" s="297" t="s">
        <v>124</v>
      </c>
      <c r="OVZ232" s="297" t="s">
        <v>124</v>
      </c>
      <c r="OWA232" s="297" t="s">
        <v>124</v>
      </c>
      <c r="OWB232" s="297" t="s">
        <v>124</v>
      </c>
      <c r="OWC232" s="297" t="s">
        <v>124</v>
      </c>
      <c r="OWD232" s="297" t="s">
        <v>124</v>
      </c>
      <c r="OWE232" s="297" t="s">
        <v>124</v>
      </c>
      <c r="OWF232" s="297" t="s">
        <v>124</v>
      </c>
      <c r="OWG232" s="297" t="s">
        <v>124</v>
      </c>
      <c r="OWH232" s="297" t="s">
        <v>124</v>
      </c>
      <c r="OWI232" s="297" t="s">
        <v>124</v>
      </c>
      <c r="OWJ232" s="297" t="s">
        <v>124</v>
      </c>
      <c r="OWK232" s="297" t="s">
        <v>124</v>
      </c>
      <c r="OWL232" s="297" t="s">
        <v>124</v>
      </c>
      <c r="OWM232" s="297" t="s">
        <v>124</v>
      </c>
      <c r="OWN232" s="297" t="s">
        <v>124</v>
      </c>
      <c r="OWO232" s="297" t="s">
        <v>124</v>
      </c>
      <c r="OWP232" s="297" t="s">
        <v>124</v>
      </c>
      <c r="OWQ232" s="297" t="s">
        <v>124</v>
      </c>
      <c r="OWR232" s="297" t="s">
        <v>124</v>
      </c>
      <c r="OWS232" s="297" t="s">
        <v>124</v>
      </c>
      <c r="OWT232" s="297" t="s">
        <v>124</v>
      </c>
      <c r="OWU232" s="297" t="s">
        <v>124</v>
      </c>
      <c r="OWV232" s="297" t="s">
        <v>124</v>
      </c>
      <c r="OWW232" s="297" t="s">
        <v>124</v>
      </c>
      <c r="OWX232" s="297" t="s">
        <v>124</v>
      </c>
      <c r="OWY232" s="297" t="s">
        <v>124</v>
      </c>
      <c r="OWZ232" s="297" t="s">
        <v>124</v>
      </c>
      <c r="OXA232" s="297" t="s">
        <v>124</v>
      </c>
      <c r="OXB232" s="297" t="s">
        <v>124</v>
      </c>
      <c r="OXC232" s="297" t="s">
        <v>124</v>
      </c>
      <c r="OXD232" s="297" t="s">
        <v>124</v>
      </c>
      <c r="OXE232" s="297" t="s">
        <v>124</v>
      </c>
      <c r="OXF232" s="297" t="s">
        <v>124</v>
      </c>
      <c r="OXG232" s="297" t="s">
        <v>124</v>
      </c>
      <c r="OXH232" s="297" t="s">
        <v>124</v>
      </c>
      <c r="OXI232" s="297" t="s">
        <v>124</v>
      </c>
      <c r="OXJ232" s="297" t="s">
        <v>124</v>
      </c>
      <c r="OXK232" s="297" t="s">
        <v>124</v>
      </c>
      <c r="OXL232" s="297" t="s">
        <v>124</v>
      </c>
      <c r="OXM232" s="297" t="s">
        <v>124</v>
      </c>
      <c r="OXN232" s="297" t="s">
        <v>124</v>
      </c>
      <c r="OXO232" s="297" t="s">
        <v>124</v>
      </c>
      <c r="OXP232" s="297" t="s">
        <v>124</v>
      </c>
      <c r="OXQ232" s="297" t="s">
        <v>124</v>
      </c>
      <c r="OXR232" s="297" t="s">
        <v>124</v>
      </c>
      <c r="OXS232" s="297" t="s">
        <v>124</v>
      </c>
      <c r="OXT232" s="297" t="s">
        <v>124</v>
      </c>
      <c r="OXU232" s="297" t="s">
        <v>124</v>
      </c>
      <c r="OXV232" s="297" t="s">
        <v>124</v>
      </c>
      <c r="OXW232" s="297" t="s">
        <v>124</v>
      </c>
      <c r="OXX232" s="297" t="s">
        <v>124</v>
      </c>
      <c r="OXY232" s="297" t="s">
        <v>124</v>
      </c>
      <c r="OXZ232" s="297" t="s">
        <v>124</v>
      </c>
      <c r="OYA232" s="297" t="s">
        <v>124</v>
      </c>
      <c r="OYB232" s="297" t="s">
        <v>124</v>
      </c>
      <c r="OYC232" s="297" t="s">
        <v>124</v>
      </c>
      <c r="OYD232" s="297" t="s">
        <v>124</v>
      </c>
      <c r="OYE232" s="297" t="s">
        <v>124</v>
      </c>
      <c r="OYF232" s="297" t="s">
        <v>124</v>
      </c>
      <c r="OYG232" s="297" t="s">
        <v>124</v>
      </c>
      <c r="OYH232" s="297" t="s">
        <v>124</v>
      </c>
      <c r="OYI232" s="297" t="s">
        <v>124</v>
      </c>
      <c r="OYJ232" s="297" t="s">
        <v>124</v>
      </c>
      <c r="OYK232" s="297" t="s">
        <v>124</v>
      </c>
      <c r="OYL232" s="297" t="s">
        <v>124</v>
      </c>
      <c r="OYM232" s="297" t="s">
        <v>124</v>
      </c>
      <c r="OYN232" s="297" t="s">
        <v>124</v>
      </c>
      <c r="OYO232" s="297" t="s">
        <v>124</v>
      </c>
      <c r="OYP232" s="297" t="s">
        <v>124</v>
      </c>
      <c r="OYQ232" s="297" t="s">
        <v>124</v>
      </c>
      <c r="OYR232" s="297" t="s">
        <v>124</v>
      </c>
      <c r="OYS232" s="297" t="s">
        <v>124</v>
      </c>
      <c r="OYT232" s="297" t="s">
        <v>124</v>
      </c>
      <c r="OYU232" s="297" t="s">
        <v>124</v>
      </c>
      <c r="OYV232" s="297" t="s">
        <v>124</v>
      </c>
      <c r="OYW232" s="297" t="s">
        <v>124</v>
      </c>
      <c r="OYX232" s="297" t="s">
        <v>124</v>
      </c>
      <c r="OYY232" s="297" t="s">
        <v>124</v>
      </c>
      <c r="OYZ232" s="297" t="s">
        <v>124</v>
      </c>
      <c r="OZA232" s="297" t="s">
        <v>124</v>
      </c>
      <c r="OZB232" s="297" t="s">
        <v>124</v>
      </c>
      <c r="OZC232" s="297" t="s">
        <v>124</v>
      </c>
      <c r="OZD232" s="297" t="s">
        <v>124</v>
      </c>
      <c r="OZE232" s="297" t="s">
        <v>124</v>
      </c>
      <c r="OZF232" s="297" t="s">
        <v>124</v>
      </c>
      <c r="OZG232" s="297" t="s">
        <v>124</v>
      </c>
      <c r="OZH232" s="297" t="s">
        <v>124</v>
      </c>
      <c r="OZI232" s="297" t="s">
        <v>124</v>
      </c>
      <c r="OZJ232" s="297" t="s">
        <v>124</v>
      </c>
      <c r="OZK232" s="297" t="s">
        <v>124</v>
      </c>
      <c r="OZL232" s="297" t="s">
        <v>124</v>
      </c>
      <c r="OZM232" s="297" t="s">
        <v>124</v>
      </c>
      <c r="OZN232" s="297" t="s">
        <v>124</v>
      </c>
      <c r="OZO232" s="297" t="s">
        <v>124</v>
      </c>
      <c r="OZP232" s="297" t="s">
        <v>124</v>
      </c>
      <c r="OZQ232" s="297" t="s">
        <v>124</v>
      </c>
      <c r="OZR232" s="297" t="s">
        <v>124</v>
      </c>
      <c r="OZS232" s="297" t="s">
        <v>124</v>
      </c>
      <c r="OZT232" s="297" t="s">
        <v>124</v>
      </c>
      <c r="OZU232" s="297" t="s">
        <v>124</v>
      </c>
      <c r="OZV232" s="297" t="s">
        <v>124</v>
      </c>
      <c r="OZW232" s="297" t="s">
        <v>124</v>
      </c>
      <c r="OZX232" s="297" t="s">
        <v>124</v>
      </c>
      <c r="OZY232" s="297" t="s">
        <v>124</v>
      </c>
      <c r="OZZ232" s="297" t="s">
        <v>124</v>
      </c>
      <c r="PAA232" s="297" t="s">
        <v>124</v>
      </c>
      <c r="PAB232" s="297" t="s">
        <v>124</v>
      </c>
      <c r="PAC232" s="297" t="s">
        <v>124</v>
      </c>
      <c r="PAD232" s="297" t="s">
        <v>124</v>
      </c>
      <c r="PAE232" s="297" t="s">
        <v>124</v>
      </c>
      <c r="PAF232" s="297" t="s">
        <v>124</v>
      </c>
      <c r="PAG232" s="297" t="s">
        <v>124</v>
      </c>
      <c r="PAH232" s="297" t="s">
        <v>124</v>
      </c>
      <c r="PAI232" s="297" t="s">
        <v>124</v>
      </c>
      <c r="PAJ232" s="297" t="s">
        <v>124</v>
      </c>
      <c r="PAK232" s="297" t="s">
        <v>124</v>
      </c>
      <c r="PAL232" s="297" t="s">
        <v>124</v>
      </c>
      <c r="PAM232" s="297" t="s">
        <v>124</v>
      </c>
      <c r="PAN232" s="297" t="s">
        <v>124</v>
      </c>
      <c r="PAO232" s="297" t="s">
        <v>124</v>
      </c>
      <c r="PAP232" s="297" t="s">
        <v>124</v>
      </c>
      <c r="PAQ232" s="297" t="s">
        <v>124</v>
      </c>
      <c r="PAR232" s="297" t="s">
        <v>124</v>
      </c>
      <c r="PAS232" s="297" t="s">
        <v>124</v>
      </c>
      <c r="PAT232" s="297" t="s">
        <v>124</v>
      </c>
      <c r="PAU232" s="297" t="s">
        <v>124</v>
      </c>
      <c r="PAV232" s="297" t="s">
        <v>124</v>
      </c>
      <c r="PAW232" s="297" t="s">
        <v>124</v>
      </c>
      <c r="PAX232" s="297" t="s">
        <v>124</v>
      </c>
      <c r="PAY232" s="297" t="s">
        <v>124</v>
      </c>
      <c r="PAZ232" s="297" t="s">
        <v>124</v>
      </c>
      <c r="PBA232" s="297" t="s">
        <v>124</v>
      </c>
      <c r="PBB232" s="297" t="s">
        <v>124</v>
      </c>
      <c r="PBC232" s="297" t="s">
        <v>124</v>
      </c>
      <c r="PBD232" s="297" t="s">
        <v>124</v>
      </c>
      <c r="PBE232" s="297" t="s">
        <v>124</v>
      </c>
      <c r="PBF232" s="297" t="s">
        <v>124</v>
      </c>
      <c r="PBG232" s="297" t="s">
        <v>124</v>
      </c>
      <c r="PBH232" s="297" t="s">
        <v>124</v>
      </c>
      <c r="PBI232" s="297" t="s">
        <v>124</v>
      </c>
      <c r="PBJ232" s="297" t="s">
        <v>124</v>
      </c>
      <c r="PBK232" s="297" t="s">
        <v>124</v>
      </c>
      <c r="PBL232" s="297" t="s">
        <v>124</v>
      </c>
      <c r="PBM232" s="297" t="s">
        <v>124</v>
      </c>
      <c r="PBN232" s="297" t="s">
        <v>124</v>
      </c>
      <c r="PBO232" s="297" t="s">
        <v>124</v>
      </c>
      <c r="PBP232" s="297" t="s">
        <v>124</v>
      </c>
      <c r="PBQ232" s="297" t="s">
        <v>124</v>
      </c>
      <c r="PBR232" s="297" t="s">
        <v>124</v>
      </c>
      <c r="PBS232" s="297" t="s">
        <v>124</v>
      </c>
      <c r="PBT232" s="297" t="s">
        <v>124</v>
      </c>
      <c r="PBU232" s="297" t="s">
        <v>124</v>
      </c>
      <c r="PBV232" s="297" t="s">
        <v>124</v>
      </c>
      <c r="PBW232" s="297" t="s">
        <v>124</v>
      </c>
      <c r="PBX232" s="297" t="s">
        <v>124</v>
      </c>
      <c r="PBY232" s="297" t="s">
        <v>124</v>
      </c>
      <c r="PBZ232" s="297" t="s">
        <v>124</v>
      </c>
      <c r="PCA232" s="297" t="s">
        <v>124</v>
      </c>
      <c r="PCB232" s="297" t="s">
        <v>124</v>
      </c>
      <c r="PCC232" s="297" t="s">
        <v>124</v>
      </c>
      <c r="PCD232" s="297" t="s">
        <v>124</v>
      </c>
      <c r="PCE232" s="297" t="s">
        <v>124</v>
      </c>
      <c r="PCF232" s="297" t="s">
        <v>124</v>
      </c>
      <c r="PCG232" s="297" t="s">
        <v>124</v>
      </c>
      <c r="PCH232" s="297" t="s">
        <v>124</v>
      </c>
      <c r="PCI232" s="297" t="s">
        <v>124</v>
      </c>
      <c r="PCJ232" s="297" t="s">
        <v>124</v>
      </c>
      <c r="PCK232" s="297" t="s">
        <v>124</v>
      </c>
      <c r="PCL232" s="297" t="s">
        <v>124</v>
      </c>
      <c r="PCM232" s="297" t="s">
        <v>124</v>
      </c>
      <c r="PCN232" s="297" t="s">
        <v>124</v>
      </c>
      <c r="PCO232" s="297" t="s">
        <v>124</v>
      </c>
      <c r="PCP232" s="297" t="s">
        <v>124</v>
      </c>
      <c r="PCQ232" s="297" t="s">
        <v>124</v>
      </c>
      <c r="PCR232" s="297" t="s">
        <v>124</v>
      </c>
      <c r="PCS232" s="297" t="s">
        <v>124</v>
      </c>
      <c r="PCT232" s="297" t="s">
        <v>124</v>
      </c>
      <c r="PCU232" s="297" t="s">
        <v>124</v>
      </c>
      <c r="PCV232" s="297" t="s">
        <v>124</v>
      </c>
      <c r="PCW232" s="297" t="s">
        <v>124</v>
      </c>
      <c r="PCX232" s="297" t="s">
        <v>124</v>
      </c>
      <c r="PCY232" s="297" t="s">
        <v>124</v>
      </c>
      <c r="PCZ232" s="297" t="s">
        <v>124</v>
      </c>
      <c r="PDA232" s="297" t="s">
        <v>124</v>
      </c>
      <c r="PDB232" s="297" t="s">
        <v>124</v>
      </c>
      <c r="PDC232" s="297" t="s">
        <v>124</v>
      </c>
      <c r="PDD232" s="297" t="s">
        <v>124</v>
      </c>
      <c r="PDE232" s="297" t="s">
        <v>124</v>
      </c>
      <c r="PDF232" s="297" t="s">
        <v>124</v>
      </c>
      <c r="PDG232" s="297" t="s">
        <v>124</v>
      </c>
      <c r="PDH232" s="297" t="s">
        <v>124</v>
      </c>
      <c r="PDI232" s="297" t="s">
        <v>124</v>
      </c>
      <c r="PDJ232" s="297" t="s">
        <v>124</v>
      </c>
      <c r="PDK232" s="297" t="s">
        <v>124</v>
      </c>
      <c r="PDL232" s="297" t="s">
        <v>124</v>
      </c>
      <c r="PDM232" s="297" t="s">
        <v>124</v>
      </c>
      <c r="PDN232" s="297" t="s">
        <v>124</v>
      </c>
      <c r="PDO232" s="297" t="s">
        <v>124</v>
      </c>
      <c r="PDP232" s="297" t="s">
        <v>124</v>
      </c>
      <c r="PDQ232" s="297" t="s">
        <v>124</v>
      </c>
      <c r="PDR232" s="297" t="s">
        <v>124</v>
      </c>
      <c r="PDS232" s="297" t="s">
        <v>124</v>
      </c>
      <c r="PDT232" s="297" t="s">
        <v>124</v>
      </c>
      <c r="PDU232" s="297" t="s">
        <v>124</v>
      </c>
      <c r="PDV232" s="297" t="s">
        <v>124</v>
      </c>
      <c r="PDW232" s="297" t="s">
        <v>124</v>
      </c>
      <c r="PDX232" s="297" t="s">
        <v>124</v>
      </c>
      <c r="PDY232" s="297" t="s">
        <v>124</v>
      </c>
      <c r="PDZ232" s="297" t="s">
        <v>124</v>
      </c>
      <c r="PEA232" s="297" t="s">
        <v>124</v>
      </c>
      <c r="PEB232" s="297" t="s">
        <v>124</v>
      </c>
      <c r="PEC232" s="297" t="s">
        <v>124</v>
      </c>
      <c r="PED232" s="297" t="s">
        <v>124</v>
      </c>
      <c r="PEE232" s="297" t="s">
        <v>124</v>
      </c>
      <c r="PEF232" s="297" t="s">
        <v>124</v>
      </c>
      <c r="PEG232" s="297" t="s">
        <v>124</v>
      </c>
      <c r="PEH232" s="297" t="s">
        <v>124</v>
      </c>
      <c r="PEI232" s="297" t="s">
        <v>124</v>
      </c>
      <c r="PEJ232" s="297" t="s">
        <v>124</v>
      </c>
      <c r="PEK232" s="297" t="s">
        <v>124</v>
      </c>
      <c r="PEL232" s="297" t="s">
        <v>124</v>
      </c>
      <c r="PEM232" s="297" t="s">
        <v>124</v>
      </c>
      <c r="PEN232" s="297" t="s">
        <v>124</v>
      </c>
      <c r="PEO232" s="297" t="s">
        <v>124</v>
      </c>
      <c r="PEP232" s="297" t="s">
        <v>124</v>
      </c>
      <c r="PEQ232" s="297" t="s">
        <v>124</v>
      </c>
      <c r="PER232" s="297" t="s">
        <v>124</v>
      </c>
      <c r="PES232" s="297" t="s">
        <v>124</v>
      </c>
      <c r="PET232" s="297" t="s">
        <v>124</v>
      </c>
      <c r="PEU232" s="297" t="s">
        <v>124</v>
      </c>
      <c r="PEV232" s="297" t="s">
        <v>124</v>
      </c>
      <c r="PEW232" s="297" t="s">
        <v>124</v>
      </c>
      <c r="PEX232" s="297" t="s">
        <v>124</v>
      </c>
      <c r="PEY232" s="297" t="s">
        <v>124</v>
      </c>
      <c r="PEZ232" s="297" t="s">
        <v>124</v>
      </c>
      <c r="PFA232" s="297" t="s">
        <v>124</v>
      </c>
      <c r="PFB232" s="297" t="s">
        <v>124</v>
      </c>
      <c r="PFC232" s="297" t="s">
        <v>124</v>
      </c>
      <c r="PFD232" s="297" t="s">
        <v>124</v>
      </c>
      <c r="PFE232" s="297" t="s">
        <v>124</v>
      </c>
      <c r="PFF232" s="297" t="s">
        <v>124</v>
      </c>
      <c r="PFG232" s="297" t="s">
        <v>124</v>
      </c>
      <c r="PFH232" s="297" t="s">
        <v>124</v>
      </c>
      <c r="PFI232" s="297" t="s">
        <v>124</v>
      </c>
      <c r="PFJ232" s="297" t="s">
        <v>124</v>
      </c>
      <c r="PFK232" s="297" t="s">
        <v>124</v>
      </c>
      <c r="PFL232" s="297" t="s">
        <v>124</v>
      </c>
      <c r="PFM232" s="297" t="s">
        <v>124</v>
      </c>
      <c r="PFN232" s="297" t="s">
        <v>124</v>
      </c>
      <c r="PFO232" s="297" t="s">
        <v>124</v>
      </c>
      <c r="PFP232" s="297" t="s">
        <v>124</v>
      </c>
      <c r="PFQ232" s="297" t="s">
        <v>124</v>
      </c>
      <c r="PFR232" s="297" t="s">
        <v>124</v>
      </c>
      <c r="PFS232" s="297" t="s">
        <v>124</v>
      </c>
      <c r="PFT232" s="297" t="s">
        <v>124</v>
      </c>
      <c r="PFU232" s="297" t="s">
        <v>124</v>
      </c>
      <c r="PFV232" s="297" t="s">
        <v>124</v>
      </c>
      <c r="PFW232" s="297" t="s">
        <v>124</v>
      </c>
      <c r="PFX232" s="297" t="s">
        <v>124</v>
      </c>
      <c r="PFY232" s="297" t="s">
        <v>124</v>
      </c>
      <c r="PFZ232" s="297" t="s">
        <v>124</v>
      </c>
      <c r="PGA232" s="297" t="s">
        <v>124</v>
      </c>
      <c r="PGB232" s="297" t="s">
        <v>124</v>
      </c>
      <c r="PGC232" s="297" t="s">
        <v>124</v>
      </c>
      <c r="PGD232" s="297" t="s">
        <v>124</v>
      </c>
      <c r="PGE232" s="297" t="s">
        <v>124</v>
      </c>
      <c r="PGF232" s="297" t="s">
        <v>124</v>
      </c>
      <c r="PGG232" s="297" t="s">
        <v>124</v>
      </c>
      <c r="PGH232" s="297" t="s">
        <v>124</v>
      </c>
      <c r="PGI232" s="297" t="s">
        <v>124</v>
      </c>
      <c r="PGJ232" s="297" t="s">
        <v>124</v>
      </c>
      <c r="PGK232" s="297" t="s">
        <v>124</v>
      </c>
      <c r="PGL232" s="297" t="s">
        <v>124</v>
      </c>
      <c r="PGM232" s="297" t="s">
        <v>124</v>
      </c>
      <c r="PGN232" s="297" t="s">
        <v>124</v>
      </c>
      <c r="PGO232" s="297" t="s">
        <v>124</v>
      </c>
      <c r="PGP232" s="297" t="s">
        <v>124</v>
      </c>
      <c r="PGQ232" s="297" t="s">
        <v>124</v>
      </c>
      <c r="PGR232" s="297" t="s">
        <v>124</v>
      </c>
      <c r="PGS232" s="297" t="s">
        <v>124</v>
      </c>
      <c r="PGT232" s="297" t="s">
        <v>124</v>
      </c>
      <c r="PGU232" s="297" t="s">
        <v>124</v>
      </c>
      <c r="PGV232" s="297" t="s">
        <v>124</v>
      </c>
      <c r="PGW232" s="297" t="s">
        <v>124</v>
      </c>
      <c r="PGX232" s="297" t="s">
        <v>124</v>
      </c>
      <c r="PGY232" s="297" t="s">
        <v>124</v>
      </c>
      <c r="PGZ232" s="297" t="s">
        <v>124</v>
      </c>
      <c r="PHA232" s="297" t="s">
        <v>124</v>
      </c>
      <c r="PHB232" s="297" t="s">
        <v>124</v>
      </c>
      <c r="PHC232" s="297" t="s">
        <v>124</v>
      </c>
      <c r="PHD232" s="297" t="s">
        <v>124</v>
      </c>
      <c r="PHE232" s="297" t="s">
        <v>124</v>
      </c>
      <c r="PHF232" s="297" t="s">
        <v>124</v>
      </c>
      <c r="PHG232" s="297" t="s">
        <v>124</v>
      </c>
      <c r="PHH232" s="297" t="s">
        <v>124</v>
      </c>
      <c r="PHI232" s="297" t="s">
        <v>124</v>
      </c>
      <c r="PHJ232" s="297" t="s">
        <v>124</v>
      </c>
      <c r="PHK232" s="297" t="s">
        <v>124</v>
      </c>
      <c r="PHL232" s="297" t="s">
        <v>124</v>
      </c>
      <c r="PHM232" s="297" t="s">
        <v>124</v>
      </c>
      <c r="PHN232" s="297" t="s">
        <v>124</v>
      </c>
      <c r="PHO232" s="297" t="s">
        <v>124</v>
      </c>
      <c r="PHP232" s="297" t="s">
        <v>124</v>
      </c>
      <c r="PHQ232" s="297" t="s">
        <v>124</v>
      </c>
      <c r="PHR232" s="297" t="s">
        <v>124</v>
      </c>
      <c r="PHS232" s="297" t="s">
        <v>124</v>
      </c>
      <c r="PHT232" s="297" t="s">
        <v>124</v>
      </c>
      <c r="PHU232" s="297" t="s">
        <v>124</v>
      </c>
      <c r="PHV232" s="297" t="s">
        <v>124</v>
      </c>
      <c r="PHW232" s="297" t="s">
        <v>124</v>
      </c>
      <c r="PHX232" s="297" t="s">
        <v>124</v>
      </c>
      <c r="PHY232" s="297" t="s">
        <v>124</v>
      </c>
      <c r="PHZ232" s="297" t="s">
        <v>124</v>
      </c>
      <c r="PIA232" s="297" t="s">
        <v>124</v>
      </c>
      <c r="PIB232" s="297" t="s">
        <v>124</v>
      </c>
      <c r="PIC232" s="297" t="s">
        <v>124</v>
      </c>
      <c r="PID232" s="297" t="s">
        <v>124</v>
      </c>
      <c r="PIE232" s="297" t="s">
        <v>124</v>
      </c>
      <c r="PIF232" s="297" t="s">
        <v>124</v>
      </c>
      <c r="PIG232" s="297" t="s">
        <v>124</v>
      </c>
      <c r="PIH232" s="297" t="s">
        <v>124</v>
      </c>
      <c r="PII232" s="297" t="s">
        <v>124</v>
      </c>
      <c r="PIJ232" s="297" t="s">
        <v>124</v>
      </c>
      <c r="PIK232" s="297" t="s">
        <v>124</v>
      </c>
      <c r="PIL232" s="297" t="s">
        <v>124</v>
      </c>
      <c r="PIM232" s="297" t="s">
        <v>124</v>
      </c>
      <c r="PIN232" s="297" t="s">
        <v>124</v>
      </c>
      <c r="PIO232" s="297" t="s">
        <v>124</v>
      </c>
      <c r="PIP232" s="297" t="s">
        <v>124</v>
      </c>
      <c r="PIQ232" s="297" t="s">
        <v>124</v>
      </c>
      <c r="PIR232" s="297" t="s">
        <v>124</v>
      </c>
      <c r="PIS232" s="297" t="s">
        <v>124</v>
      </c>
      <c r="PIT232" s="297" t="s">
        <v>124</v>
      </c>
      <c r="PIU232" s="297" t="s">
        <v>124</v>
      </c>
      <c r="PIV232" s="297" t="s">
        <v>124</v>
      </c>
      <c r="PIW232" s="297" t="s">
        <v>124</v>
      </c>
      <c r="PIX232" s="297" t="s">
        <v>124</v>
      </c>
      <c r="PIY232" s="297" t="s">
        <v>124</v>
      </c>
      <c r="PIZ232" s="297" t="s">
        <v>124</v>
      </c>
      <c r="PJA232" s="297" t="s">
        <v>124</v>
      </c>
      <c r="PJB232" s="297" t="s">
        <v>124</v>
      </c>
      <c r="PJC232" s="297" t="s">
        <v>124</v>
      </c>
      <c r="PJD232" s="297" t="s">
        <v>124</v>
      </c>
      <c r="PJE232" s="297" t="s">
        <v>124</v>
      </c>
      <c r="PJF232" s="297" t="s">
        <v>124</v>
      </c>
      <c r="PJG232" s="297" t="s">
        <v>124</v>
      </c>
      <c r="PJH232" s="297" t="s">
        <v>124</v>
      </c>
      <c r="PJI232" s="297" t="s">
        <v>124</v>
      </c>
      <c r="PJJ232" s="297" t="s">
        <v>124</v>
      </c>
      <c r="PJK232" s="297" t="s">
        <v>124</v>
      </c>
      <c r="PJL232" s="297" t="s">
        <v>124</v>
      </c>
      <c r="PJM232" s="297" t="s">
        <v>124</v>
      </c>
      <c r="PJN232" s="297" t="s">
        <v>124</v>
      </c>
      <c r="PJO232" s="297" t="s">
        <v>124</v>
      </c>
      <c r="PJP232" s="297" t="s">
        <v>124</v>
      </c>
      <c r="PJQ232" s="297" t="s">
        <v>124</v>
      </c>
      <c r="PJR232" s="297" t="s">
        <v>124</v>
      </c>
      <c r="PJS232" s="297" t="s">
        <v>124</v>
      </c>
      <c r="PJT232" s="297" t="s">
        <v>124</v>
      </c>
      <c r="PJU232" s="297" t="s">
        <v>124</v>
      </c>
      <c r="PJV232" s="297" t="s">
        <v>124</v>
      </c>
      <c r="PJW232" s="297" t="s">
        <v>124</v>
      </c>
      <c r="PJX232" s="297" t="s">
        <v>124</v>
      </c>
      <c r="PJY232" s="297" t="s">
        <v>124</v>
      </c>
      <c r="PJZ232" s="297" t="s">
        <v>124</v>
      </c>
      <c r="PKA232" s="297" t="s">
        <v>124</v>
      </c>
      <c r="PKB232" s="297" t="s">
        <v>124</v>
      </c>
      <c r="PKC232" s="297" t="s">
        <v>124</v>
      </c>
      <c r="PKD232" s="297" t="s">
        <v>124</v>
      </c>
      <c r="PKE232" s="297" t="s">
        <v>124</v>
      </c>
      <c r="PKF232" s="297" t="s">
        <v>124</v>
      </c>
      <c r="PKG232" s="297" t="s">
        <v>124</v>
      </c>
      <c r="PKH232" s="297" t="s">
        <v>124</v>
      </c>
      <c r="PKI232" s="297" t="s">
        <v>124</v>
      </c>
      <c r="PKJ232" s="297" t="s">
        <v>124</v>
      </c>
      <c r="PKK232" s="297" t="s">
        <v>124</v>
      </c>
      <c r="PKL232" s="297" t="s">
        <v>124</v>
      </c>
      <c r="PKM232" s="297" t="s">
        <v>124</v>
      </c>
      <c r="PKN232" s="297" t="s">
        <v>124</v>
      </c>
      <c r="PKO232" s="297" t="s">
        <v>124</v>
      </c>
      <c r="PKP232" s="297" t="s">
        <v>124</v>
      </c>
      <c r="PKQ232" s="297" t="s">
        <v>124</v>
      </c>
      <c r="PKR232" s="297" t="s">
        <v>124</v>
      </c>
      <c r="PKS232" s="297" t="s">
        <v>124</v>
      </c>
      <c r="PKT232" s="297" t="s">
        <v>124</v>
      </c>
      <c r="PKU232" s="297" t="s">
        <v>124</v>
      </c>
      <c r="PKV232" s="297" t="s">
        <v>124</v>
      </c>
      <c r="PKW232" s="297" t="s">
        <v>124</v>
      </c>
      <c r="PKX232" s="297" t="s">
        <v>124</v>
      </c>
      <c r="PKY232" s="297" t="s">
        <v>124</v>
      </c>
      <c r="PKZ232" s="297" t="s">
        <v>124</v>
      </c>
      <c r="PLA232" s="297" t="s">
        <v>124</v>
      </c>
      <c r="PLB232" s="297" t="s">
        <v>124</v>
      </c>
      <c r="PLC232" s="297" t="s">
        <v>124</v>
      </c>
      <c r="PLD232" s="297" t="s">
        <v>124</v>
      </c>
      <c r="PLE232" s="297" t="s">
        <v>124</v>
      </c>
      <c r="PLF232" s="297" t="s">
        <v>124</v>
      </c>
      <c r="PLG232" s="297" t="s">
        <v>124</v>
      </c>
      <c r="PLH232" s="297" t="s">
        <v>124</v>
      </c>
      <c r="PLI232" s="297" t="s">
        <v>124</v>
      </c>
      <c r="PLJ232" s="297" t="s">
        <v>124</v>
      </c>
      <c r="PLK232" s="297" t="s">
        <v>124</v>
      </c>
      <c r="PLL232" s="297" t="s">
        <v>124</v>
      </c>
      <c r="PLM232" s="297" t="s">
        <v>124</v>
      </c>
      <c r="PLN232" s="297" t="s">
        <v>124</v>
      </c>
      <c r="PLO232" s="297" t="s">
        <v>124</v>
      </c>
      <c r="PLP232" s="297" t="s">
        <v>124</v>
      </c>
      <c r="PLQ232" s="297" t="s">
        <v>124</v>
      </c>
      <c r="PLR232" s="297" t="s">
        <v>124</v>
      </c>
      <c r="PLS232" s="297" t="s">
        <v>124</v>
      </c>
      <c r="PLT232" s="297" t="s">
        <v>124</v>
      </c>
      <c r="PLU232" s="297" t="s">
        <v>124</v>
      </c>
      <c r="PLV232" s="297" t="s">
        <v>124</v>
      </c>
      <c r="PLW232" s="297" t="s">
        <v>124</v>
      </c>
      <c r="PLX232" s="297" t="s">
        <v>124</v>
      </c>
      <c r="PLY232" s="297" t="s">
        <v>124</v>
      </c>
      <c r="PLZ232" s="297" t="s">
        <v>124</v>
      </c>
      <c r="PMA232" s="297" t="s">
        <v>124</v>
      </c>
      <c r="PMB232" s="297" t="s">
        <v>124</v>
      </c>
      <c r="PMC232" s="297" t="s">
        <v>124</v>
      </c>
      <c r="PMD232" s="297" t="s">
        <v>124</v>
      </c>
      <c r="PME232" s="297" t="s">
        <v>124</v>
      </c>
      <c r="PMF232" s="297" t="s">
        <v>124</v>
      </c>
      <c r="PMG232" s="297" t="s">
        <v>124</v>
      </c>
      <c r="PMH232" s="297" t="s">
        <v>124</v>
      </c>
      <c r="PMI232" s="297" t="s">
        <v>124</v>
      </c>
      <c r="PMJ232" s="297" t="s">
        <v>124</v>
      </c>
      <c r="PMK232" s="297" t="s">
        <v>124</v>
      </c>
      <c r="PML232" s="297" t="s">
        <v>124</v>
      </c>
      <c r="PMM232" s="297" t="s">
        <v>124</v>
      </c>
      <c r="PMN232" s="297" t="s">
        <v>124</v>
      </c>
      <c r="PMO232" s="297" t="s">
        <v>124</v>
      </c>
      <c r="PMP232" s="297" t="s">
        <v>124</v>
      </c>
      <c r="PMQ232" s="297" t="s">
        <v>124</v>
      </c>
      <c r="PMR232" s="297" t="s">
        <v>124</v>
      </c>
      <c r="PMS232" s="297" t="s">
        <v>124</v>
      </c>
      <c r="PMT232" s="297" t="s">
        <v>124</v>
      </c>
      <c r="PMU232" s="297" t="s">
        <v>124</v>
      </c>
      <c r="PMV232" s="297" t="s">
        <v>124</v>
      </c>
      <c r="PMW232" s="297" t="s">
        <v>124</v>
      </c>
      <c r="PMX232" s="297" t="s">
        <v>124</v>
      </c>
      <c r="PMY232" s="297" t="s">
        <v>124</v>
      </c>
      <c r="PMZ232" s="297" t="s">
        <v>124</v>
      </c>
      <c r="PNA232" s="297" t="s">
        <v>124</v>
      </c>
      <c r="PNB232" s="297" t="s">
        <v>124</v>
      </c>
      <c r="PNC232" s="297" t="s">
        <v>124</v>
      </c>
      <c r="PND232" s="297" t="s">
        <v>124</v>
      </c>
      <c r="PNE232" s="297" t="s">
        <v>124</v>
      </c>
      <c r="PNF232" s="297" t="s">
        <v>124</v>
      </c>
      <c r="PNG232" s="297" t="s">
        <v>124</v>
      </c>
      <c r="PNH232" s="297" t="s">
        <v>124</v>
      </c>
      <c r="PNI232" s="297" t="s">
        <v>124</v>
      </c>
      <c r="PNJ232" s="297" t="s">
        <v>124</v>
      </c>
      <c r="PNK232" s="297" t="s">
        <v>124</v>
      </c>
      <c r="PNL232" s="297" t="s">
        <v>124</v>
      </c>
      <c r="PNM232" s="297" t="s">
        <v>124</v>
      </c>
      <c r="PNN232" s="297" t="s">
        <v>124</v>
      </c>
      <c r="PNO232" s="297" t="s">
        <v>124</v>
      </c>
      <c r="PNP232" s="297" t="s">
        <v>124</v>
      </c>
      <c r="PNQ232" s="297" t="s">
        <v>124</v>
      </c>
      <c r="PNR232" s="297" t="s">
        <v>124</v>
      </c>
      <c r="PNS232" s="297" t="s">
        <v>124</v>
      </c>
      <c r="PNT232" s="297" t="s">
        <v>124</v>
      </c>
      <c r="PNU232" s="297" t="s">
        <v>124</v>
      </c>
      <c r="PNV232" s="297" t="s">
        <v>124</v>
      </c>
      <c r="PNW232" s="297" t="s">
        <v>124</v>
      </c>
      <c r="PNX232" s="297" t="s">
        <v>124</v>
      </c>
      <c r="PNY232" s="297" t="s">
        <v>124</v>
      </c>
      <c r="PNZ232" s="297" t="s">
        <v>124</v>
      </c>
      <c r="POA232" s="297" t="s">
        <v>124</v>
      </c>
      <c r="POB232" s="297" t="s">
        <v>124</v>
      </c>
      <c r="POC232" s="297" t="s">
        <v>124</v>
      </c>
      <c r="POD232" s="297" t="s">
        <v>124</v>
      </c>
      <c r="POE232" s="297" t="s">
        <v>124</v>
      </c>
      <c r="POF232" s="297" t="s">
        <v>124</v>
      </c>
      <c r="POG232" s="297" t="s">
        <v>124</v>
      </c>
      <c r="POH232" s="297" t="s">
        <v>124</v>
      </c>
      <c r="POI232" s="297" t="s">
        <v>124</v>
      </c>
      <c r="POJ232" s="297" t="s">
        <v>124</v>
      </c>
      <c r="POK232" s="297" t="s">
        <v>124</v>
      </c>
      <c r="POL232" s="297" t="s">
        <v>124</v>
      </c>
      <c r="POM232" s="297" t="s">
        <v>124</v>
      </c>
      <c r="PON232" s="297" t="s">
        <v>124</v>
      </c>
      <c r="POO232" s="297" t="s">
        <v>124</v>
      </c>
      <c r="POP232" s="297" t="s">
        <v>124</v>
      </c>
      <c r="POQ232" s="297" t="s">
        <v>124</v>
      </c>
      <c r="POR232" s="297" t="s">
        <v>124</v>
      </c>
      <c r="POS232" s="297" t="s">
        <v>124</v>
      </c>
      <c r="POT232" s="297" t="s">
        <v>124</v>
      </c>
      <c r="POU232" s="297" t="s">
        <v>124</v>
      </c>
      <c r="POV232" s="297" t="s">
        <v>124</v>
      </c>
      <c r="POW232" s="297" t="s">
        <v>124</v>
      </c>
      <c r="POX232" s="297" t="s">
        <v>124</v>
      </c>
      <c r="POY232" s="297" t="s">
        <v>124</v>
      </c>
      <c r="POZ232" s="297" t="s">
        <v>124</v>
      </c>
      <c r="PPA232" s="297" t="s">
        <v>124</v>
      </c>
      <c r="PPB232" s="297" t="s">
        <v>124</v>
      </c>
      <c r="PPC232" s="297" t="s">
        <v>124</v>
      </c>
      <c r="PPD232" s="297" t="s">
        <v>124</v>
      </c>
      <c r="PPE232" s="297" t="s">
        <v>124</v>
      </c>
      <c r="PPF232" s="297" t="s">
        <v>124</v>
      </c>
      <c r="PPG232" s="297" t="s">
        <v>124</v>
      </c>
      <c r="PPH232" s="297" t="s">
        <v>124</v>
      </c>
      <c r="PPI232" s="297" t="s">
        <v>124</v>
      </c>
      <c r="PPJ232" s="297" t="s">
        <v>124</v>
      </c>
      <c r="PPK232" s="297" t="s">
        <v>124</v>
      </c>
      <c r="PPL232" s="297" t="s">
        <v>124</v>
      </c>
      <c r="PPM232" s="297" t="s">
        <v>124</v>
      </c>
      <c r="PPN232" s="297" t="s">
        <v>124</v>
      </c>
      <c r="PPO232" s="297" t="s">
        <v>124</v>
      </c>
      <c r="PPP232" s="297" t="s">
        <v>124</v>
      </c>
      <c r="PPQ232" s="297" t="s">
        <v>124</v>
      </c>
      <c r="PPR232" s="297" t="s">
        <v>124</v>
      </c>
      <c r="PPS232" s="297" t="s">
        <v>124</v>
      </c>
      <c r="PPT232" s="297" t="s">
        <v>124</v>
      </c>
      <c r="PPU232" s="297" t="s">
        <v>124</v>
      </c>
      <c r="PPV232" s="297" t="s">
        <v>124</v>
      </c>
      <c r="PPW232" s="297" t="s">
        <v>124</v>
      </c>
      <c r="PPX232" s="297" t="s">
        <v>124</v>
      </c>
      <c r="PPY232" s="297" t="s">
        <v>124</v>
      </c>
      <c r="PPZ232" s="297" t="s">
        <v>124</v>
      </c>
      <c r="PQA232" s="297" t="s">
        <v>124</v>
      </c>
      <c r="PQB232" s="297" t="s">
        <v>124</v>
      </c>
      <c r="PQC232" s="297" t="s">
        <v>124</v>
      </c>
      <c r="PQD232" s="297" t="s">
        <v>124</v>
      </c>
      <c r="PQE232" s="297" t="s">
        <v>124</v>
      </c>
      <c r="PQF232" s="297" t="s">
        <v>124</v>
      </c>
      <c r="PQG232" s="297" t="s">
        <v>124</v>
      </c>
      <c r="PQH232" s="297" t="s">
        <v>124</v>
      </c>
      <c r="PQI232" s="297" t="s">
        <v>124</v>
      </c>
      <c r="PQJ232" s="297" t="s">
        <v>124</v>
      </c>
      <c r="PQK232" s="297" t="s">
        <v>124</v>
      </c>
      <c r="PQL232" s="297" t="s">
        <v>124</v>
      </c>
      <c r="PQM232" s="297" t="s">
        <v>124</v>
      </c>
      <c r="PQN232" s="297" t="s">
        <v>124</v>
      </c>
      <c r="PQO232" s="297" t="s">
        <v>124</v>
      </c>
      <c r="PQP232" s="297" t="s">
        <v>124</v>
      </c>
      <c r="PQQ232" s="297" t="s">
        <v>124</v>
      </c>
      <c r="PQR232" s="297" t="s">
        <v>124</v>
      </c>
      <c r="PQS232" s="297" t="s">
        <v>124</v>
      </c>
      <c r="PQT232" s="297" t="s">
        <v>124</v>
      </c>
      <c r="PQU232" s="297" t="s">
        <v>124</v>
      </c>
      <c r="PQV232" s="297" t="s">
        <v>124</v>
      </c>
      <c r="PQW232" s="297" t="s">
        <v>124</v>
      </c>
      <c r="PQX232" s="297" t="s">
        <v>124</v>
      </c>
      <c r="PQY232" s="297" t="s">
        <v>124</v>
      </c>
      <c r="PQZ232" s="297" t="s">
        <v>124</v>
      </c>
      <c r="PRA232" s="297" t="s">
        <v>124</v>
      </c>
      <c r="PRB232" s="297" t="s">
        <v>124</v>
      </c>
      <c r="PRC232" s="297" t="s">
        <v>124</v>
      </c>
      <c r="PRD232" s="297" t="s">
        <v>124</v>
      </c>
      <c r="PRE232" s="297" t="s">
        <v>124</v>
      </c>
      <c r="PRF232" s="297" t="s">
        <v>124</v>
      </c>
      <c r="PRG232" s="297" t="s">
        <v>124</v>
      </c>
      <c r="PRH232" s="297" t="s">
        <v>124</v>
      </c>
      <c r="PRI232" s="297" t="s">
        <v>124</v>
      </c>
      <c r="PRJ232" s="297" t="s">
        <v>124</v>
      </c>
      <c r="PRK232" s="297" t="s">
        <v>124</v>
      </c>
      <c r="PRL232" s="297" t="s">
        <v>124</v>
      </c>
      <c r="PRM232" s="297" t="s">
        <v>124</v>
      </c>
      <c r="PRN232" s="297" t="s">
        <v>124</v>
      </c>
      <c r="PRO232" s="297" t="s">
        <v>124</v>
      </c>
      <c r="PRP232" s="297" t="s">
        <v>124</v>
      </c>
      <c r="PRQ232" s="297" t="s">
        <v>124</v>
      </c>
      <c r="PRR232" s="297" t="s">
        <v>124</v>
      </c>
      <c r="PRS232" s="297" t="s">
        <v>124</v>
      </c>
      <c r="PRT232" s="297" t="s">
        <v>124</v>
      </c>
      <c r="PRU232" s="297" t="s">
        <v>124</v>
      </c>
      <c r="PRV232" s="297" t="s">
        <v>124</v>
      </c>
      <c r="PRW232" s="297" t="s">
        <v>124</v>
      </c>
      <c r="PRX232" s="297" t="s">
        <v>124</v>
      </c>
      <c r="PRY232" s="297" t="s">
        <v>124</v>
      </c>
      <c r="PRZ232" s="297" t="s">
        <v>124</v>
      </c>
      <c r="PSA232" s="297" t="s">
        <v>124</v>
      </c>
      <c r="PSB232" s="297" t="s">
        <v>124</v>
      </c>
      <c r="PSC232" s="297" t="s">
        <v>124</v>
      </c>
      <c r="PSD232" s="297" t="s">
        <v>124</v>
      </c>
      <c r="PSE232" s="297" t="s">
        <v>124</v>
      </c>
      <c r="PSF232" s="297" t="s">
        <v>124</v>
      </c>
      <c r="PSG232" s="297" t="s">
        <v>124</v>
      </c>
      <c r="PSH232" s="297" t="s">
        <v>124</v>
      </c>
      <c r="PSI232" s="297" t="s">
        <v>124</v>
      </c>
      <c r="PSJ232" s="297" t="s">
        <v>124</v>
      </c>
      <c r="PSK232" s="297" t="s">
        <v>124</v>
      </c>
      <c r="PSL232" s="297" t="s">
        <v>124</v>
      </c>
      <c r="PSM232" s="297" t="s">
        <v>124</v>
      </c>
      <c r="PSN232" s="297" t="s">
        <v>124</v>
      </c>
      <c r="PSO232" s="297" t="s">
        <v>124</v>
      </c>
      <c r="PSP232" s="297" t="s">
        <v>124</v>
      </c>
      <c r="PSQ232" s="297" t="s">
        <v>124</v>
      </c>
      <c r="PSR232" s="297" t="s">
        <v>124</v>
      </c>
      <c r="PSS232" s="297" t="s">
        <v>124</v>
      </c>
      <c r="PST232" s="297" t="s">
        <v>124</v>
      </c>
      <c r="PSU232" s="297" t="s">
        <v>124</v>
      </c>
      <c r="PSV232" s="297" t="s">
        <v>124</v>
      </c>
      <c r="PSW232" s="297" t="s">
        <v>124</v>
      </c>
      <c r="PSX232" s="297" t="s">
        <v>124</v>
      </c>
      <c r="PSY232" s="297" t="s">
        <v>124</v>
      </c>
      <c r="PSZ232" s="297" t="s">
        <v>124</v>
      </c>
      <c r="PTA232" s="297" t="s">
        <v>124</v>
      </c>
      <c r="PTB232" s="297" t="s">
        <v>124</v>
      </c>
      <c r="PTC232" s="297" t="s">
        <v>124</v>
      </c>
      <c r="PTD232" s="297" t="s">
        <v>124</v>
      </c>
      <c r="PTE232" s="297" t="s">
        <v>124</v>
      </c>
      <c r="PTF232" s="297" t="s">
        <v>124</v>
      </c>
      <c r="PTG232" s="297" t="s">
        <v>124</v>
      </c>
      <c r="PTH232" s="297" t="s">
        <v>124</v>
      </c>
      <c r="PTI232" s="297" t="s">
        <v>124</v>
      </c>
      <c r="PTJ232" s="297" t="s">
        <v>124</v>
      </c>
      <c r="PTK232" s="297" t="s">
        <v>124</v>
      </c>
      <c r="PTL232" s="297" t="s">
        <v>124</v>
      </c>
      <c r="PTM232" s="297" t="s">
        <v>124</v>
      </c>
      <c r="PTN232" s="297" t="s">
        <v>124</v>
      </c>
      <c r="PTO232" s="297" t="s">
        <v>124</v>
      </c>
      <c r="PTP232" s="297" t="s">
        <v>124</v>
      </c>
      <c r="PTQ232" s="297" t="s">
        <v>124</v>
      </c>
      <c r="PTR232" s="297" t="s">
        <v>124</v>
      </c>
      <c r="PTS232" s="297" t="s">
        <v>124</v>
      </c>
      <c r="PTT232" s="297" t="s">
        <v>124</v>
      </c>
      <c r="PTU232" s="297" t="s">
        <v>124</v>
      </c>
      <c r="PTV232" s="297" t="s">
        <v>124</v>
      </c>
      <c r="PTW232" s="297" t="s">
        <v>124</v>
      </c>
      <c r="PTX232" s="297" t="s">
        <v>124</v>
      </c>
      <c r="PTY232" s="297" t="s">
        <v>124</v>
      </c>
      <c r="PTZ232" s="297" t="s">
        <v>124</v>
      </c>
      <c r="PUA232" s="297" t="s">
        <v>124</v>
      </c>
      <c r="PUB232" s="297" t="s">
        <v>124</v>
      </c>
      <c r="PUC232" s="297" t="s">
        <v>124</v>
      </c>
      <c r="PUD232" s="297" t="s">
        <v>124</v>
      </c>
      <c r="PUE232" s="297" t="s">
        <v>124</v>
      </c>
      <c r="PUF232" s="297" t="s">
        <v>124</v>
      </c>
      <c r="PUG232" s="297" t="s">
        <v>124</v>
      </c>
      <c r="PUH232" s="297" t="s">
        <v>124</v>
      </c>
      <c r="PUI232" s="297" t="s">
        <v>124</v>
      </c>
      <c r="PUJ232" s="297" t="s">
        <v>124</v>
      </c>
      <c r="PUK232" s="297" t="s">
        <v>124</v>
      </c>
      <c r="PUL232" s="297" t="s">
        <v>124</v>
      </c>
      <c r="PUM232" s="297" t="s">
        <v>124</v>
      </c>
      <c r="PUN232" s="297" t="s">
        <v>124</v>
      </c>
      <c r="PUO232" s="297" t="s">
        <v>124</v>
      </c>
      <c r="PUP232" s="297" t="s">
        <v>124</v>
      </c>
      <c r="PUQ232" s="297" t="s">
        <v>124</v>
      </c>
      <c r="PUR232" s="297" t="s">
        <v>124</v>
      </c>
      <c r="PUS232" s="297" t="s">
        <v>124</v>
      </c>
      <c r="PUT232" s="297" t="s">
        <v>124</v>
      </c>
      <c r="PUU232" s="297" t="s">
        <v>124</v>
      </c>
      <c r="PUV232" s="297" t="s">
        <v>124</v>
      </c>
      <c r="PUW232" s="297" t="s">
        <v>124</v>
      </c>
      <c r="PUX232" s="297" t="s">
        <v>124</v>
      </c>
      <c r="PUY232" s="297" t="s">
        <v>124</v>
      </c>
      <c r="PUZ232" s="297" t="s">
        <v>124</v>
      </c>
      <c r="PVA232" s="297" t="s">
        <v>124</v>
      </c>
      <c r="PVB232" s="297" t="s">
        <v>124</v>
      </c>
      <c r="PVC232" s="297" t="s">
        <v>124</v>
      </c>
      <c r="PVD232" s="297" t="s">
        <v>124</v>
      </c>
      <c r="PVE232" s="297" t="s">
        <v>124</v>
      </c>
      <c r="PVF232" s="297" t="s">
        <v>124</v>
      </c>
      <c r="PVG232" s="297" t="s">
        <v>124</v>
      </c>
      <c r="PVH232" s="297" t="s">
        <v>124</v>
      </c>
      <c r="PVI232" s="297" t="s">
        <v>124</v>
      </c>
      <c r="PVJ232" s="297" t="s">
        <v>124</v>
      </c>
      <c r="PVK232" s="297" t="s">
        <v>124</v>
      </c>
      <c r="PVL232" s="297" t="s">
        <v>124</v>
      </c>
      <c r="PVM232" s="297" t="s">
        <v>124</v>
      </c>
      <c r="PVN232" s="297" t="s">
        <v>124</v>
      </c>
      <c r="PVO232" s="297" t="s">
        <v>124</v>
      </c>
      <c r="PVP232" s="297" t="s">
        <v>124</v>
      </c>
      <c r="PVQ232" s="297" t="s">
        <v>124</v>
      </c>
      <c r="PVR232" s="297" t="s">
        <v>124</v>
      </c>
      <c r="PVS232" s="297" t="s">
        <v>124</v>
      </c>
      <c r="PVT232" s="297" t="s">
        <v>124</v>
      </c>
      <c r="PVU232" s="297" t="s">
        <v>124</v>
      </c>
      <c r="PVV232" s="297" t="s">
        <v>124</v>
      </c>
      <c r="PVW232" s="297" t="s">
        <v>124</v>
      </c>
      <c r="PVX232" s="297" t="s">
        <v>124</v>
      </c>
      <c r="PVY232" s="297" t="s">
        <v>124</v>
      </c>
      <c r="PVZ232" s="297" t="s">
        <v>124</v>
      </c>
      <c r="PWA232" s="297" t="s">
        <v>124</v>
      </c>
      <c r="PWB232" s="297" t="s">
        <v>124</v>
      </c>
      <c r="PWC232" s="297" t="s">
        <v>124</v>
      </c>
      <c r="PWD232" s="297" t="s">
        <v>124</v>
      </c>
      <c r="PWE232" s="297" t="s">
        <v>124</v>
      </c>
      <c r="PWF232" s="297" t="s">
        <v>124</v>
      </c>
      <c r="PWG232" s="297" t="s">
        <v>124</v>
      </c>
      <c r="PWH232" s="297" t="s">
        <v>124</v>
      </c>
      <c r="PWI232" s="297" t="s">
        <v>124</v>
      </c>
      <c r="PWJ232" s="297" t="s">
        <v>124</v>
      </c>
      <c r="PWK232" s="297" t="s">
        <v>124</v>
      </c>
      <c r="PWL232" s="297" t="s">
        <v>124</v>
      </c>
      <c r="PWM232" s="297" t="s">
        <v>124</v>
      </c>
      <c r="PWN232" s="297" t="s">
        <v>124</v>
      </c>
      <c r="PWO232" s="297" t="s">
        <v>124</v>
      </c>
      <c r="PWP232" s="297" t="s">
        <v>124</v>
      </c>
      <c r="PWQ232" s="297" t="s">
        <v>124</v>
      </c>
      <c r="PWR232" s="297" t="s">
        <v>124</v>
      </c>
      <c r="PWS232" s="297" t="s">
        <v>124</v>
      </c>
      <c r="PWT232" s="297" t="s">
        <v>124</v>
      </c>
      <c r="PWU232" s="297" t="s">
        <v>124</v>
      </c>
      <c r="PWV232" s="297" t="s">
        <v>124</v>
      </c>
      <c r="PWW232" s="297" t="s">
        <v>124</v>
      </c>
      <c r="PWX232" s="297" t="s">
        <v>124</v>
      </c>
      <c r="PWY232" s="297" t="s">
        <v>124</v>
      </c>
      <c r="PWZ232" s="297" t="s">
        <v>124</v>
      </c>
      <c r="PXA232" s="297" t="s">
        <v>124</v>
      </c>
      <c r="PXB232" s="297" t="s">
        <v>124</v>
      </c>
      <c r="PXC232" s="297" t="s">
        <v>124</v>
      </c>
      <c r="PXD232" s="297" t="s">
        <v>124</v>
      </c>
      <c r="PXE232" s="297" t="s">
        <v>124</v>
      </c>
      <c r="PXF232" s="297" t="s">
        <v>124</v>
      </c>
      <c r="PXG232" s="297" t="s">
        <v>124</v>
      </c>
      <c r="PXH232" s="297" t="s">
        <v>124</v>
      </c>
      <c r="PXI232" s="297" t="s">
        <v>124</v>
      </c>
      <c r="PXJ232" s="297" t="s">
        <v>124</v>
      </c>
      <c r="PXK232" s="297" t="s">
        <v>124</v>
      </c>
      <c r="PXL232" s="297" t="s">
        <v>124</v>
      </c>
      <c r="PXM232" s="297" t="s">
        <v>124</v>
      </c>
      <c r="PXN232" s="297" t="s">
        <v>124</v>
      </c>
      <c r="PXO232" s="297" t="s">
        <v>124</v>
      </c>
      <c r="PXP232" s="297" t="s">
        <v>124</v>
      </c>
      <c r="PXQ232" s="297" t="s">
        <v>124</v>
      </c>
      <c r="PXR232" s="297" t="s">
        <v>124</v>
      </c>
      <c r="PXS232" s="297" t="s">
        <v>124</v>
      </c>
      <c r="PXT232" s="297" t="s">
        <v>124</v>
      </c>
      <c r="PXU232" s="297" t="s">
        <v>124</v>
      </c>
      <c r="PXV232" s="297" t="s">
        <v>124</v>
      </c>
      <c r="PXW232" s="297" t="s">
        <v>124</v>
      </c>
      <c r="PXX232" s="297" t="s">
        <v>124</v>
      </c>
      <c r="PXY232" s="297" t="s">
        <v>124</v>
      </c>
      <c r="PXZ232" s="297" t="s">
        <v>124</v>
      </c>
      <c r="PYA232" s="297" t="s">
        <v>124</v>
      </c>
      <c r="PYB232" s="297" t="s">
        <v>124</v>
      </c>
      <c r="PYC232" s="297" t="s">
        <v>124</v>
      </c>
      <c r="PYD232" s="297" t="s">
        <v>124</v>
      </c>
      <c r="PYE232" s="297" t="s">
        <v>124</v>
      </c>
      <c r="PYF232" s="297" t="s">
        <v>124</v>
      </c>
      <c r="PYG232" s="297" t="s">
        <v>124</v>
      </c>
      <c r="PYH232" s="297" t="s">
        <v>124</v>
      </c>
      <c r="PYI232" s="297" t="s">
        <v>124</v>
      </c>
      <c r="PYJ232" s="297" t="s">
        <v>124</v>
      </c>
      <c r="PYK232" s="297" t="s">
        <v>124</v>
      </c>
      <c r="PYL232" s="297" t="s">
        <v>124</v>
      </c>
      <c r="PYM232" s="297" t="s">
        <v>124</v>
      </c>
      <c r="PYN232" s="297" t="s">
        <v>124</v>
      </c>
      <c r="PYO232" s="297" t="s">
        <v>124</v>
      </c>
      <c r="PYP232" s="297" t="s">
        <v>124</v>
      </c>
      <c r="PYQ232" s="297" t="s">
        <v>124</v>
      </c>
      <c r="PYR232" s="297" t="s">
        <v>124</v>
      </c>
      <c r="PYS232" s="297" t="s">
        <v>124</v>
      </c>
      <c r="PYT232" s="297" t="s">
        <v>124</v>
      </c>
      <c r="PYU232" s="297" t="s">
        <v>124</v>
      </c>
      <c r="PYV232" s="297" t="s">
        <v>124</v>
      </c>
      <c r="PYW232" s="297" t="s">
        <v>124</v>
      </c>
      <c r="PYX232" s="297" t="s">
        <v>124</v>
      </c>
      <c r="PYY232" s="297" t="s">
        <v>124</v>
      </c>
      <c r="PYZ232" s="297" t="s">
        <v>124</v>
      </c>
      <c r="PZA232" s="297" t="s">
        <v>124</v>
      </c>
      <c r="PZB232" s="297" t="s">
        <v>124</v>
      </c>
      <c r="PZC232" s="297" t="s">
        <v>124</v>
      </c>
      <c r="PZD232" s="297" t="s">
        <v>124</v>
      </c>
      <c r="PZE232" s="297" t="s">
        <v>124</v>
      </c>
      <c r="PZF232" s="297" t="s">
        <v>124</v>
      </c>
      <c r="PZG232" s="297" t="s">
        <v>124</v>
      </c>
      <c r="PZH232" s="297" t="s">
        <v>124</v>
      </c>
      <c r="PZI232" s="297" t="s">
        <v>124</v>
      </c>
      <c r="PZJ232" s="297" t="s">
        <v>124</v>
      </c>
      <c r="PZK232" s="297" t="s">
        <v>124</v>
      </c>
      <c r="PZL232" s="297" t="s">
        <v>124</v>
      </c>
      <c r="PZM232" s="297" t="s">
        <v>124</v>
      </c>
      <c r="PZN232" s="297" t="s">
        <v>124</v>
      </c>
      <c r="PZO232" s="297" t="s">
        <v>124</v>
      </c>
      <c r="PZP232" s="297" t="s">
        <v>124</v>
      </c>
      <c r="PZQ232" s="297" t="s">
        <v>124</v>
      </c>
      <c r="PZR232" s="297" t="s">
        <v>124</v>
      </c>
      <c r="PZS232" s="297" t="s">
        <v>124</v>
      </c>
      <c r="PZT232" s="297" t="s">
        <v>124</v>
      </c>
      <c r="PZU232" s="297" t="s">
        <v>124</v>
      </c>
      <c r="PZV232" s="297" t="s">
        <v>124</v>
      </c>
      <c r="PZW232" s="297" t="s">
        <v>124</v>
      </c>
      <c r="PZX232" s="297" t="s">
        <v>124</v>
      </c>
      <c r="PZY232" s="297" t="s">
        <v>124</v>
      </c>
      <c r="PZZ232" s="297" t="s">
        <v>124</v>
      </c>
      <c r="QAA232" s="297" t="s">
        <v>124</v>
      </c>
      <c r="QAB232" s="297" t="s">
        <v>124</v>
      </c>
      <c r="QAC232" s="297" t="s">
        <v>124</v>
      </c>
      <c r="QAD232" s="297" t="s">
        <v>124</v>
      </c>
      <c r="QAE232" s="297" t="s">
        <v>124</v>
      </c>
      <c r="QAF232" s="297" t="s">
        <v>124</v>
      </c>
      <c r="QAG232" s="297" t="s">
        <v>124</v>
      </c>
      <c r="QAH232" s="297" t="s">
        <v>124</v>
      </c>
      <c r="QAI232" s="297" t="s">
        <v>124</v>
      </c>
      <c r="QAJ232" s="297" t="s">
        <v>124</v>
      </c>
      <c r="QAK232" s="297" t="s">
        <v>124</v>
      </c>
      <c r="QAL232" s="297" t="s">
        <v>124</v>
      </c>
      <c r="QAM232" s="297" t="s">
        <v>124</v>
      </c>
      <c r="QAN232" s="297" t="s">
        <v>124</v>
      </c>
      <c r="QAO232" s="297" t="s">
        <v>124</v>
      </c>
      <c r="QAP232" s="297" t="s">
        <v>124</v>
      </c>
      <c r="QAQ232" s="297" t="s">
        <v>124</v>
      </c>
      <c r="QAR232" s="297" t="s">
        <v>124</v>
      </c>
      <c r="QAS232" s="297" t="s">
        <v>124</v>
      </c>
      <c r="QAT232" s="297" t="s">
        <v>124</v>
      </c>
      <c r="QAU232" s="297" t="s">
        <v>124</v>
      </c>
      <c r="QAV232" s="297" t="s">
        <v>124</v>
      </c>
      <c r="QAW232" s="297" t="s">
        <v>124</v>
      </c>
      <c r="QAX232" s="297" t="s">
        <v>124</v>
      </c>
      <c r="QAY232" s="297" t="s">
        <v>124</v>
      </c>
      <c r="QAZ232" s="297" t="s">
        <v>124</v>
      </c>
      <c r="QBA232" s="297" t="s">
        <v>124</v>
      </c>
      <c r="QBB232" s="297" t="s">
        <v>124</v>
      </c>
      <c r="QBC232" s="297" t="s">
        <v>124</v>
      </c>
      <c r="QBD232" s="297" t="s">
        <v>124</v>
      </c>
      <c r="QBE232" s="297" t="s">
        <v>124</v>
      </c>
      <c r="QBF232" s="297" t="s">
        <v>124</v>
      </c>
      <c r="QBG232" s="297" t="s">
        <v>124</v>
      </c>
      <c r="QBH232" s="297" t="s">
        <v>124</v>
      </c>
      <c r="QBI232" s="297" t="s">
        <v>124</v>
      </c>
      <c r="QBJ232" s="297" t="s">
        <v>124</v>
      </c>
      <c r="QBK232" s="297" t="s">
        <v>124</v>
      </c>
      <c r="QBL232" s="297" t="s">
        <v>124</v>
      </c>
      <c r="QBM232" s="297" t="s">
        <v>124</v>
      </c>
      <c r="QBN232" s="297" t="s">
        <v>124</v>
      </c>
      <c r="QBO232" s="297" t="s">
        <v>124</v>
      </c>
      <c r="QBP232" s="297" t="s">
        <v>124</v>
      </c>
      <c r="QBQ232" s="297" t="s">
        <v>124</v>
      </c>
      <c r="QBR232" s="297" t="s">
        <v>124</v>
      </c>
      <c r="QBS232" s="297" t="s">
        <v>124</v>
      </c>
      <c r="QBT232" s="297" t="s">
        <v>124</v>
      </c>
      <c r="QBU232" s="297" t="s">
        <v>124</v>
      </c>
      <c r="QBV232" s="297" t="s">
        <v>124</v>
      </c>
      <c r="QBW232" s="297" t="s">
        <v>124</v>
      </c>
      <c r="QBX232" s="297" t="s">
        <v>124</v>
      </c>
      <c r="QBY232" s="297" t="s">
        <v>124</v>
      </c>
      <c r="QBZ232" s="297" t="s">
        <v>124</v>
      </c>
      <c r="QCA232" s="297" t="s">
        <v>124</v>
      </c>
      <c r="QCB232" s="297" t="s">
        <v>124</v>
      </c>
      <c r="QCC232" s="297" t="s">
        <v>124</v>
      </c>
      <c r="QCD232" s="297" t="s">
        <v>124</v>
      </c>
      <c r="QCE232" s="297" t="s">
        <v>124</v>
      </c>
      <c r="QCF232" s="297" t="s">
        <v>124</v>
      </c>
      <c r="QCG232" s="297" t="s">
        <v>124</v>
      </c>
      <c r="QCH232" s="297" t="s">
        <v>124</v>
      </c>
      <c r="QCI232" s="297" t="s">
        <v>124</v>
      </c>
      <c r="QCJ232" s="297" t="s">
        <v>124</v>
      </c>
      <c r="QCK232" s="297" t="s">
        <v>124</v>
      </c>
      <c r="QCL232" s="297" t="s">
        <v>124</v>
      </c>
      <c r="QCM232" s="297" t="s">
        <v>124</v>
      </c>
      <c r="QCN232" s="297" t="s">
        <v>124</v>
      </c>
      <c r="QCO232" s="297" t="s">
        <v>124</v>
      </c>
      <c r="QCP232" s="297" t="s">
        <v>124</v>
      </c>
      <c r="QCQ232" s="297" t="s">
        <v>124</v>
      </c>
      <c r="QCR232" s="297" t="s">
        <v>124</v>
      </c>
      <c r="QCS232" s="297" t="s">
        <v>124</v>
      </c>
      <c r="QCT232" s="297" t="s">
        <v>124</v>
      </c>
      <c r="QCU232" s="297" t="s">
        <v>124</v>
      </c>
      <c r="QCV232" s="297" t="s">
        <v>124</v>
      </c>
      <c r="QCW232" s="297" t="s">
        <v>124</v>
      </c>
      <c r="QCX232" s="297" t="s">
        <v>124</v>
      </c>
      <c r="QCY232" s="297" t="s">
        <v>124</v>
      </c>
      <c r="QCZ232" s="297" t="s">
        <v>124</v>
      </c>
      <c r="QDA232" s="297" t="s">
        <v>124</v>
      </c>
      <c r="QDB232" s="297" t="s">
        <v>124</v>
      </c>
      <c r="QDC232" s="297" t="s">
        <v>124</v>
      </c>
      <c r="QDD232" s="297" t="s">
        <v>124</v>
      </c>
      <c r="QDE232" s="297" t="s">
        <v>124</v>
      </c>
      <c r="QDF232" s="297" t="s">
        <v>124</v>
      </c>
      <c r="QDG232" s="297" t="s">
        <v>124</v>
      </c>
      <c r="QDH232" s="297" t="s">
        <v>124</v>
      </c>
      <c r="QDI232" s="297" t="s">
        <v>124</v>
      </c>
      <c r="QDJ232" s="297" t="s">
        <v>124</v>
      </c>
      <c r="QDK232" s="297" t="s">
        <v>124</v>
      </c>
      <c r="QDL232" s="297" t="s">
        <v>124</v>
      </c>
      <c r="QDM232" s="297" t="s">
        <v>124</v>
      </c>
      <c r="QDN232" s="297" t="s">
        <v>124</v>
      </c>
      <c r="QDO232" s="297" t="s">
        <v>124</v>
      </c>
      <c r="QDP232" s="297" t="s">
        <v>124</v>
      </c>
      <c r="QDQ232" s="297" t="s">
        <v>124</v>
      </c>
      <c r="QDR232" s="297" t="s">
        <v>124</v>
      </c>
      <c r="QDS232" s="297" t="s">
        <v>124</v>
      </c>
      <c r="QDT232" s="297" t="s">
        <v>124</v>
      </c>
      <c r="QDU232" s="297" t="s">
        <v>124</v>
      </c>
      <c r="QDV232" s="297" t="s">
        <v>124</v>
      </c>
      <c r="QDW232" s="297" t="s">
        <v>124</v>
      </c>
      <c r="QDX232" s="297" t="s">
        <v>124</v>
      </c>
      <c r="QDY232" s="297" t="s">
        <v>124</v>
      </c>
      <c r="QDZ232" s="297" t="s">
        <v>124</v>
      </c>
      <c r="QEA232" s="297" t="s">
        <v>124</v>
      </c>
      <c r="QEB232" s="297" t="s">
        <v>124</v>
      </c>
      <c r="QEC232" s="297" t="s">
        <v>124</v>
      </c>
      <c r="QED232" s="297" t="s">
        <v>124</v>
      </c>
      <c r="QEE232" s="297" t="s">
        <v>124</v>
      </c>
      <c r="QEF232" s="297" t="s">
        <v>124</v>
      </c>
      <c r="QEG232" s="297" t="s">
        <v>124</v>
      </c>
      <c r="QEH232" s="297" t="s">
        <v>124</v>
      </c>
      <c r="QEI232" s="297" t="s">
        <v>124</v>
      </c>
      <c r="QEJ232" s="297" t="s">
        <v>124</v>
      </c>
      <c r="QEK232" s="297" t="s">
        <v>124</v>
      </c>
      <c r="QEL232" s="297" t="s">
        <v>124</v>
      </c>
      <c r="QEM232" s="297" t="s">
        <v>124</v>
      </c>
      <c r="QEN232" s="297" t="s">
        <v>124</v>
      </c>
      <c r="QEO232" s="297" t="s">
        <v>124</v>
      </c>
      <c r="QEP232" s="297" t="s">
        <v>124</v>
      </c>
      <c r="QEQ232" s="297" t="s">
        <v>124</v>
      </c>
      <c r="QER232" s="297" t="s">
        <v>124</v>
      </c>
      <c r="QES232" s="297" t="s">
        <v>124</v>
      </c>
      <c r="QET232" s="297" t="s">
        <v>124</v>
      </c>
      <c r="QEU232" s="297" t="s">
        <v>124</v>
      </c>
      <c r="QEV232" s="297" t="s">
        <v>124</v>
      </c>
      <c r="QEW232" s="297" t="s">
        <v>124</v>
      </c>
      <c r="QEX232" s="297" t="s">
        <v>124</v>
      </c>
      <c r="QEY232" s="297" t="s">
        <v>124</v>
      </c>
      <c r="QEZ232" s="297" t="s">
        <v>124</v>
      </c>
      <c r="QFA232" s="297" t="s">
        <v>124</v>
      </c>
      <c r="QFB232" s="297" t="s">
        <v>124</v>
      </c>
      <c r="QFC232" s="297" t="s">
        <v>124</v>
      </c>
      <c r="QFD232" s="297" t="s">
        <v>124</v>
      </c>
      <c r="QFE232" s="297" t="s">
        <v>124</v>
      </c>
      <c r="QFF232" s="297" t="s">
        <v>124</v>
      </c>
      <c r="QFG232" s="297" t="s">
        <v>124</v>
      </c>
      <c r="QFH232" s="297" t="s">
        <v>124</v>
      </c>
      <c r="QFI232" s="297" t="s">
        <v>124</v>
      </c>
      <c r="QFJ232" s="297" t="s">
        <v>124</v>
      </c>
      <c r="QFK232" s="297" t="s">
        <v>124</v>
      </c>
      <c r="QFL232" s="297" t="s">
        <v>124</v>
      </c>
      <c r="QFM232" s="297" t="s">
        <v>124</v>
      </c>
      <c r="QFN232" s="297" t="s">
        <v>124</v>
      </c>
      <c r="QFO232" s="297" t="s">
        <v>124</v>
      </c>
      <c r="QFP232" s="297" t="s">
        <v>124</v>
      </c>
      <c r="QFQ232" s="297" t="s">
        <v>124</v>
      </c>
      <c r="QFR232" s="297" t="s">
        <v>124</v>
      </c>
      <c r="QFS232" s="297" t="s">
        <v>124</v>
      </c>
      <c r="QFT232" s="297" t="s">
        <v>124</v>
      </c>
      <c r="QFU232" s="297" t="s">
        <v>124</v>
      </c>
      <c r="QFV232" s="297" t="s">
        <v>124</v>
      </c>
      <c r="QFW232" s="297" t="s">
        <v>124</v>
      </c>
      <c r="QFX232" s="297" t="s">
        <v>124</v>
      </c>
      <c r="QFY232" s="297" t="s">
        <v>124</v>
      </c>
      <c r="QFZ232" s="297" t="s">
        <v>124</v>
      </c>
      <c r="QGA232" s="297" t="s">
        <v>124</v>
      </c>
      <c r="QGB232" s="297" t="s">
        <v>124</v>
      </c>
      <c r="QGC232" s="297" t="s">
        <v>124</v>
      </c>
      <c r="QGD232" s="297" t="s">
        <v>124</v>
      </c>
      <c r="QGE232" s="297" t="s">
        <v>124</v>
      </c>
      <c r="QGF232" s="297" t="s">
        <v>124</v>
      </c>
      <c r="QGG232" s="297" t="s">
        <v>124</v>
      </c>
      <c r="QGH232" s="297" t="s">
        <v>124</v>
      </c>
      <c r="QGI232" s="297" t="s">
        <v>124</v>
      </c>
      <c r="QGJ232" s="297" t="s">
        <v>124</v>
      </c>
      <c r="QGK232" s="297" t="s">
        <v>124</v>
      </c>
      <c r="QGL232" s="297" t="s">
        <v>124</v>
      </c>
      <c r="QGM232" s="297" t="s">
        <v>124</v>
      </c>
      <c r="QGN232" s="297" t="s">
        <v>124</v>
      </c>
      <c r="QGO232" s="297" t="s">
        <v>124</v>
      </c>
      <c r="QGP232" s="297" t="s">
        <v>124</v>
      </c>
      <c r="QGQ232" s="297" t="s">
        <v>124</v>
      </c>
      <c r="QGR232" s="297" t="s">
        <v>124</v>
      </c>
      <c r="QGS232" s="297" t="s">
        <v>124</v>
      </c>
      <c r="QGT232" s="297" t="s">
        <v>124</v>
      </c>
      <c r="QGU232" s="297" t="s">
        <v>124</v>
      </c>
      <c r="QGV232" s="297" t="s">
        <v>124</v>
      </c>
      <c r="QGW232" s="297" t="s">
        <v>124</v>
      </c>
      <c r="QGX232" s="297" t="s">
        <v>124</v>
      </c>
      <c r="QGY232" s="297" t="s">
        <v>124</v>
      </c>
      <c r="QGZ232" s="297" t="s">
        <v>124</v>
      </c>
      <c r="QHA232" s="297" t="s">
        <v>124</v>
      </c>
      <c r="QHB232" s="297" t="s">
        <v>124</v>
      </c>
      <c r="QHC232" s="297" t="s">
        <v>124</v>
      </c>
      <c r="QHD232" s="297" t="s">
        <v>124</v>
      </c>
      <c r="QHE232" s="297" t="s">
        <v>124</v>
      </c>
      <c r="QHF232" s="297" t="s">
        <v>124</v>
      </c>
      <c r="QHG232" s="297" t="s">
        <v>124</v>
      </c>
      <c r="QHH232" s="297" t="s">
        <v>124</v>
      </c>
      <c r="QHI232" s="297" t="s">
        <v>124</v>
      </c>
      <c r="QHJ232" s="297" t="s">
        <v>124</v>
      </c>
      <c r="QHK232" s="297" t="s">
        <v>124</v>
      </c>
      <c r="QHL232" s="297" t="s">
        <v>124</v>
      </c>
      <c r="QHM232" s="297" t="s">
        <v>124</v>
      </c>
      <c r="QHN232" s="297" t="s">
        <v>124</v>
      </c>
      <c r="QHO232" s="297" t="s">
        <v>124</v>
      </c>
      <c r="QHP232" s="297" t="s">
        <v>124</v>
      </c>
      <c r="QHQ232" s="297" t="s">
        <v>124</v>
      </c>
      <c r="QHR232" s="297" t="s">
        <v>124</v>
      </c>
      <c r="QHS232" s="297" t="s">
        <v>124</v>
      </c>
      <c r="QHT232" s="297" t="s">
        <v>124</v>
      </c>
      <c r="QHU232" s="297" t="s">
        <v>124</v>
      </c>
      <c r="QHV232" s="297" t="s">
        <v>124</v>
      </c>
      <c r="QHW232" s="297" t="s">
        <v>124</v>
      </c>
      <c r="QHX232" s="297" t="s">
        <v>124</v>
      </c>
      <c r="QHY232" s="297" t="s">
        <v>124</v>
      </c>
      <c r="QHZ232" s="297" t="s">
        <v>124</v>
      </c>
      <c r="QIA232" s="297" t="s">
        <v>124</v>
      </c>
      <c r="QIB232" s="297" t="s">
        <v>124</v>
      </c>
      <c r="QIC232" s="297" t="s">
        <v>124</v>
      </c>
      <c r="QID232" s="297" t="s">
        <v>124</v>
      </c>
      <c r="QIE232" s="297" t="s">
        <v>124</v>
      </c>
      <c r="QIF232" s="297" t="s">
        <v>124</v>
      </c>
      <c r="QIG232" s="297" t="s">
        <v>124</v>
      </c>
      <c r="QIH232" s="297" t="s">
        <v>124</v>
      </c>
      <c r="QII232" s="297" t="s">
        <v>124</v>
      </c>
      <c r="QIJ232" s="297" t="s">
        <v>124</v>
      </c>
      <c r="QIK232" s="297" t="s">
        <v>124</v>
      </c>
      <c r="QIL232" s="297" t="s">
        <v>124</v>
      </c>
      <c r="QIM232" s="297" t="s">
        <v>124</v>
      </c>
      <c r="QIN232" s="297" t="s">
        <v>124</v>
      </c>
      <c r="QIO232" s="297" t="s">
        <v>124</v>
      </c>
      <c r="QIP232" s="297" t="s">
        <v>124</v>
      </c>
      <c r="QIQ232" s="297" t="s">
        <v>124</v>
      </c>
      <c r="QIR232" s="297" t="s">
        <v>124</v>
      </c>
      <c r="QIS232" s="297" t="s">
        <v>124</v>
      </c>
      <c r="QIT232" s="297" t="s">
        <v>124</v>
      </c>
      <c r="QIU232" s="297" t="s">
        <v>124</v>
      </c>
      <c r="QIV232" s="297" t="s">
        <v>124</v>
      </c>
      <c r="QIW232" s="297" t="s">
        <v>124</v>
      </c>
      <c r="QIX232" s="297" t="s">
        <v>124</v>
      </c>
      <c r="QIY232" s="297" t="s">
        <v>124</v>
      </c>
      <c r="QIZ232" s="297" t="s">
        <v>124</v>
      </c>
      <c r="QJA232" s="297" t="s">
        <v>124</v>
      </c>
      <c r="QJB232" s="297" t="s">
        <v>124</v>
      </c>
      <c r="QJC232" s="297" t="s">
        <v>124</v>
      </c>
      <c r="QJD232" s="297" t="s">
        <v>124</v>
      </c>
      <c r="QJE232" s="297" t="s">
        <v>124</v>
      </c>
      <c r="QJF232" s="297" t="s">
        <v>124</v>
      </c>
      <c r="QJG232" s="297" t="s">
        <v>124</v>
      </c>
      <c r="QJH232" s="297" t="s">
        <v>124</v>
      </c>
      <c r="QJI232" s="297" t="s">
        <v>124</v>
      </c>
      <c r="QJJ232" s="297" t="s">
        <v>124</v>
      </c>
      <c r="QJK232" s="297" t="s">
        <v>124</v>
      </c>
      <c r="QJL232" s="297" t="s">
        <v>124</v>
      </c>
      <c r="QJM232" s="297" t="s">
        <v>124</v>
      </c>
      <c r="QJN232" s="297" t="s">
        <v>124</v>
      </c>
      <c r="QJO232" s="297" t="s">
        <v>124</v>
      </c>
      <c r="QJP232" s="297" t="s">
        <v>124</v>
      </c>
      <c r="QJQ232" s="297" t="s">
        <v>124</v>
      </c>
      <c r="QJR232" s="297" t="s">
        <v>124</v>
      </c>
      <c r="QJS232" s="297" t="s">
        <v>124</v>
      </c>
      <c r="QJT232" s="297" t="s">
        <v>124</v>
      </c>
      <c r="QJU232" s="297" t="s">
        <v>124</v>
      </c>
      <c r="QJV232" s="297" t="s">
        <v>124</v>
      </c>
      <c r="QJW232" s="297" t="s">
        <v>124</v>
      </c>
      <c r="QJX232" s="297" t="s">
        <v>124</v>
      </c>
      <c r="QJY232" s="297" t="s">
        <v>124</v>
      </c>
      <c r="QJZ232" s="297" t="s">
        <v>124</v>
      </c>
      <c r="QKA232" s="297" t="s">
        <v>124</v>
      </c>
      <c r="QKB232" s="297" t="s">
        <v>124</v>
      </c>
      <c r="QKC232" s="297" t="s">
        <v>124</v>
      </c>
      <c r="QKD232" s="297" t="s">
        <v>124</v>
      </c>
      <c r="QKE232" s="297" t="s">
        <v>124</v>
      </c>
      <c r="QKF232" s="297" t="s">
        <v>124</v>
      </c>
      <c r="QKG232" s="297" t="s">
        <v>124</v>
      </c>
      <c r="QKH232" s="297" t="s">
        <v>124</v>
      </c>
      <c r="QKI232" s="297" t="s">
        <v>124</v>
      </c>
      <c r="QKJ232" s="297" t="s">
        <v>124</v>
      </c>
      <c r="QKK232" s="297" t="s">
        <v>124</v>
      </c>
      <c r="QKL232" s="297" t="s">
        <v>124</v>
      </c>
      <c r="QKM232" s="297" t="s">
        <v>124</v>
      </c>
      <c r="QKN232" s="297" t="s">
        <v>124</v>
      </c>
      <c r="QKO232" s="297" t="s">
        <v>124</v>
      </c>
      <c r="QKP232" s="297" t="s">
        <v>124</v>
      </c>
      <c r="QKQ232" s="297" t="s">
        <v>124</v>
      </c>
      <c r="QKR232" s="297" t="s">
        <v>124</v>
      </c>
      <c r="QKS232" s="297" t="s">
        <v>124</v>
      </c>
      <c r="QKT232" s="297" t="s">
        <v>124</v>
      </c>
      <c r="QKU232" s="297" t="s">
        <v>124</v>
      </c>
      <c r="QKV232" s="297" t="s">
        <v>124</v>
      </c>
      <c r="QKW232" s="297" t="s">
        <v>124</v>
      </c>
      <c r="QKX232" s="297" t="s">
        <v>124</v>
      </c>
      <c r="QKY232" s="297" t="s">
        <v>124</v>
      </c>
      <c r="QKZ232" s="297" t="s">
        <v>124</v>
      </c>
      <c r="QLA232" s="297" t="s">
        <v>124</v>
      </c>
      <c r="QLB232" s="297" t="s">
        <v>124</v>
      </c>
      <c r="QLC232" s="297" t="s">
        <v>124</v>
      </c>
      <c r="QLD232" s="297" t="s">
        <v>124</v>
      </c>
      <c r="QLE232" s="297" t="s">
        <v>124</v>
      </c>
      <c r="QLF232" s="297" t="s">
        <v>124</v>
      </c>
      <c r="QLG232" s="297" t="s">
        <v>124</v>
      </c>
      <c r="QLH232" s="297" t="s">
        <v>124</v>
      </c>
      <c r="QLI232" s="297" t="s">
        <v>124</v>
      </c>
      <c r="QLJ232" s="297" t="s">
        <v>124</v>
      </c>
      <c r="QLK232" s="297" t="s">
        <v>124</v>
      </c>
      <c r="QLL232" s="297" t="s">
        <v>124</v>
      </c>
      <c r="QLM232" s="297" t="s">
        <v>124</v>
      </c>
      <c r="QLN232" s="297" t="s">
        <v>124</v>
      </c>
      <c r="QLO232" s="297" t="s">
        <v>124</v>
      </c>
      <c r="QLP232" s="297" t="s">
        <v>124</v>
      </c>
      <c r="QLQ232" s="297" t="s">
        <v>124</v>
      </c>
      <c r="QLR232" s="297" t="s">
        <v>124</v>
      </c>
      <c r="QLS232" s="297" t="s">
        <v>124</v>
      </c>
      <c r="QLT232" s="297" t="s">
        <v>124</v>
      </c>
      <c r="QLU232" s="297" t="s">
        <v>124</v>
      </c>
      <c r="QLV232" s="297" t="s">
        <v>124</v>
      </c>
      <c r="QLW232" s="297" t="s">
        <v>124</v>
      </c>
      <c r="QLX232" s="297" t="s">
        <v>124</v>
      </c>
      <c r="QLY232" s="297" t="s">
        <v>124</v>
      </c>
      <c r="QLZ232" s="297" t="s">
        <v>124</v>
      </c>
      <c r="QMA232" s="297" t="s">
        <v>124</v>
      </c>
      <c r="QMB232" s="297" t="s">
        <v>124</v>
      </c>
      <c r="QMC232" s="297" t="s">
        <v>124</v>
      </c>
      <c r="QMD232" s="297" t="s">
        <v>124</v>
      </c>
      <c r="QME232" s="297" t="s">
        <v>124</v>
      </c>
      <c r="QMF232" s="297" t="s">
        <v>124</v>
      </c>
      <c r="QMG232" s="297" t="s">
        <v>124</v>
      </c>
      <c r="QMH232" s="297" t="s">
        <v>124</v>
      </c>
      <c r="QMI232" s="297" t="s">
        <v>124</v>
      </c>
      <c r="QMJ232" s="297" t="s">
        <v>124</v>
      </c>
      <c r="QMK232" s="297" t="s">
        <v>124</v>
      </c>
      <c r="QML232" s="297" t="s">
        <v>124</v>
      </c>
      <c r="QMM232" s="297" t="s">
        <v>124</v>
      </c>
      <c r="QMN232" s="297" t="s">
        <v>124</v>
      </c>
      <c r="QMO232" s="297" t="s">
        <v>124</v>
      </c>
      <c r="QMP232" s="297" t="s">
        <v>124</v>
      </c>
      <c r="QMQ232" s="297" t="s">
        <v>124</v>
      </c>
      <c r="QMR232" s="297" t="s">
        <v>124</v>
      </c>
      <c r="QMS232" s="297" t="s">
        <v>124</v>
      </c>
      <c r="QMT232" s="297" t="s">
        <v>124</v>
      </c>
      <c r="QMU232" s="297" t="s">
        <v>124</v>
      </c>
      <c r="QMV232" s="297" t="s">
        <v>124</v>
      </c>
      <c r="QMW232" s="297" t="s">
        <v>124</v>
      </c>
      <c r="QMX232" s="297" t="s">
        <v>124</v>
      </c>
      <c r="QMY232" s="297" t="s">
        <v>124</v>
      </c>
      <c r="QMZ232" s="297" t="s">
        <v>124</v>
      </c>
      <c r="QNA232" s="297" t="s">
        <v>124</v>
      </c>
      <c r="QNB232" s="297" t="s">
        <v>124</v>
      </c>
      <c r="QNC232" s="297" t="s">
        <v>124</v>
      </c>
      <c r="QND232" s="297" t="s">
        <v>124</v>
      </c>
      <c r="QNE232" s="297" t="s">
        <v>124</v>
      </c>
      <c r="QNF232" s="297" t="s">
        <v>124</v>
      </c>
      <c r="QNG232" s="297" t="s">
        <v>124</v>
      </c>
      <c r="QNH232" s="297" t="s">
        <v>124</v>
      </c>
      <c r="QNI232" s="297" t="s">
        <v>124</v>
      </c>
      <c r="QNJ232" s="297" t="s">
        <v>124</v>
      </c>
      <c r="QNK232" s="297" t="s">
        <v>124</v>
      </c>
      <c r="QNL232" s="297" t="s">
        <v>124</v>
      </c>
      <c r="QNM232" s="297" t="s">
        <v>124</v>
      </c>
      <c r="QNN232" s="297" t="s">
        <v>124</v>
      </c>
      <c r="QNO232" s="297" t="s">
        <v>124</v>
      </c>
      <c r="QNP232" s="297" t="s">
        <v>124</v>
      </c>
      <c r="QNQ232" s="297" t="s">
        <v>124</v>
      </c>
      <c r="QNR232" s="297" t="s">
        <v>124</v>
      </c>
      <c r="QNS232" s="297" t="s">
        <v>124</v>
      </c>
      <c r="QNT232" s="297" t="s">
        <v>124</v>
      </c>
      <c r="QNU232" s="297" t="s">
        <v>124</v>
      </c>
      <c r="QNV232" s="297" t="s">
        <v>124</v>
      </c>
      <c r="QNW232" s="297" t="s">
        <v>124</v>
      </c>
      <c r="QNX232" s="297" t="s">
        <v>124</v>
      </c>
      <c r="QNY232" s="297" t="s">
        <v>124</v>
      </c>
      <c r="QNZ232" s="297" t="s">
        <v>124</v>
      </c>
      <c r="QOA232" s="297" t="s">
        <v>124</v>
      </c>
      <c r="QOB232" s="297" t="s">
        <v>124</v>
      </c>
      <c r="QOC232" s="297" t="s">
        <v>124</v>
      </c>
      <c r="QOD232" s="297" t="s">
        <v>124</v>
      </c>
      <c r="QOE232" s="297" t="s">
        <v>124</v>
      </c>
      <c r="QOF232" s="297" t="s">
        <v>124</v>
      </c>
      <c r="QOG232" s="297" t="s">
        <v>124</v>
      </c>
      <c r="QOH232" s="297" t="s">
        <v>124</v>
      </c>
      <c r="QOI232" s="297" t="s">
        <v>124</v>
      </c>
      <c r="QOJ232" s="297" t="s">
        <v>124</v>
      </c>
      <c r="QOK232" s="297" t="s">
        <v>124</v>
      </c>
      <c r="QOL232" s="297" t="s">
        <v>124</v>
      </c>
      <c r="QOM232" s="297" t="s">
        <v>124</v>
      </c>
      <c r="QON232" s="297" t="s">
        <v>124</v>
      </c>
      <c r="QOO232" s="297" t="s">
        <v>124</v>
      </c>
      <c r="QOP232" s="297" t="s">
        <v>124</v>
      </c>
      <c r="QOQ232" s="297" t="s">
        <v>124</v>
      </c>
      <c r="QOR232" s="297" t="s">
        <v>124</v>
      </c>
      <c r="QOS232" s="297" t="s">
        <v>124</v>
      </c>
      <c r="QOT232" s="297" t="s">
        <v>124</v>
      </c>
      <c r="QOU232" s="297" t="s">
        <v>124</v>
      </c>
      <c r="QOV232" s="297" t="s">
        <v>124</v>
      </c>
      <c r="QOW232" s="297" t="s">
        <v>124</v>
      </c>
      <c r="QOX232" s="297" t="s">
        <v>124</v>
      </c>
      <c r="QOY232" s="297" t="s">
        <v>124</v>
      </c>
      <c r="QOZ232" s="297" t="s">
        <v>124</v>
      </c>
      <c r="QPA232" s="297" t="s">
        <v>124</v>
      </c>
      <c r="QPB232" s="297" t="s">
        <v>124</v>
      </c>
      <c r="QPC232" s="297" t="s">
        <v>124</v>
      </c>
      <c r="QPD232" s="297" t="s">
        <v>124</v>
      </c>
      <c r="QPE232" s="297" t="s">
        <v>124</v>
      </c>
      <c r="QPF232" s="297" t="s">
        <v>124</v>
      </c>
      <c r="QPG232" s="297" t="s">
        <v>124</v>
      </c>
      <c r="QPH232" s="297" t="s">
        <v>124</v>
      </c>
      <c r="QPI232" s="297" t="s">
        <v>124</v>
      </c>
      <c r="QPJ232" s="297" t="s">
        <v>124</v>
      </c>
      <c r="QPK232" s="297" t="s">
        <v>124</v>
      </c>
      <c r="QPL232" s="297" t="s">
        <v>124</v>
      </c>
      <c r="QPM232" s="297" t="s">
        <v>124</v>
      </c>
      <c r="QPN232" s="297" t="s">
        <v>124</v>
      </c>
      <c r="QPO232" s="297" t="s">
        <v>124</v>
      </c>
      <c r="QPP232" s="297" t="s">
        <v>124</v>
      </c>
      <c r="QPQ232" s="297" t="s">
        <v>124</v>
      </c>
      <c r="QPR232" s="297" t="s">
        <v>124</v>
      </c>
      <c r="QPS232" s="297" t="s">
        <v>124</v>
      </c>
      <c r="QPT232" s="297" t="s">
        <v>124</v>
      </c>
      <c r="QPU232" s="297" t="s">
        <v>124</v>
      </c>
      <c r="QPV232" s="297" t="s">
        <v>124</v>
      </c>
      <c r="QPW232" s="297" t="s">
        <v>124</v>
      </c>
      <c r="QPX232" s="297" t="s">
        <v>124</v>
      </c>
      <c r="QPY232" s="297" t="s">
        <v>124</v>
      </c>
      <c r="QPZ232" s="297" t="s">
        <v>124</v>
      </c>
      <c r="QQA232" s="297" t="s">
        <v>124</v>
      </c>
      <c r="QQB232" s="297" t="s">
        <v>124</v>
      </c>
      <c r="QQC232" s="297" t="s">
        <v>124</v>
      </c>
      <c r="QQD232" s="297" t="s">
        <v>124</v>
      </c>
      <c r="QQE232" s="297" t="s">
        <v>124</v>
      </c>
      <c r="QQF232" s="297" t="s">
        <v>124</v>
      </c>
      <c r="QQG232" s="297" t="s">
        <v>124</v>
      </c>
      <c r="QQH232" s="297" t="s">
        <v>124</v>
      </c>
      <c r="QQI232" s="297" t="s">
        <v>124</v>
      </c>
      <c r="QQJ232" s="297" t="s">
        <v>124</v>
      </c>
      <c r="QQK232" s="297" t="s">
        <v>124</v>
      </c>
      <c r="QQL232" s="297" t="s">
        <v>124</v>
      </c>
      <c r="QQM232" s="297" t="s">
        <v>124</v>
      </c>
      <c r="QQN232" s="297" t="s">
        <v>124</v>
      </c>
      <c r="QQO232" s="297" t="s">
        <v>124</v>
      </c>
      <c r="QQP232" s="297" t="s">
        <v>124</v>
      </c>
      <c r="QQQ232" s="297" t="s">
        <v>124</v>
      </c>
      <c r="QQR232" s="297" t="s">
        <v>124</v>
      </c>
      <c r="QQS232" s="297" t="s">
        <v>124</v>
      </c>
      <c r="QQT232" s="297" t="s">
        <v>124</v>
      </c>
      <c r="QQU232" s="297" t="s">
        <v>124</v>
      </c>
      <c r="QQV232" s="297" t="s">
        <v>124</v>
      </c>
      <c r="QQW232" s="297" t="s">
        <v>124</v>
      </c>
      <c r="QQX232" s="297" t="s">
        <v>124</v>
      </c>
      <c r="QQY232" s="297" t="s">
        <v>124</v>
      </c>
      <c r="QQZ232" s="297" t="s">
        <v>124</v>
      </c>
      <c r="QRA232" s="297" t="s">
        <v>124</v>
      </c>
      <c r="QRB232" s="297" t="s">
        <v>124</v>
      </c>
      <c r="QRC232" s="297" t="s">
        <v>124</v>
      </c>
      <c r="QRD232" s="297" t="s">
        <v>124</v>
      </c>
      <c r="QRE232" s="297" t="s">
        <v>124</v>
      </c>
      <c r="QRF232" s="297" t="s">
        <v>124</v>
      </c>
      <c r="QRG232" s="297" t="s">
        <v>124</v>
      </c>
      <c r="QRH232" s="297" t="s">
        <v>124</v>
      </c>
      <c r="QRI232" s="297" t="s">
        <v>124</v>
      </c>
      <c r="QRJ232" s="297" t="s">
        <v>124</v>
      </c>
      <c r="QRK232" s="297" t="s">
        <v>124</v>
      </c>
      <c r="QRL232" s="297" t="s">
        <v>124</v>
      </c>
      <c r="QRM232" s="297" t="s">
        <v>124</v>
      </c>
      <c r="QRN232" s="297" t="s">
        <v>124</v>
      </c>
      <c r="QRO232" s="297" t="s">
        <v>124</v>
      </c>
      <c r="QRP232" s="297" t="s">
        <v>124</v>
      </c>
      <c r="QRQ232" s="297" t="s">
        <v>124</v>
      </c>
      <c r="QRR232" s="297" t="s">
        <v>124</v>
      </c>
      <c r="QRS232" s="297" t="s">
        <v>124</v>
      </c>
      <c r="QRT232" s="297" t="s">
        <v>124</v>
      </c>
      <c r="QRU232" s="297" t="s">
        <v>124</v>
      </c>
      <c r="QRV232" s="297" t="s">
        <v>124</v>
      </c>
      <c r="QRW232" s="297" t="s">
        <v>124</v>
      </c>
      <c r="QRX232" s="297" t="s">
        <v>124</v>
      </c>
      <c r="QRY232" s="297" t="s">
        <v>124</v>
      </c>
      <c r="QRZ232" s="297" t="s">
        <v>124</v>
      </c>
      <c r="QSA232" s="297" t="s">
        <v>124</v>
      </c>
      <c r="QSB232" s="297" t="s">
        <v>124</v>
      </c>
      <c r="QSC232" s="297" t="s">
        <v>124</v>
      </c>
      <c r="QSD232" s="297" t="s">
        <v>124</v>
      </c>
      <c r="QSE232" s="297" t="s">
        <v>124</v>
      </c>
      <c r="QSF232" s="297" t="s">
        <v>124</v>
      </c>
      <c r="QSG232" s="297" t="s">
        <v>124</v>
      </c>
      <c r="QSH232" s="297" t="s">
        <v>124</v>
      </c>
      <c r="QSI232" s="297" t="s">
        <v>124</v>
      </c>
      <c r="QSJ232" s="297" t="s">
        <v>124</v>
      </c>
      <c r="QSK232" s="297" t="s">
        <v>124</v>
      </c>
      <c r="QSL232" s="297" t="s">
        <v>124</v>
      </c>
      <c r="QSM232" s="297" t="s">
        <v>124</v>
      </c>
      <c r="QSN232" s="297" t="s">
        <v>124</v>
      </c>
      <c r="QSO232" s="297" t="s">
        <v>124</v>
      </c>
      <c r="QSP232" s="297" t="s">
        <v>124</v>
      </c>
      <c r="QSQ232" s="297" t="s">
        <v>124</v>
      </c>
      <c r="QSR232" s="297" t="s">
        <v>124</v>
      </c>
      <c r="QSS232" s="297" t="s">
        <v>124</v>
      </c>
      <c r="QST232" s="297" t="s">
        <v>124</v>
      </c>
      <c r="QSU232" s="297" t="s">
        <v>124</v>
      </c>
      <c r="QSV232" s="297" t="s">
        <v>124</v>
      </c>
      <c r="QSW232" s="297" t="s">
        <v>124</v>
      </c>
      <c r="QSX232" s="297" t="s">
        <v>124</v>
      </c>
      <c r="QSY232" s="297" t="s">
        <v>124</v>
      </c>
      <c r="QSZ232" s="297" t="s">
        <v>124</v>
      </c>
      <c r="QTA232" s="297" t="s">
        <v>124</v>
      </c>
      <c r="QTB232" s="297" t="s">
        <v>124</v>
      </c>
      <c r="QTC232" s="297" t="s">
        <v>124</v>
      </c>
      <c r="QTD232" s="297" t="s">
        <v>124</v>
      </c>
      <c r="QTE232" s="297" t="s">
        <v>124</v>
      </c>
      <c r="QTF232" s="297" t="s">
        <v>124</v>
      </c>
      <c r="QTG232" s="297" t="s">
        <v>124</v>
      </c>
      <c r="QTH232" s="297" t="s">
        <v>124</v>
      </c>
      <c r="QTI232" s="297" t="s">
        <v>124</v>
      </c>
      <c r="QTJ232" s="297" t="s">
        <v>124</v>
      </c>
      <c r="QTK232" s="297" t="s">
        <v>124</v>
      </c>
      <c r="QTL232" s="297" t="s">
        <v>124</v>
      </c>
      <c r="QTM232" s="297" t="s">
        <v>124</v>
      </c>
      <c r="QTN232" s="297" t="s">
        <v>124</v>
      </c>
      <c r="QTO232" s="297" t="s">
        <v>124</v>
      </c>
      <c r="QTP232" s="297" t="s">
        <v>124</v>
      </c>
      <c r="QTQ232" s="297" t="s">
        <v>124</v>
      </c>
      <c r="QTR232" s="297" t="s">
        <v>124</v>
      </c>
      <c r="QTS232" s="297" t="s">
        <v>124</v>
      </c>
      <c r="QTT232" s="297" t="s">
        <v>124</v>
      </c>
      <c r="QTU232" s="297" t="s">
        <v>124</v>
      </c>
      <c r="QTV232" s="297" t="s">
        <v>124</v>
      </c>
      <c r="QTW232" s="297" t="s">
        <v>124</v>
      </c>
      <c r="QTX232" s="297" t="s">
        <v>124</v>
      </c>
      <c r="QTY232" s="297" t="s">
        <v>124</v>
      </c>
      <c r="QTZ232" s="297" t="s">
        <v>124</v>
      </c>
      <c r="QUA232" s="297" t="s">
        <v>124</v>
      </c>
      <c r="QUB232" s="297" t="s">
        <v>124</v>
      </c>
      <c r="QUC232" s="297" t="s">
        <v>124</v>
      </c>
      <c r="QUD232" s="297" t="s">
        <v>124</v>
      </c>
      <c r="QUE232" s="297" t="s">
        <v>124</v>
      </c>
      <c r="QUF232" s="297" t="s">
        <v>124</v>
      </c>
      <c r="QUG232" s="297" t="s">
        <v>124</v>
      </c>
      <c r="QUH232" s="297" t="s">
        <v>124</v>
      </c>
      <c r="QUI232" s="297" t="s">
        <v>124</v>
      </c>
      <c r="QUJ232" s="297" t="s">
        <v>124</v>
      </c>
      <c r="QUK232" s="297" t="s">
        <v>124</v>
      </c>
      <c r="QUL232" s="297" t="s">
        <v>124</v>
      </c>
      <c r="QUM232" s="297" t="s">
        <v>124</v>
      </c>
      <c r="QUN232" s="297" t="s">
        <v>124</v>
      </c>
      <c r="QUO232" s="297" t="s">
        <v>124</v>
      </c>
      <c r="QUP232" s="297" t="s">
        <v>124</v>
      </c>
      <c r="QUQ232" s="297" t="s">
        <v>124</v>
      </c>
      <c r="QUR232" s="297" t="s">
        <v>124</v>
      </c>
      <c r="QUS232" s="297" t="s">
        <v>124</v>
      </c>
      <c r="QUT232" s="297" t="s">
        <v>124</v>
      </c>
      <c r="QUU232" s="297" t="s">
        <v>124</v>
      </c>
      <c r="QUV232" s="297" t="s">
        <v>124</v>
      </c>
      <c r="QUW232" s="297" t="s">
        <v>124</v>
      </c>
      <c r="QUX232" s="297" t="s">
        <v>124</v>
      </c>
      <c r="QUY232" s="297" t="s">
        <v>124</v>
      </c>
      <c r="QUZ232" s="297" t="s">
        <v>124</v>
      </c>
      <c r="QVA232" s="297" t="s">
        <v>124</v>
      </c>
      <c r="QVB232" s="297" t="s">
        <v>124</v>
      </c>
      <c r="QVC232" s="297" t="s">
        <v>124</v>
      </c>
      <c r="QVD232" s="297" t="s">
        <v>124</v>
      </c>
      <c r="QVE232" s="297" t="s">
        <v>124</v>
      </c>
      <c r="QVF232" s="297" t="s">
        <v>124</v>
      </c>
      <c r="QVG232" s="297" t="s">
        <v>124</v>
      </c>
      <c r="QVH232" s="297" t="s">
        <v>124</v>
      </c>
      <c r="QVI232" s="297" t="s">
        <v>124</v>
      </c>
      <c r="QVJ232" s="297" t="s">
        <v>124</v>
      </c>
      <c r="QVK232" s="297" t="s">
        <v>124</v>
      </c>
      <c r="QVL232" s="297" t="s">
        <v>124</v>
      </c>
      <c r="QVM232" s="297" t="s">
        <v>124</v>
      </c>
      <c r="QVN232" s="297" t="s">
        <v>124</v>
      </c>
      <c r="QVO232" s="297" t="s">
        <v>124</v>
      </c>
      <c r="QVP232" s="297" t="s">
        <v>124</v>
      </c>
      <c r="QVQ232" s="297" t="s">
        <v>124</v>
      </c>
      <c r="QVR232" s="297" t="s">
        <v>124</v>
      </c>
      <c r="QVS232" s="297" t="s">
        <v>124</v>
      </c>
      <c r="QVT232" s="297" t="s">
        <v>124</v>
      </c>
      <c r="QVU232" s="297" t="s">
        <v>124</v>
      </c>
      <c r="QVV232" s="297" t="s">
        <v>124</v>
      </c>
      <c r="QVW232" s="297" t="s">
        <v>124</v>
      </c>
      <c r="QVX232" s="297" t="s">
        <v>124</v>
      </c>
      <c r="QVY232" s="297" t="s">
        <v>124</v>
      </c>
      <c r="QVZ232" s="297" t="s">
        <v>124</v>
      </c>
      <c r="QWA232" s="297" t="s">
        <v>124</v>
      </c>
      <c r="QWB232" s="297" t="s">
        <v>124</v>
      </c>
      <c r="QWC232" s="297" t="s">
        <v>124</v>
      </c>
      <c r="QWD232" s="297" t="s">
        <v>124</v>
      </c>
      <c r="QWE232" s="297" t="s">
        <v>124</v>
      </c>
      <c r="QWF232" s="297" t="s">
        <v>124</v>
      </c>
      <c r="QWG232" s="297" t="s">
        <v>124</v>
      </c>
      <c r="QWH232" s="297" t="s">
        <v>124</v>
      </c>
      <c r="QWI232" s="297" t="s">
        <v>124</v>
      </c>
      <c r="QWJ232" s="297" t="s">
        <v>124</v>
      </c>
      <c r="QWK232" s="297" t="s">
        <v>124</v>
      </c>
      <c r="QWL232" s="297" t="s">
        <v>124</v>
      </c>
      <c r="QWM232" s="297" t="s">
        <v>124</v>
      </c>
      <c r="QWN232" s="297" t="s">
        <v>124</v>
      </c>
      <c r="QWO232" s="297" t="s">
        <v>124</v>
      </c>
      <c r="QWP232" s="297" t="s">
        <v>124</v>
      </c>
      <c r="QWQ232" s="297" t="s">
        <v>124</v>
      </c>
      <c r="QWR232" s="297" t="s">
        <v>124</v>
      </c>
      <c r="QWS232" s="297" t="s">
        <v>124</v>
      </c>
      <c r="QWT232" s="297" t="s">
        <v>124</v>
      </c>
      <c r="QWU232" s="297" t="s">
        <v>124</v>
      </c>
      <c r="QWV232" s="297" t="s">
        <v>124</v>
      </c>
      <c r="QWW232" s="297" t="s">
        <v>124</v>
      </c>
      <c r="QWX232" s="297" t="s">
        <v>124</v>
      </c>
      <c r="QWY232" s="297" t="s">
        <v>124</v>
      </c>
      <c r="QWZ232" s="297" t="s">
        <v>124</v>
      </c>
      <c r="QXA232" s="297" t="s">
        <v>124</v>
      </c>
      <c r="QXB232" s="297" t="s">
        <v>124</v>
      </c>
      <c r="QXC232" s="297" t="s">
        <v>124</v>
      </c>
      <c r="QXD232" s="297" t="s">
        <v>124</v>
      </c>
      <c r="QXE232" s="297" t="s">
        <v>124</v>
      </c>
      <c r="QXF232" s="297" t="s">
        <v>124</v>
      </c>
      <c r="QXG232" s="297" t="s">
        <v>124</v>
      </c>
      <c r="QXH232" s="297" t="s">
        <v>124</v>
      </c>
      <c r="QXI232" s="297" t="s">
        <v>124</v>
      </c>
      <c r="QXJ232" s="297" t="s">
        <v>124</v>
      </c>
      <c r="QXK232" s="297" t="s">
        <v>124</v>
      </c>
      <c r="QXL232" s="297" t="s">
        <v>124</v>
      </c>
      <c r="QXM232" s="297" t="s">
        <v>124</v>
      </c>
      <c r="QXN232" s="297" t="s">
        <v>124</v>
      </c>
      <c r="QXO232" s="297" t="s">
        <v>124</v>
      </c>
      <c r="QXP232" s="297" t="s">
        <v>124</v>
      </c>
      <c r="QXQ232" s="297" t="s">
        <v>124</v>
      </c>
      <c r="QXR232" s="297" t="s">
        <v>124</v>
      </c>
      <c r="QXS232" s="297" t="s">
        <v>124</v>
      </c>
      <c r="QXT232" s="297" t="s">
        <v>124</v>
      </c>
      <c r="QXU232" s="297" t="s">
        <v>124</v>
      </c>
      <c r="QXV232" s="297" t="s">
        <v>124</v>
      </c>
      <c r="QXW232" s="297" t="s">
        <v>124</v>
      </c>
      <c r="QXX232" s="297" t="s">
        <v>124</v>
      </c>
      <c r="QXY232" s="297" t="s">
        <v>124</v>
      </c>
      <c r="QXZ232" s="297" t="s">
        <v>124</v>
      </c>
      <c r="QYA232" s="297" t="s">
        <v>124</v>
      </c>
      <c r="QYB232" s="297" t="s">
        <v>124</v>
      </c>
      <c r="QYC232" s="297" t="s">
        <v>124</v>
      </c>
      <c r="QYD232" s="297" t="s">
        <v>124</v>
      </c>
      <c r="QYE232" s="297" t="s">
        <v>124</v>
      </c>
      <c r="QYF232" s="297" t="s">
        <v>124</v>
      </c>
      <c r="QYG232" s="297" t="s">
        <v>124</v>
      </c>
      <c r="QYH232" s="297" t="s">
        <v>124</v>
      </c>
      <c r="QYI232" s="297" t="s">
        <v>124</v>
      </c>
      <c r="QYJ232" s="297" t="s">
        <v>124</v>
      </c>
      <c r="QYK232" s="297" t="s">
        <v>124</v>
      </c>
      <c r="QYL232" s="297" t="s">
        <v>124</v>
      </c>
      <c r="QYM232" s="297" t="s">
        <v>124</v>
      </c>
      <c r="QYN232" s="297" t="s">
        <v>124</v>
      </c>
      <c r="QYO232" s="297" t="s">
        <v>124</v>
      </c>
      <c r="QYP232" s="297" t="s">
        <v>124</v>
      </c>
      <c r="QYQ232" s="297" t="s">
        <v>124</v>
      </c>
      <c r="QYR232" s="297" t="s">
        <v>124</v>
      </c>
      <c r="QYS232" s="297" t="s">
        <v>124</v>
      </c>
      <c r="QYT232" s="297" t="s">
        <v>124</v>
      </c>
      <c r="QYU232" s="297" t="s">
        <v>124</v>
      </c>
      <c r="QYV232" s="297" t="s">
        <v>124</v>
      </c>
      <c r="QYW232" s="297" t="s">
        <v>124</v>
      </c>
      <c r="QYX232" s="297" t="s">
        <v>124</v>
      </c>
      <c r="QYY232" s="297" t="s">
        <v>124</v>
      </c>
      <c r="QYZ232" s="297" t="s">
        <v>124</v>
      </c>
      <c r="QZA232" s="297" t="s">
        <v>124</v>
      </c>
      <c r="QZB232" s="297" t="s">
        <v>124</v>
      </c>
      <c r="QZC232" s="297" t="s">
        <v>124</v>
      </c>
      <c r="QZD232" s="297" t="s">
        <v>124</v>
      </c>
      <c r="QZE232" s="297" t="s">
        <v>124</v>
      </c>
      <c r="QZF232" s="297" t="s">
        <v>124</v>
      </c>
      <c r="QZG232" s="297" t="s">
        <v>124</v>
      </c>
      <c r="QZH232" s="297" t="s">
        <v>124</v>
      </c>
      <c r="QZI232" s="297" t="s">
        <v>124</v>
      </c>
      <c r="QZJ232" s="297" t="s">
        <v>124</v>
      </c>
      <c r="QZK232" s="297" t="s">
        <v>124</v>
      </c>
      <c r="QZL232" s="297" t="s">
        <v>124</v>
      </c>
      <c r="QZM232" s="297" t="s">
        <v>124</v>
      </c>
      <c r="QZN232" s="297" t="s">
        <v>124</v>
      </c>
      <c r="QZO232" s="297" t="s">
        <v>124</v>
      </c>
      <c r="QZP232" s="297" t="s">
        <v>124</v>
      </c>
      <c r="QZQ232" s="297" t="s">
        <v>124</v>
      </c>
      <c r="QZR232" s="297" t="s">
        <v>124</v>
      </c>
      <c r="QZS232" s="297" t="s">
        <v>124</v>
      </c>
      <c r="QZT232" s="297" t="s">
        <v>124</v>
      </c>
      <c r="QZU232" s="297" t="s">
        <v>124</v>
      </c>
      <c r="QZV232" s="297" t="s">
        <v>124</v>
      </c>
      <c r="QZW232" s="297" t="s">
        <v>124</v>
      </c>
      <c r="QZX232" s="297" t="s">
        <v>124</v>
      </c>
      <c r="QZY232" s="297" t="s">
        <v>124</v>
      </c>
      <c r="QZZ232" s="297" t="s">
        <v>124</v>
      </c>
      <c r="RAA232" s="297" t="s">
        <v>124</v>
      </c>
      <c r="RAB232" s="297" t="s">
        <v>124</v>
      </c>
      <c r="RAC232" s="297" t="s">
        <v>124</v>
      </c>
      <c r="RAD232" s="297" t="s">
        <v>124</v>
      </c>
      <c r="RAE232" s="297" t="s">
        <v>124</v>
      </c>
      <c r="RAF232" s="297" t="s">
        <v>124</v>
      </c>
      <c r="RAG232" s="297" t="s">
        <v>124</v>
      </c>
      <c r="RAH232" s="297" t="s">
        <v>124</v>
      </c>
      <c r="RAI232" s="297" t="s">
        <v>124</v>
      </c>
      <c r="RAJ232" s="297" t="s">
        <v>124</v>
      </c>
      <c r="RAK232" s="297" t="s">
        <v>124</v>
      </c>
      <c r="RAL232" s="297" t="s">
        <v>124</v>
      </c>
      <c r="RAM232" s="297" t="s">
        <v>124</v>
      </c>
      <c r="RAN232" s="297" t="s">
        <v>124</v>
      </c>
      <c r="RAO232" s="297" t="s">
        <v>124</v>
      </c>
      <c r="RAP232" s="297" t="s">
        <v>124</v>
      </c>
      <c r="RAQ232" s="297" t="s">
        <v>124</v>
      </c>
      <c r="RAR232" s="297" t="s">
        <v>124</v>
      </c>
      <c r="RAS232" s="297" t="s">
        <v>124</v>
      </c>
      <c r="RAT232" s="297" t="s">
        <v>124</v>
      </c>
      <c r="RAU232" s="297" t="s">
        <v>124</v>
      </c>
      <c r="RAV232" s="297" t="s">
        <v>124</v>
      </c>
      <c r="RAW232" s="297" t="s">
        <v>124</v>
      </c>
      <c r="RAX232" s="297" t="s">
        <v>124</v>
      </c>
      <c r="RAY232" s="297" t="s">
        <v>124</v>
      </c>
      <c r="RAZ232" s="297" t="s">
        <v>124</v>
      </c>
      <c r="RBA232" s="297" t="s">
        <v>124</v>
      </c>
      <c r="RBB232" s="297" t="s">
        <v>124</v>
      </c>
      <c r="RBC232" s="297" t="s">
        <v>124</v>
      </c>
      <c r="RBD232" s="297" t="s">
        <v>124</v>
      </c>
      <c r="RBE232" s="297" t="s">
        <v>124</v>
      </c>
      <c r="RBF232" s="297" t="s">
        <v>124</v>
      </c>
      <c r="RBG232" s="297" t="s">
        <v>124</v>
      </c>
      <c r="RBH232" s="297" t="s">
        <v>124</v>
      </c>
      <c r="RBI232" s="297" t="s">
        <v>124</v>
      </c>
      <c r="RBJ232" s="297" t="s">
        <v>124</v>
      </c>
      <c r="RBK232" s="297" t="s">
        <v>124</v>
      </c>
      <c r="RBL232" s="297" t="s">
        <v>124</v>
      </c>
      <c r="RBM232" s="297" t="s">
        <v>124</v>
      </c>
      <c r="RBN232" s="297" t="s">
        <v>124</v>
      </c>
      <c r="RBO232" s="297" t="s">
        <v>124</v>
      </c>
      <c r="RBP232" s="297" t="s">
        <v>124</v>
      </c>
      <c r="RBQ232" s="297" t="s">
        <v>124</v>
      </c>
      <c r="RBR232" s="297" t="s">
        <v>124</v>
      </c>
      <c r="RBS232" s="297" t="s">
        <v>124</v>
      </c>
      <c r="RBT232" s="297" t="s">
        <v>124</v>
      </c>
      <c r="RBU232" s="297" t="s">
        <v>124</v>
      </c>
      <c r="RBV232" s="297" t="s">
        <v>124</v>
      </c>
      <c r="RBW232" s="297" t="s">
        <v>124</v>
      </c>
      <c r="RBX232" s="297" t="s">
        <v>124</v>
      </c>
      <c r="RBY232" s="297" t="s">
        <v>124</v>
      </c>
      <c r="RBZ232" s="297" t="s">
        <v>124</v>
      </c>
      <c r="RCA232" s="297" t="s">
        <v>124</v>
      </c>
      <c r="RCB232" s="297" t="s">
        <v>124</v>
      </c>
      <c r="RCC232" s="297" t="s">
        <v>124</v>
      </c>
      <c r="RCD232" s="297" t="s">
        <v>124</v>
      </c>
      <c r="RCE232" s="297" t="s">
        <v>124</v>
      </c>
      <c r="RCF232" s="297" t="s">
        <v>124</v>
      </c>
      <c r="RCG232" s="297" t="s">
        <v>124</v>
      </c>
      <c r="RCH232" s="297" t="s">
        <v>124</v>
      </c>
      <c r="RCI232" s="297" t="s">
        <v>124</v>
      </c>
      <c r="RCJ232" s="297" t="s">
        <v>124</v>
      </c>
      <c r="RCK232" s="297" t="s">
        <v>124</v>
      </c>
      <c r="RCL232" s="297" t="s">
        <v>124</v>
      </c>
      <c r="RCM232" s="297" t="s">
        <v>124</v>
      </c>
      <c r="RCN232" s="297" t="s">
        <v>124</v>
      </c>
      <c r="RCO232" s="297" t="s">
        <v>124</v>
      </c>
      <c r="RCP232" s="297" t="s">
        <v>124</v>
      </c>
      <c r="RCQ232" s="297" t="s">
        <v>124</v>
      </c>
      <c r="RCR232" s="297" t="s">
        <v>124</v>
      </c>
      <c r="RCS232" s="297" t="s">
        <v>124</v>
      </c>
      <c r="RCT232" s="297" t="s">
        <v>124</v>
      </c>
      <c r="RCU232" s="297" t="s">
        <v>124</v>
      </c>
      <c r="RCV232" s="297" t="s">
        <v>124</v>
      </c>
      <c r="RCW232" s="297" t="s">
        <v>124</v>
      </c>
      <c r="RCX232" s="297" t="s">
        <v>124</v>
      </c>
      <c r="RCY232" s="297" t="s">
        <v>124</v>
      </c>
      <c r="RCZ232" s="297" t="s">
        <v>124</v>
      </c>
      <c r="RDA232" s="297" t="s">
        <v>124</v>
      </c>
      <c r="RDB232" s="297" t="s">
        <v>124</v>
      </c>
      <c r="RDC232" s="297" t="s">
        <v>124</v>
      </c>
      <c r="RDD232" s="297" t="s">
        <v>124</v>
      </c>
      <c r="RDE232" s="297" t="s">
        <v>124</v>
      </c>
      <c r="RDF232" s="297" t="s">
        <v>124</v>
      </c>
      <c r="RDG232" s="297" t="s">
        <v>124</v>
      </c>
      <c r="RDH232" s="297" t="s">
        <v>124</v>
      </c>
      <c r="RDI232" s="297" t="s">
        <v>124</v>
      </c>
      <c r="RDJ232" s="297" t="s">
        <v>124</v>
      </c>
      <c r="RDK232" s="297" t="s">
        <v>124</v>
      </c>
      <c r="RDL232" s="297" t="s">
        <v>124</v>
      </c>
      <c r="RDM232" s="297" t="s">
        <v>124</v>
      </c>
      <c r="RDN232" s="297" t="s">
        <v>124</v>
      </c>
      <c r="RDO232" s="297" t="s">
        <v>124</v>
      </c>
      <c r="RDP232" s="297" t="s">
        <v>124</v>
      </c>
      <c r="RDQ232" s="297" t="s">
        <v>124</v>
      </c>
      <c r="RDR232" s="297" t="s">
        <v>124</v>
      </c>
      <c r="RDS232" s="297" t="s">
        <v>124</v>
      </c>
      <c r="RDT232" s="297" t="s">
        <v>124</v>
      </c>
      <c r="RDU232" s="297" t="s">
        <v>124</v>
      </c>
      <c r="RDV232" s="297" t="s">
        <v>124</v>
      </c>
      <c r="RDW232" s="297" t="s">
        <v>124</v>
      </c>
      <c r="RDX232" s="297" t="s">
        <v>124</v>
      </c>
      <c r="RDY232" s="297" t="s">
        <v>124</v>
      </c>
      <c r="RDZ232" s="297" t="s">
        <v>124</v>
      </c>
      <c r="REA232" s="297" t="s">
        <v>124</v>
      </c>
      <c r="REB232" s="297" t="s">
        <v>124</v>
      </c>
      <c r="REC232" s="297" t="s">
        <v>124</v>
      </c>
      <c r="RED232" s="297" t="s">
        <v>124</v>
      </c>
      <c r="REE232" s="297" t="s">
        <v>124</v>
      </c>
      <c r="REF232" s="297" t="s">
        <v>124</v>
      </c>
      <c r="REG232" s="297" t="s">
        <v>124</v>
      </c>
      <c r="REH232" s="297" t="s">
        <v>124</v>
      </c>
      <c r="REI232" s="297" t="s">
        <v>124</v>
      </c>
      <c r="REJ232" s="297" t="s">
        <v>124</v>
      </c>
      <c r="REK232" s="297" t="s">
        <v>124</v>
      </c>
      <c r="REL232" s="297" t="s">
        <v>124</v>
      </c>
      <c r="REM232" s="297" t="s">
        <v>124</v>
      </c>
      <c r="REN232" s="297" t="s">
        <v>124</v>
      </c>
      <c r="REO232" s="297" t="s">
        <v>124</v>
      </c>
      <c r="REP232" s="297" t="s">
        <v>124</v>
      </c>
      <c r="REQ232" s="297" t="s">
        <v>124</v>
      </c>
      <c r="RER232" s="297" t="s">
        <v>124</v>
      </c>
      <c r="RES232" s="297" t="s">
        <v>124</v>
      </c>
      <c r="RET232" s="297" t="s">
        <v>124</v>
      </c>
      <c r="REU232" s="297" t="s">
        <v>124</v>
      </c>
      <c r="REV232" s="297" t="s">
        <v>124</v>
      </c>
      <c r="REW232" s="297" t="s">
        <v>124</v>
      </c>
      <c r="REX232" s="297" t="s">
        <v>124</v>
      </c>
      <c r="REY232" s="297" t="s">
        <v>124</v>
      </c>
      <c r="REZ232" s="297" t="s">
        <v>124</v>
      </c>
      <c r="RFA232" s="297" t="s">
        <v>124</v>
      </c>
      <c r="RFB232" s="297" t="s">
        <v>124</v>
      </c>
      <c r="RFC232" s="297" t="s">
        <v>124</v>
      </c>
      <c r="RFD232" s="297" t="s">
        <v>124</v>
      </c>
      <c r="RFE232" s="297" t="s">
        <v>124</v>
      </c>
      <c r="RFF232" s="297" t="s">
        <v>124</v>
      </c>
      <c r="RFG232" s="297" t="s">
        <v>124</v>
      </c>
      <c r="RFH232" s="297" t="s">
        <v>124</v>
      </c>
      <c r="RFI232" s="297" t="s">
        <v>124</v>
      </c>
      <c r="RFJ232" s="297" t="s">
        <v>124</v>
      </c>
      <c r="RFK232" s="297" t="s">
        <v>124</v>
      </c>
      <c r="RFL232" s="297" t="s">
        <v>124</v>
      </c>
      <c r="RFM232" s="297" t="s">
        <v>124</v>
      </c>
      <c r="RFN232" s="297" t="s">
        <v>124</v>
      </c>
      <c r="RFO232" s="297" t="s">
        <v>124</v>
      </c>
      <c r="RFP232" s="297" t="s">
        <v>124</v>
      </c>
      <c r="RFQ232" s="297" t="s">
        <v>124</v>
      </c>
      <c r="RFR232" s="297" t="s">
        <v>124</v>
      </c>
      <c r="RFS232" s="297" t="s">
        <v>124</v>
      </c>
      <c r="RFT232" s="297" t="s">
        <v>124</v>
      </c>
      <c r="RFU232" s="297" t="s">
        <v>124</v>
      </c>
      <c r="RFV232" s="297" t="s">
        <v>124</v>
      </c>
      <c r="RFW232" s="297" t="s">
        <v>124</v>
      </c>
      <c r="RFX232" s="297" t="s">
        <v>124</v>
      </c>
      <c r="RFY232" s="297" t="s">
        <v>124</v>
      </c>
      <c r="RFZ232" s="297" t="s">
        <v>124</v>
      </c>
      <c r="RGA232" s="297" t="s">
        <v>124</v>
      </c>
      <c r="RGB232" s="297" t="s">
        <v>124</v>
      </c>
      <c r="RGC232" s="297" t="s">
        <v>124</v>
      </c>
      <c r="RGD232" s="297" t="s">
        <v>124</v>
      </c>
      <c r="RGE232" s="297" t="s">
        <v>124</v>
      </c>
      <c r="RGF232" s="297" t="s">
        <v>124</v>
      </c>
      <c r="RGG232" s="297" t="s">
        <v>124</v>
      </c>
      <c r="RGH232" s="297" t="s">
        <v>124</v>
      </c>
      <c r="RGI232" s="297" t="s">
        <v>124</v>
      </c>
      <c r="RGJ232" s="297" t="s">
        <v>124</v>
      </c>
      <c r="RGK232" s="297" t="s">
        <v>124</v>
      </c>
      <c r="RGL232" s="297" t="s">
        <v>124</v>
      </c>
      <c r="RGM232" s="297" t="s">
        <v>124</v>
      </c>
      <c r="RGN232" s="297" t="s">
        <v>124</v>
      </c>
      <c r="RGO232" s="297" t="s">
        <v>124</v>
      </c>
      <c r="RGP232" s="297" t="s">
        <v>124</v>
      </c>
      <c r="RGQ232" s="297" t="s">
        <v>124</v>
      </c>
      <c r="RGR232" s="297" t="s">
        <v>124</v>
      </c>
      <c r="RGS232" s="297" t="s">
        <v>124</v>
      </c>
      <c r="RGT232" s="297" t="s">
        <v>124</v>
      </c>
      <c r="RGU232" s="297" t="s">
        <v>124</v>
      </c>
      <c r="RGV232" s="297" t="s">
        <v>124</v>
      </c>
      <c r="RGW232" s="297" t="s">
        <v>124</v>
      </c>
      <c r="RGX232" s="297" t="s">
        <v>124</v>
      </c>
      <c r="RGY232" s="297" t="s">
        <v>124</v>
      </c>
      <c r="RGZ232" s="297" t="s">
        <v>124</v>
      </c>
      <c r="RHA232" s="297" t="s">
        <v>124</v>
      </c>
      <c r="RHB232" s="297" t="s">
        <v>124</v>
      </c>
      <c r="RHC232" s="297" t="s">
        <v>124</v>
      </c>
      <c r="RHD232" s="297" t="s">
        <v>124</v>
      </c>
      <c r="RHE232" s="297" t="s">
        <v>124</v>
      </c>
      <c r="RHF232" s="297" t="s">
        <v>124</v>
      </c>
      <c r="RHG232" s="297" t="s">
        <v>124</v>
      </c>
      <c r="RHH232" s="297" t="s">
        <v>124</v>
      </c>
      <c r="RHI232" s="297" t="s">
        <v>124</v>
      </c>
      <c r="RHJ232" s="297" t="s">
        <v>124</v>
      </c>
      <c r="RHK232" s="297" t="s">
        <v>124</v>
      </c>
      <c r="RHL232" s="297" t="s">
        <v>124</v>
      </c>
      <c r="RHM232" s="297" t="s">
        <v>124</v>
      </c>
      <c r="RHN232" s="297" t="s">
        <v>124</v>
      </c>
      <c r="RHO232" s="297" t="s">
        <v>124</v>
      </c>
      <c r="RHP232" s="297" t="s">
        <v>124</v>
      </c>
      <c r="RHQ232" s="297" t="s">
        <v>124</v>
      </c>
      <c r="RHR232" s="297" t="s">
        <v>124</v>
      </c>
      <c r="RHS232" s="297" t="s">
        <v>124</v>
      </c>
      <c r="RHT232" s="297" t="s">
        <v>124</v>
      </c>
      <c r="RHU232" s="297" t="s">
        <v>124</v>
      </c>
      <c r="RHV232" s="297" t="s">
        <v>124</v>
      </c>
      <c r="RHW232" s="297" t="s">
        <v>124</v>
      </c>
      <c r="RHX232" s="297" t="s">
        <v>124</v>
      </c>
      <c r="RHY232" s="297" t="s">
        <v>124</v>
      </c>
      <c r="RHZ232" s="297" t="s">
        <v>124</v>
      </c>
      <c r="RIA232" s="297" t="s">
        <v>124</v>
      </c>
      <c r="RIB232" s="297" t="s">
        <v>124</v>
      </c>
      <c r="RIC232" s="297" t="s">
        <v>124</v>
      </c>
      <c r="RID232" s="297" t="s">
        <v>124</v>
      </c>
      <c r="RIE232" s="297" t="s">
        <v>124</v>
      </c>
      <c r="RIF232" s="297" t="s">
        <v>124</v>
      </c>
      <c r="RIG232" s="297" t="s">
        <v>124</v>
      </c>
      <c r="RIH232" s="297" t="s">
        <v>124</v>
      </c>
      <c r="RII232" s="297" t="s">
        <v>124</v>
      </c>
      <c r="RIJ232" s="297" t="s">
        <v>124</v>
      </c>
      <c r="RIK232" s="297" t="s">
        <v>124</v>
      </c>
      <c r="RIL232" s="297" t="s">
        <v>124</v>
      </c>
      <c r="RIM232" s="297" t="s">
        <v>124</v>
      </c>
      <c r="RIN232" s="297" t="s">
        <v>124</v>
      </c>
      <c r="RIO232" s="297" t="s">
        <v>124</v>
      </c>
      <c r="RIP232" s="297" t="s">
        <v>124</v>
      </c>
      <c r="RIQ232" s="297" t="s">
        <v>124</v>
      </c>
      <c r="RIR232" s="297" t="s">
        <v>124</v>
      </c>
      <c r="RIS232" s="297" t="s">
        <v>124</v>
      </c>
      <c r="RIT232" s="297" t="s">
        <v>124</v>
      </c>
      <c r="RIU232" s="297" t="s">
        <v>124</v>
      </c>
      <c r="RIV232" s="297" t="s">
        <v>124</v>
      </c>
      <c r="RIW232" s="297" t="s">
        <v>124</v>
      </c>
      <c r="RIX232" s="297" t="s">
        <v>124</v>
      </c>
      <c r="RIY232" s="297" t="s">
        <v>124</v>
      </c>
      <c r="RIZ232" s="297" t="s">
        <v>124</v>
      </c>
      <c r="RJA232" s="297" t="s">
        <v>124</v>
      </c>
      <c r="RJB232" s="297" t="s">
        <v>124</v>
      </c>
      <c r="RJC232" s="297" t="s">
        <v>124</v>
      </c>
      <c r="RJD232" s="297" t="s">
        <v>124</v>
      </c>
      <c r="RJE232" s="297" t="s">
        <v>124</v>
      </c>
      <c r="RJF232" s="297" t="s">
        <v>124</v>
      </c>
      <c r="RJG232" s="297" t="s">
        <v>124</v>
      </c>
      <c r="RJH232" s="297" t="s">
        <v>124</v>
      </c>
      <c r="RJI232" s="297" t="s">
        <v>124</v>
      </c>
      <c r="RJJ232" s="297" t="s">
        <v>124</v>
      </c>
      <c r="RJK232" s="297" t="s">
        <v>124</v>
      </c>
      <c r="RJL232" s="297" t="s">
        <v>124</v>
      </c>
      <c r="RJM232" s="297" t="s">
        <v>124</v>
      </c>
      <c r="RJN232" s="297" t="s">
        <v>124</v>
      </c>
      <c r="RJO232" s="297" t="s">
        <v>124</v>
      </c>
      <c r="RJP232" s="297" t="s">
        <v>124</v>
      </c>
      <c r="RJQ232" s="297" t="s">
        <v>124</v>
      </c>
      <c r="RJR232" s="297" t="s">
        <v>124</v>
      </c>
      <c r="RJS232" s="297" t="s">
        <v>124</v>
      </c>
      <c r="RJT232" s="297" t="s">
        <v>124</v>
      </c>
      <c r="RJU232" s="297" t="s">
        <v>124</v>
      </c>
      <c r="RJV232" s="297" t="s">
        <v>124</v>
      </c>
      <c r="RJW232" s="297" t="s">
        <v>124</v>
      </c>
      <c r="RJX232" s="297" t="s">
        <v>124</v>
      </c>
      <c r="RJY232" s="297" t="s">
        <v>124</v>
      </c>
      <c r="RJZ232" s="297" t="s">
        <v>124</v>
      </c>
      <c r="RKA232" s="297" t="s">
        <v>124</v>
      </c>
      <c r="RKB232" s="297" t="s">
        <v>124</v>
      </c>
      <c r="RKC232" s="297" t="s">
        <v>124</v>
      </c>
      <c r="RKD232" s="297" t="s">
        <v>124</v>
      </c>
      <c r="RKE232" s="297" t="s">
        <v>124</v>
      </c>
      <c r="RKF232" s="297" t="s">
        <v>124</v>
      </c>
      <c r="RKG232" s="297" t="s">
        <v>124</v>
      </c>
      <c r="RKH232" s="297" t="s">
        <v>124</v>
      </c>
      <c r="RKI232" s="297" t="s">
        <v>124</v>
      </c>
      <c r="RKJ232" s="297" t="s">
        <v>124</v>
      </c>
      <c r="RKK232" s="297" t="s">
        <v>124</v>
      </c>
      <c r="RKL232" s="297" t="s">
        <v>124</v>
      </c>
      <c r="RKM232" s="297" t="s">
        <v>124</v>
      </c>
      <c r="RKN232" s="297" t="s">
        <v>124</v>
      </c>
      <c r="RKO232" s="297" t="s">
        <v>124</v>
      </c>
      <c r="RKP232" s="297" t="s">
        <v>124</v>
      </c>
      <c r="RKQ232" s="297" t="s">
        <v>124</v>
      </c>
      <c r="RKR232" s="297" t="s">
        <v>124</v>
      </c>
      <c r="RKS232" s="297" t="s">
        <v>124</v>
      </c>
      <c r="RKT232" s="297" t="s">
        <v>124</v>
      </c>
      <c r="RKU232" s="297" t="s">
        <v>124</v>
      </c>
      <c r="RKV232" s="297" t="s">
        <v>124</v>
      </c>
      <c r="RKW232" s="297" t="s">
        <v>124</v>
      </c>
      <c r="RKX232" s="297" t="s">
        <v>124</v>
      </c>
      <c r="RKY232" s="297" t="s">
        <v>124</v>
      </c>
      <c r="RKZ232" s="297" t="s">
        <v>124</v>
      </c>
      <c r="RLA232" s="297" t="s">
        <v>124</v>
      </c>
      <c r="RLB232" s="297" t="s">
        <v>124</v>
      </c>
      <c r="RLC232" s="297" t="s">
        <v>124</v>
      </c>
      <c r="RLD232" s="297" t="s">
        <v>124</v>
      </c>
      <c r="RLE232" s="297" t="s">
        <v>124</v>
      </c>
      <c r="RLF232" s="297" t="s">
        <v>124</v>
      </c>
      <c r="RLG232" s="297" t="s">
        <v>124</v>
      </c>
      <c r="RLH232" s="297" t="s">
        <v>124</v>
      </c>
      <c r="RLI232" s="297" t="s">
        <v>124</v>
      </c>
      <c r="RLJ232" s="297" t="s">
        <v>124</v>
      </c>
      <c r="RLK232" s="297" t="s">
        <v>124</v>
      </c>
      <c r="RLL232" s="297" t="s">
        <v>124</v>
      </c>
      <c r="RLM232" s="297" t="s">
        <v>124</v>
      </c>
      <c r="RLN232" s="297" t="s">
        <v>124</v>
      </c>
      <c r="RLO232" s="297" t="s">
        <v>124</v>
      </c>
      <c r="RLP232" s="297" t="s">
        <v>124</v>
      </c>
      <c r="RLQ232" s="297" t="s">
        <v>124</v>
      </c>
      <c r="RLR232" s="297" t="s">
        <v>124</v>
      </c>
      <c r="RLS232" s="297" t="s">
        <v>124</v>
      </c>
      <c r="RLT232" s="297" t="s">
        <v>124</v>
      </c>
      <c r="RLU232" s="297" t="s">
        <v>124</v>
      </c>
      <c r="RLV232" s="297" t="s">
        <v>124</v>
      </c>
      <c r="RLW232" s="297" t="s">
        <v>124</v>
      </c>
      <c r="RLX232" s="297" t="s">
        <v>124</v>
      </c>
      <c r="RLY232" s="297" t="s">
        <v>124</v>
      </c>
      <c r="RLZ232" s="297" t="s">
        <v>124</v>
      </c>
      <c r="RMA232" s="297" t="s">
        <v>124</v>
      </c>
      <c r="RMB232" s="297" t="s">
        <v>124</v>
      </c>
      <c r="RMC232" s="297" t="s">
        <v>124</v>
      </c>
      <c r="RMD232" s="297" t="s">
        <v>124</v>
      </c>
      <c r="RME232" s="297" t="s">
        <v>124</v>
      </c>
      <c r="RMF232" s="297" t="s">
        <v>124</v>
      </c>
      <c r="RMG232" s="297" t="s">
        <v>124</v>
      </c>
      <c r="RMH232" s="297" t="s">
        <v>124</v>
      </c>
      <c r="RMI232" s="297" t="s">
        <v>124</v>
      </c>
      <c r="RMJ232" s="297" t="s">
        <v>124</v>
      </c>
      <c r="RMK232" s="297" t="s">
        <v>124</v>
      </c>
      <c r="RML232" s="297" t="s">
        <v>124</v>
      </c>
      <c r="RMM232" s="297" t="s">
        <v>124</v>
      </c>
      <c r="RMN232" s="297" t="s">
        <v>124</v>
      </c>
      <c r="RMO232" s="297" t="s">
        <v>124</v>
      </c>
      <c r="RMP232" s="297" t="s">
        <v>124</v>
      </c>
      <c r="RMQ232" s="297" t="s">
        <v>124</v>
      </c>
      <c r="RMR232" s="297" t="s">
        <v>124</v>
      </c>
      <c r="RMS232" s="297" t="s">
        <v>124</v>
      </c>
      <c r="RMT232" s="297" t="s">
        <v>124</v>
      </c>
      <c r="RMU232" s="297" t="s">
        <v>124</v>
      </c>
      <c r="RMV232" s="297" t="s">
        <v>124</v>
      </c>
      <c r="RMW232" s="297" t="s">
        <v>124</v>
      </c>
      <c r="RMX232" s="297" t="s">
        <v>124</v>
      </c>
      <c r="RMY232" s="297" t="s">
        <v>124</v>
      </c>
      <c r="RMZ232" s="297" t="s">
        <v>124</v>
      </c>
      <c r="RNA232" s="297" t="s">
        <v>124</v>
      </c>
      <c r="RNB232" s="297" t="s">
        <v>124</v>
      </c>
      <c r="RNC232" s="297" t="s">
        <v>124</v>
      </c>
      <c r="RND232" s="297" t="s">
        <v>124</v>
      </c>
      <c r="RNE232" s="297" t="s">
        <v>124</v>
      </c>
      <c r="RNF232" s="297" t="s">
        <v>124</v>
      </c>
      <c r="RNG232" s="297" t="s">
        <v>124</v>
      </c>
      <c r="RNH232" s="297" t="s">
        <v>124</v>
      </c>
      <c r="RNI232" s="297" t="s">
        <v>124</v>
      </c>
      <c r="RNJ232" s="297" t="s">
        <v>124</v>
      </c>
      <c r="RNK232" s="297" t="s">
        <v>124</v>
      </c>
      <c r="RNL232" s="297" t="s">
        <v>124</v>
      </c>
      <c r="RNM232" s="297" t="s">
        <v>124</v>
      </c>
      <c r="RNN232" s="297" t="s">
        <v>124</v>
      </c>
      <c r="RNO232" s="297" t="s">
        <v>124</v>
      </c>
      <c r="RNP232" s="297" t="s">
        <v>124</v>
      </c>
      <c r="RNQ232" s="297" t="s">
        <v>124</v>
      </c>
      <c r="RNR232" s="297" t="s">
        <v>124</v>
      </c>
      <c r="RNS232" s="297" t="s">
        <v>124</v>
      </c>
      <c r="RNT232" s="297" t="s">
        <v>124</v>
      </c>
      <c r="RNU232" s="297" t="s">
        <v>124</v>
      </c>
      <c r="RNV232" s="297" t="s">
        <v>124</v>
      </c>
      <c r="RNW232" s="297" t="s">
        <v>124</v>
      </c>
      <c r="RNX232" s="297" t="s">
        <v>124</v>
      </c>
      <c r="RNY232" s="297" t="s">
        <v>124</v>
      </c>
      <c r="RNZ232" s="297" t="s">
        <v>124</v>
      </c>
      <c r="ROA232" s="297" t="s">
        <v>124</v>
      </c>
      <c r="ROB232" s="297" t="s">
        <v>124</v>
      </c>
      <c r="ROC232" s="297" t="s">
        <v>124</v>
      </c>
      <c r="ROD232" s="297" t="s">
        <v>124</v>
      </c>
      <c r="ROE232" s="297" t="s">
        <v>124</v>
      </c>
      <c r="ROF232" s="297" t="s">
        <v>124</v>
      </c>
      <c r="ROG232" s="297" t="s">
        <v>124</v>
      </c>
      <c r="ROH232" s="297" t="s">
        <v>124</v>
      </c>
      <c r="ROI232" s="297" t="s">
        <v>124</v>
      </c>
      <c r="ROJ232" s="297" t="s">
        <v>124</v>
      </c>
      <c r="ROK232" s="297" t="s">
        <v>124</v>
      </c>
      <c r="ROL232" s="297" t="s">
        <v>124</v>
      </c>
      <c r="ROM232" s="297" t="s">
        <v>124</v>
      </c>
      <c r="RON232" s="297" t="s">
        <v>124</v>
      </c>
      <c r="ROO232" s="297" t="s">
        <v>124</v>
      </c>
      <c r="ROP232" s="297" t="s">
        <v>124</v>
      </c>
      <c r="ROQ232" s="297" t="s">
        <v>124</v>
      </c>
      <c r="ROR232" s="297" t="s">
        <v>124</v>
      </c>
      <c r="ROS232" s="297" t="s">
        <v>124</v>
      </c>
      <c r="ROT232" s="297" t="s">
        <v>124</v>
      </c>
      <c r="ROU232" s="297" t="s">
        <v>124</v>
      </c>
      <c r="ROV232" s="297" t="s">
        <v>124</v>
      </c>
      <c r="ROW232" s="297" t="s">
        <v>124</v>
      </c>
      <c r="ROX232" s="297" t="s">
        <v>124</v>
      </c>
      <c r="ROY232" s="297" t="s">
        <v>124</v>
      </c>
      <c r="ROZ232" s="297" t="s">
        <v>124</v>
      </c>
      <c r="RPA232" s="297" t="s">
        <v>124</v>
      </c>
      <c r="RPB232" s="297" t="s">
        <v>124</v>
      </c>
      <c r="RPC232" s="297" t="s">
        <v>124</v>
      </c>
      <c r="RPD232" s="297" t="s">
        <v>124</v>
      </c>
      <c r="RPE232" s="297" t="s">
        <v>124</v>
      </c>
      <c r="RPF232" s="297" t="s">
        <v>124</v>
      </c>
      <c r="RPG232" s="297" t="s">
        <v>124</v>
      </c>
      <c r="RPH232" s="297" t="s">
        <v>124</v>
      </c>
      <c r="RPI232" s="297" t="s">
        <v>124</v>
      </c>
      <c r="RPJ232" s="297" t="s">
        <v>124</v>
      </c>
      <c r="RPK232" s="297" t="s">
        <v>124</v>
      </c>
      <c r="RPL232" s="297" t="s">
        <v>124</v>
      </c>
      <c r="RPM232" s="297" t="s">
        <v>124</v>
      </c>
      <c r="RPN232" s="297" t="s">
        <v>124</v>
      </c>
      <c r="RPO232" s="297" t="s">
        <v>124</v>
      </c>
      <c r="RPP232" s="297" t="s">
        <v>124</v>
      </c>
      <c r="RPQ232" s="297" t="s">
        <v>124</v>
      </c>
      <c r="RPR232" s="297" t="s">
        <v>124</v>
      </c>
      <c r="RPS232" s="297" t="s">
        <v>124</v>
      </c>
      <c r="RPT232" s="297" t="s">
        <v>124</v>
      </c>
      <c r="RPU232" s="297" t="s">
        <v>124</v>
      </c>
      <c r="RPV232" s="297" t="s">
        <v>124</v>
      </c>
      <c r="RPW232" s="297" t="s">
        <v>124</v>
      </c>
      <c r="RPX232" s="297" t="s">
        <v>124</v>
      </c>
      <c r="RPY232" s="297" t="s">
        <v>124</v>
      </c>
      <c r="RPZ232" s="297" t="s">
        <v>124</v>
      </c>
      <c r="RQA232" s="297" t="s">
        <v>124</v>
      </c>
      <c r="RQB232" s="297" t="s">
        <v>124</v>
      </c>
      <c r="RQC232" s="297" t="s">
        <v>124</v>
      </c>
      <c r="RQD232" s="297" t="s">
        <v>124</v>
      </c>
      <c r="RQE232" s="297" t="s">
        <v>124</v>
      </c>
      <c r="RQF232" s="297" t="s">
        <v>124</v>
      </c>
      <c r="RQG232" s="297" t="s">
        <v>124</v>
      </c>
      <c r="RQH232" s="297" t="s">
        <v>124</v>
      </c>
      <c r="RQI232" s="297" t="s">
        <v>124</v>
      </c>
      <c r="RQJ232" s="297" t="s">
        <v>124</v>
      </c>
      <c r="RQK232" s="297" t="s">
        <v>124</v>
      </c>
      <c r="RQL232" s="297" t="s">
        <v>124</v>
      </c>
      <c r="RQM232" s="297" t="s">
        <v>124</v>
      </c>
      <c r="RQN232" s="297" t="s">
        <v>124</v>
      </c>
      <c r="RQO232" s="297" t="s">
        <v>124</v>
      </c>
      <c r="RQP232" s="297" t="s">
        <v>124</v>
      </c>
      <c r="RQQ232" s="297" t="s">
        <v>124</v>
      </c>
      <c r="RQR232" s="297" t="s">
        <v>124</v>
      </c>
      <c r="RQS232" s="297" t="s">
        <v>124</v>
      </c>
      <c r="RQT232" s="297" t="s">
        <v>124</v>
      </c>
      <c r="RQU232" s="297" t="s">
        <v>124</v>
      </c>
      <c r="RQV232" s="297" t="s">
        <v>124</v>
      </c>
      <c r="RQW232" s="297" t="s">
        <v>124</v>
      </c>
      <c r="RQX232" s="297" t="s">
        <v>124</v>
      </c>
      <c r="RQY232" s="297" t="s">
        <v>124</v>
      </c>
      <c r="RQZ232" s="297" t="s">
        <v>124</v>
      </c>
      <c r="RRA232" s="297" t="s">
        <v>124</v>
      </c>
      <c r="RRB232" s="297" t="s">
        <v>124</v>
      </c>
      <c r="RRC232" s="297" t="s">
        <v>124</v>
      </c>
      <c r="RRD232" s="297" t="s">
        <v>124</v>
      </c>
      <c r="RRE232" s="297" t="s">
        <v>124</v>
      </c>
      <c r="RRF232" s="297" t="s">
        <v>124</v>
      </c>
      <c r="RRG232" s="297" t="s">
        <v>124</v>
      </c>
      <c r="RRH232" s="297" t="s">
        <v>124</v>
      </c>
      <c r="RRI232" s="297" t="s">
        <v>124</v>
      </c>
      <c r="RRJ232" s="297" t="s">
        <v>124</v>
      </c>
      <c r="RRK232" s="297" t="s">
        <v>124</v>
      </c>
      <c r="RRL232" s="297" t="s">
        <v>124</v>
      </c>
      <c r="RRM232" s="297" t="s">
        <v>124</v>
      </c>
      <c r="RRN232" s="297" t="s">
        <v>124</v>
      </c>
      <c r="RRO232" s="297" t="s">
        <v>124</v>
      </c>
      <c r="RRP232" s="297" t="s">
        <v>124</v>
      </c>
      <c r="RRQ232" s="297" t="s">
        <v>124</v>
      </c>
      <c r="RRR232" s="297" t="s">
        <v>124</v>
      </c>
      <c r="RRS232" s="297" t="s">
        <v>124</v>
      </c>
      <c r="RRT232" s="297" t="s">
        <v>124</v>
      </c>
      <c r="RRU232" s="297" t="s">
        <v>124</v>
      </c>
      <c r="RRV232" s="297" t="s">
        <v>124</v>
      </c>
      <c r="RRW232" s="297" t="s">
        <v>124</v>
      </c>
      <c r="RRX232" s="297" t="s">
        <v>124</v>
      </c>
      <c r="RRY232" s="297" t="s">
        <v>124</v>
      </c>
      <c r="RRZ232" s="297" t="s">
        <v>124</v>
      </c>
      <c r="RSA232" s="297" t="s">
        <v>124</v>
      </c>
      <c r="RSB232" s="297" t="s">
        <v>124</v>
      </c>
      <c r="RSC232" s="297" t="s">
        <v>124</v>
      </c>
      <c r="RSD232" s="297" t="s">
        <v>124</v>
      </c>
      <c r="RSE232" s="297" t="s">
        <v>124</v>
      </c>
      <c r="RSF232" s="297" t="s">
        <v>124</v>
      </c>
      <c r="RSG232" s="297" t="s">
        <v>124</v>
      </c>
      <c r="RSH232" s="297" t="s">
        <v>124</v>
      </c>
      <c r="RSI232" s="297" t="s">
        <v>124</v>
      </c>
      <c r="RSJ232" s="297" t="s">
        <v>124</v>
      </c>
      <c r="RSK232" s="297" t="s">
        <v>124</v>
      </c>
      <c r="RSL232" s="297" t="s">
        <v>124</v>
      </c>
      <c r="RSM232" s="297" t="s">
        <v>124</v>
      </c>
      <c r="RSN232" s="297" t="s">
        <v>124</v>
      </c>
      <c r="RSO232" s="297" t="s">
        <v>124</v>
      </c>
      <c r="RSP232" s="297" t="s">
        <v>124</v>
      </c>
      <c r="RSQ232" s="297" t="s">
        <v>124</v>
      </c>
      <c r="RSR232" s="297" t="s">
        <v>124</v>
      </c>
      <c r="RSS232" s="297" t="s">
        <v>124</v>
      </c>
      <c r="RST232" s="297" t="s">
        <v>124</v>
      </c>
      <c r="RSU232" s="297" t="s">
        <v>124</v>
      </c>
      <c r="RSV232" s="297" t="s">
        <v>124</v>
      </c>
      <c r="RSW232" s="297" t="s">
        <v>124</v>
      </c>
      <c r="RSX232" s="297" t="s">
        <v>124</v>
      </c>
      <c r="RSY232" s="297" t="s">
        <v>124</v>
      </c>
      <c r="RSZ232" s="297" t="s">
        <v>124</v>
      </c>
      <c r="RTA232" s="297" t="s">
        <v>124</v>
      </c>
      <c r="RTB232" s="297" t="s">
        <v>124</v>
      </c>
      <c r="RTC232" s="297" t="s">
        <v>124</v>
      </c>
      <c r="RTD232" s="297" t="s">
        <v>124</v>
      </c>
      <c r="RTE232" s="297" t="s">
        <v>124</v>
      </c>
      <c r="RTF232" s="297" t="s">
        <v>124</v>
      </c>
      <c r="RTG232" s="297" t="s">
        <v>124</v>
      </c>
      <c r="RTH232" s="297" t="s">
        <v>124</v>
      </c>
      <c r="RTI232" s="297" t="s">
        <v>124</v>
      </c>
      <c r="RTJ232" s="297" t="s">
        <v>124</v>
      </c>
      <c r="RTK232" s="297" t="s">
        <v>124</v>
      </c>
      <c r="RTL232" s="297" t="s">
        <v>124</v>
      </c>
      <c r="RTM232" s="297" t="s">
        <v>124</v>
      </c>
      <c r="RTN232" s="297" t="s">
        <v>124</v>
      </c>
      <c r="RTO232" s="297" t="s">
        <v>124</v>
      </c>
      <c r="RTP232" s="297" t="s">
        <v>124</v>
      </c>
      <c r="RTQ232" s="297" t="s">
        <v>124</v>
      </c>
      <c r="RTR232" s="297" t="s">
        <v>124</v>
      </c>
      <c r="RTS232" s="297" t="s">
        <v>124</v>
      </c>
      <c r="RTT232" s="297" t="s">
        <v>124</v>
      </c>
      <c r="RTU232" s="297" t="s">
        <v>124</v>
      </c>
      <c r="RTV232" s="297" t="s">
        <v>124</v>
      </c>
      <c r="RTW232" s="297" t="s">
        <v>124</v>
      </c>
      <c r="RTX232" s="297" t="s">
        <v>124</v>
      </c>
      <c r="RTY232" s="297" t="s">
        <v>124</v>
      </c>
      <c r="RTZ232" s="297" t="s">
        <v>124</v>
      </c>
      <c r="RUA232" s="297" t="s">
        <v>124</v>
      </c>
      <c r="RUB232" s="297" t="s">
        <v>124</v>
      </c>
      <c r="RUC232" s="297" t="s">
        <v>124</v>
      </c>
      <c r="RUD232" s="297" t="s">
        <v>124</v>
      </c>
      <c r="RUE232" s="297" t="s">
        <v>124</v>
      </c>
      <c r="RUF232" s="297" t="s">
        <v>124</v>
      </c>
      <c r="RUG232" s="297" t="s">
        <v>124</v>
      </c>
      <c r="RUH232" s="297" t="s">
        <v>124</v>
      </c>
      <c r="RUI232" s="297" t="s">
        <v>124</v>
      </c>
      <c r="RUJ232" s="297" t="s">
        <v>124</v>
      </c>
      <c r="RUK232" s="297" t="s">
        <v>124</v>
      </c>
      <c r="RUL232" s="297" t="s">
        <v>124</v>
      </c>
      <c r="RUM232" s="297" t="s">
        <v>124</v>
      </c>
      <c r="RUN232" s="297" t="s">
        <v>124</v>
      </c>
      <c r="RUO232" s="297" t="s">
        <v>124</v>
      </c>
      <c r="RUP232" s="297" t="s">
        <v>124</v>
      </c>
      <c r="RUQ232" s="297" t="s">
        <v>124</v>
      </c>
      <c r="RUR232" s="297" t="s">
        <v>124</v>
      </c>
      <c r="RUS232" s="297" t="s">
        <v>124</v>
      </c>
      <c r="RUT232" s="297" t="s">
        <v>124</v>
      </c>
      <c r="RUU232" s="297" t="s">
        <v>124</v>
      </c>
      <c r="RUV232" s="297" t="s">
        <v>124</v>
      </c>
      <c r="RUW232" s="297" t="s">
        <v>124</v>
      </c>
      <c r="RUX232" s="297" t="s">
        <v>124</v>
      </c>
      <c r="RUY232" s="297" t="s">
        <v>124</v>
      </c>
      <c r="RUZ232" s="297" t="s">
        <v>124</v>
      </c>
      <c r="RVA232" s="297" t="s">
        <v>124</v>
      </c>
      <c r="RVB232" s="297" t="s">
        <v>124</v>
      </c>
      <c r="RVC232" s="297" t="s">
        <v>124</v>
      </c>
      <c r="RVD232" s="297" t="s">
        <v>124</v>
      </c>
      <c r="RVE232" s="297" t="s">
        <v>124</v>
      </c>
      <c r="RVF232" s="297" t="s">
        <v>124</v>
      </c>
      <c r="RVG232" s="297" t="s">
        <v>124</v>
      </c>
      <c r="RVH232" s="297" t="s">
        <v>124</v>
      </c>
      <c r="RVI232" s="297" t="s">
        <v>124</v>
      </c>
      <c r="RVJ232" s="297" t="s">
        <v>124</v>
      </c>
      <c r="RVK232" s="297" t="s">
        <v>124</v>
      </c>
      <c r="RVL232" s="297" t="s">
        <v>124</v>
      </c>
      <c r="RVM232" s="297" t="s">
        <v>124</v>
      </c>
      <c r="RVN232" s="297" t="s">
        <v>124</v>
      </c>
      <c r="RVO232" s="297" t="s">
        <v>124</v>
      </c>
      <c r="RVP232" s="297" t="s">
        <v>124</v>
      </c>
      <c r="RVQ232" s="297" t="s">
        <v>124</v>
      </c>
      <c r="RVR232" s="297" t="s">
        <v>124</v>
      </c>
      <c r="RVS232" s="297" t="s">
        <v>124</v>
      </c>
      <c r="RVT232" s="297" t="s">
        <v>124</v>
      </c>
      <c r="RVU232" s="297" t="s">
        <v>124</v>
      </c>
      <c r="RVV232" s="297" t="s">
        <v>124</v>
      </c>
      <c r="RVW232" s="297" t="s">
        <v>124</v>
      </c>
      <c r="RVX232" s="297" t="s">
        <v>124</v>
      </c>
      <c r="RVY232" s="297" t="s">
        <v>124</v>
      </c>
      <c r="RVZ232" s="297" t="s">
        <v>124</v>
      </c>
      <c r="RWA232" s="297" t="s">
        <v>124</v>
      </c>
      <c r="RWB232" s="297" t="s">
        <v>124</v>
      </c>
      <c r="RWC232" s="297" t="s">
        <v>124</v>
      </c>
      <c r="RWD232" s="297" t="s">
        <v>124</v>
      </c>
      <c r="RWE232" s="297" t="s">
        <v>124</v>
      </c>
      <c r="RWF232" s="297" t="s">
        <v>124</v>
      </c>
      <c r="RWG232" s="297" t="s">
        <v>124</v>
      </c>
      <c r="RWH232" s="297" t="s">
        <v>124</v>
      </c>
      <c r="RWI232" s="297" t="s">
        <v>124</v>
      </c>
      <c r="RWJ232" s="297" t="s">
        <v>124</v>
      </c>
      <c r="RWK232" s="297" t="s">
        <v>124</v>
      </c>
      <c r="RWL232" s="297" t="s">
        <v>124</v>
      </c>
      <c r="RWM232" s="297" t="s">
        <v>124</v>
      </c>
      <c r="RWN232" s="297" t="s">
        <v>124</v>
      </c>
      <c r="RWO232" s="297" t="s">
        <v>124</v>
      </c>
      <c r="RWP232" s="297" t="s">
        <v>124</v>
      </c>
      <c r="RWQ232" s="297" t="s">
        <v>124</v>
      </c>
      <c r="RWR232" s="297" t="s">
        <v>124</v>
      </c>
      <c r="RWS232" s="297" t="s">
        <v>124</v>
      </c>
      <c r="RWT232" s="297" t="s">
        <v>124</v>
      </c>
      <c r="RWU232" s="297" t="s">
        <v>124</v>
      </c>
      <c r="RWV232" s="297" t="s">
        <v>124</v>
      </c>
      <c r="RWW232" s="297" t="s">
        <v>124</v>
      </c>
      <c r="RWX232" s="297" t="s">
        <v>124</v>
      </c>
      <c r="RWY232" s="297" t="s">
        <v>124</v>
      </c>
      <c r="RWZ232" s="297" t="s">
        <v>124</v>
      </c>
      <c r="RXA232" s="297" t="s">
        <v>124</v>
      </c>
      <c r="RXB232" s="297" t="s">
        <v>124</v>
      </c>
      <c r="RXC232" s="297" t="s">
        <v>124</v>
      </c>
      <c r="RXD232" s="297" t="s">
        <v>124</v>
      </c>
      <c r="RXE232" s="297" t="s">
        <v>124</v>
      </c>
      <c r="RXF232" s="297" t="s">
        <v>124</v>
      </c>
      <c r="RXG232" s="297" t="s">
        <v>124</v>
      </c>
      <c r="RXH232" s="297" t="s">
        <v>124</v>
      </c>
      <c r="RXI232" s="297" t="s">
        <v>124</v>
      </c>
      <c r="RXJ232" s="297" t="s">
        <v>124</v>
      </c>
      <c r="RXK232" s="297" t="s">
        <v>124</v>
      </c>
      <c r="RXL232" s="297" t="s">
        <v>124</v>
      </c>
      <c r="RXM232" s="297" t="s">
        <v>124</v>
      </c>
      <c r="RXN232" s="297" t="s">
        <v>124</v>
      </c>
      <c r="RXO232" s="297" t="s">
        <v>124</v>
      </c>
      <c r="RXP232" s="297" t="s">
        <v>124</v>
      </c>
      <c r="RXQ232" s="297" t="s">
        <v>124</v>
      </c>
      <c r="RXR232" s="297" t="s">
        <v>124</v>
      </c>
      <c r="RXS232" s="297" t="s">
        <v>124</v>
      </c>
      <c r="RXT232" s="297" t="s">
        <v>124</v>
      </c>
      <c r="RXU232" s="297" t="s">
        <v>124</v>
      </c>
      <c r="RXV232" s="297" t="s">
        <v>124</v>
      </c>
      <c r="RXW232" s="297" t="s">
        <v>124</v>
      </c>
      <c r="RXX232" s="297" t="s">
        <v>124</v>
      </c>
      <c r="RXY232" s="297" t="s">
        <v>124</v>
      </c>
      <c r="RXZ232" s="297" t="s">
        <v>124</v>
      </c>
      <c r="RYA232" s="297" t="s">
        <v>124</v>
      </c>
      <c r="RYB232" s="297" t="s">
        <v>124</v>
      </c>
      <c r="RYC232" s="297" t="s">
        <v>124</v>
      </c>
      <c r="RYD232" s="297" t="s">
        <v>124</v>
      </c>
      <c r="RYE232" s="297" t="s">
        <v>124</v>
      </c>
      <c r="RYF232" s="297" t="s">
        <v>124</v>
      </c>
      <c r="RYG232" s="297" t="s">
        <v>124</v>
      </c>
      <c r="RYH232" s="297" t="s">
        <v>124</v>
      </c>
      <c r="RYI232" s="297" t="s">
        <v>124</v>
      </c>
      <c r="RYJ232" s="297" t="s">
        <v>124</v>
      </c>
      <c r="RYK232" s="297" t="s">
        <v>124</v>
      </c>
      <c r="RYL232" s="297" t="s">
        <v>124</v>
      </c>
      <c r="RYM232" s="297" t="s">
        <v>124</v>
      </c>
      <c r="RYN232" s="297" t="s">
        <v>124</v>
      </c>
      <c r="RYO232" s="297" t="s">
        <v>124</v>
      </c>
      <c r="RYP232" s="297" t="s">
        <v>124</v>
      </c>
      <c r="RYQ232" s="297" t="s">
        <v>124</v>
      </c>
      <c r="RYR232" s="297" t="s">
        <v>124</v>
      </c>
      <c r="RYS232" s="297" t="s">
        <v>124</v>
      </c>
      <c r="RYT232" s="297" t="s">
        <v>124</v>
      </c>
      <c r="RYU232" s="297" t="s">
        <v>124</v>
      </c>
      <c r="RYV232" s="297" t="s">
        <v>124</v>
      </c>
      <c r="RYW232" s="297" t="s">
        <v>124</v>
      </c>
      <c r="RYX232" s="297" t="s">
        <v>124</v>
      </c>
      <c r="RYY232" s="297" t="s">
        <v>124</v>
      </c>
      <c r="RYZ232" s="297" t="s">
        <v>124</v>
      </c>
      <c r="RZA232" s="297" t="s">
        <v>124</v>
      </c>
      <c r="RZB232" s="297" t="s">
        <v>124</v>
      </c>
      <c r="RZC232" s="297" t="s">
        <v>124</v>
      </c>
      <c r="RZD232" s="297" t="s">
        <v>124</v>
      </c>
      <c r="RZE232" s="297" t="s">
        <v>124</v>
      </c>
      <c r="RZF232" s="297" t="s">
        <v>124</v>
      </c>
      <c r="RZG232" s="297" t="s">
        <v>124</v>
      </c>
      <c r="RZH232" s="297" t="s">
        <v>124</v>
      </c>
      <c r="RZI232" s="297" t="s">
        <v>124</v>
      </c>
      <c r="RZJ232" s="297" t="s">
        <v>124</v>
      </c>
      <c r="RZK232" s="297" t="s">
        <v>124</v>
      </c>
      <c r="RZL232" s="297" t="s">
        <v>124</v>
      </c>
      <c r="RZM232" s="297" t="s">
        <v>124</v>
      </c>
      <c r="RZN232" s="297" t="s">
        <v>124</v>
      </c>
      <c r="RZO232" s="297" t="s">
        <v>124</v>
      </c>
      <c r="RZP232" s="297" t="s">
        <v>124</v>
      </c>
      <c r="RZQ232" s="297" t="s">
        <v>124</v>
      </c>
      <c r="RZR232" s="297" t="s">
        <v>124</v>
      </c>
      <c r="RZS232" s="297" t="s">
        <v>124</v>
      </c>
      <c r="RZT232" s="297" t="s">
        <v>124</v>
      </c>
      <c r="RZU232" s="297" t="s">
        <v>124</v>
      </c>
      <c r="RZV232" s="297" t="s">
        <v>124</v>
      </c>
      <c r="RZW232" s="297" t="s">
        <v>124</v>
      </c>
      <c r="RZX232" s="297" t="s">
        <v>124</v>
      </c>
      <c r="RZY232" s="297" t="s">
        <v>124</v>
      </c>
      <c r="RZZ232" s="297" t="s">
        <v>124</v>
      </c>
      <c r="SAA232" s="297" t="s">
        <v>124</v>
      </c>
      <c r="SAB232" s="297" t="s">
        <v>124</v>
      </c>
      <c r="SAC232" s="297" t="s">
        <v>124</v>
      </c>
      <c r="SAD232" s="297" t="s">
        <v>124</v>
      </c>
      <c r="SAE232" s="297" t="s">
        <v>124</v>
      </c>
      <c r="SAF232" s="297" t="s">
        <v>124</v>
      </c>
      <c r="SAG232" s="297" t="s">
        <v>124</v>
      </c>
      <c r="SAH232" s="297" t="s">
        <v>124</v>
      </c>
      <c r="SAI232" s="297" t="s">
        <v>124</v>
      </c>
      <c r="SAJ232" s="297" t="s">
        <v>124</v>
      </c>
      <c r="SAK232" s="297" t="s">
        <v>124</v>
      </c>
      <c r="SAL232" s="297" t="s">
        <v>124</v>
      </c>
      <c r="SAM232" s="297" t="s">
        <v>124</v>
      </c>
      <c r="SAN232" s="297" t="s">
        <v>124</v>
      </c>
      <c r="SAO232" s="297" t="s">
        <v>124</v>
      </c>
      <c r="SAP232" s="297" t="s">
        <v>124</v>
      </c>
      <c r="SAQ232" s="297" t="s">
        <v>124</v>
      </c>
      <c r="SAR232" s="297" t="s">
        <v>124</v>
      </c>
      <c r="SAS232" s="297" t="s">
        <v>124</v>
      </c>
      <c r="SAT232" s="297" t="s">
        <v>124</v>
      </c>
      <c r="SAU232" s="297" t="s">
        <v>124</v>
      </c>
      <c r="SAV232" s="297" t="s">
        <v>124</v>
      </c>
      <c r="SAW232" s="297" t="s">
        <v>124</v>
      </c>
      <c r="SAX232" s="297" t="s">
        <v>124</v>
      </c>
      <c r="SAY232" s="297" t="s">
        <v>124</v>
      </c>
      <c r="SAZ232" s="297" t="s">
        <v>124</v>
      </c>
      <c r="SBA232" s="297" t="s">
        <v>124</v>
      </c>
      <c r="SBB232" s="297" t="s">
        <v>124</v>
      </c>
      <c r="SBC232" s="297" t="s">
        <v>124</v>
      </c>
      <c r="SBD232" s="297" t="s">
        <v>124</v>
      </c>
      <c r="SBE232" s="297" t="s">
        <v>124</v>
      </c>
      <c r="SBF232" s="297" t="s">
        <v>124</v>
      </c>
      <c r="SBG232" s="297" t="s">
        <v>124</v>
      </c>
      <c r="SBH232" s="297" t="s">
        <v>124</v>
      </c>
      <c r="SBI232" s="297" t="s">
        <v>124</v>
      </c>
      <c r="SBJ232" s="297" t="s">
        <v>124</v>
      </c>
      <c r="SBK232" s="297" t="s">
        <v>124</v>
      </c>
      <c r="SBL232" s="297" t="s">
        <v>124</v>
      </c>
      <c r="SBM232" s="297" t="s">
        <v>124</v>
      </c>
      <c r="SBN232" s="297" t="s">
        <v>124</v>
      </c>
      <c r="SBO232" s="297" t="s">
        <v>124</v>
      </c>
      <c r="SBP232" s="297" t="s">
        <v>124</v>
      </c>
      <c r="SBQ232" s="297" t="s">
        <v>124</v>
      </c>
      <c r="SBR232" s="297" t="s">
        <v>124</v>
      </c>
      <c r="SBS232" s="297" t="s">
        <v>124</v>
      </c>
      <c r="SBT232" s="297" t="s">
        <v>124</v>
      </c>
      <c r="SBU232" s="297" t="s">
        <v>124</v>
      </c>
      <c r="SBV232" s="297" t="s">
        <v>124</v>
      </c>
      <c r="SBW232" s="297" t="s">
        <v>124</v>
      </c>
      <c r="SBX232" s="297" t="s">
        <v>124</v>
      </c>
      <c r="SBY232" s="297" t="s">
        <v>124</v>
      </c>
      <c r="SBZ232" s="297" t="s">
        <v>124</v>
      </c>
      <c r="SCA232" s="297" t="s">
        <v>124</v>
      </c>
      <c r="SCB232" s="297" t="s">
        <v>124</v>
      </c>
      <c r="SCC232" s="297" t="s">
        <v>124</v>
      </c>
      <c r="SCD232" s="297" t="s">
        <v>124</v>
      </c>
      <c r="SCE232" s="297" t="s">
        <v>124</v>
      </c>
      <c r="SCF232" s="297" t="s">
        <v>124</v>
      </c>
      <c r="SCG232" s="297" t="s">
        <v>124</v>
      </c>
      <c r="SCH232" s="297" t="s">
        <v>124</v>
      </c>
      <c r="SCI232" s="297" t="s">
        <v>124</v>
      </c>
      <c r="SCJ232" s="297" t="s">
        <v>124</v>
      </c>
      <c r="SCK232" s="297" t="s">
        <v>124</v>
      </c>
      <c r="SCL232" s="297" t="s">
        <v>124</v>
      </c>
      <c r="SCM232" s="297" t="s">
        <v>124</v>
      </c>
      <c r="SCN232" s="297" t="s">
        <v>124</v>
      </c>
      <c r="SCO232" s="297" t="s">
        <v>124</v>
      </c>
      <c r="SCP232" s="297" t="s">
        <v>124</v>
      </c>
      <c r="SCQ232" s="297" t="s">
        <v>124</v>
      </c>
      <c r="SCR232" s="297" t="s">
        <v>124</v>
      </c>
      <c r="SCS232" s="297" t="s">
        <v>124</v>
      </c>
      <c r="SCT232" s="297" t="s">
        <v>124</v>
      </c>
      <c r="SCU232" s="297" t="s">
        <v>124</v>
      </c>
      <c r="SCV232" s="297" t="s">
        <v>124</v>
      </c>
      <c r="SCW232" s="297" t="s">
        <v>124</v>
      </c>
      <c r="SCX232" s="297" t="s">
        <v>124</v>
      </c>
      <c r="SCY232" s="297" t="s">
        <v>124</v>
      </c>
      <c r="SCZ232" s="297" t="s">
        <v>124</v>
      </c>
      <c r="SDA232" s="297" t="s">
        <v>124</v>
      </c>
      <c r="SDB232" s="297" t="s">
        <v>124</v>
      </c>
      <c r="SDC232" s="297" t="s">
        <v>124</v>
      </c>
      <c r="SDD232" s="297" t="s">
        <v>124</v>
      </c>
      <c r="SDE232" s="297" t="s">
        <v>124</v>
      </c>
      <c r="SDF232" s="297" t="s">
        <v>124</v>
      </c>
      <c r="SDG232" s="297" t="s">
        <v>124</v>
      </c>
      <c r="SDH232" s="297" t="s">
        <v>124</v>
      </c>
      <c r="SDI232" s="297" t="s">
        <v>124</v>
      </c>
      <c r="SDJ232" s="297" t="s">
        <v>124</v>
      </c>
      <c r="SDK232" s="297" t="s">
        <v>124</v>
      </c>
      <c r="SDL232" s="297" t="s">
        <v>124</v>
      </c>
      <c r="SDM232" s="297" t="s">
        <v>124</v>
      </c>
      <c r="SDN232" s="297" t="s">
        <v>124</v>
      </c>
      <c r="SDO232" s="297" t="s">
        <v>124</v>
      </c>
      <c r="SDP232" s="297" t="s">
        <v>124</v>
      </c>
      <c r="SDQ232" s="297" t="s">
        <v>124</v>
      </c>
      <c r="SDR232" s="297" t="s">
        <v>124</v>
      </c>
      <c r="SDS232" s="297" t="s">
        <v>124</v>
      </c>
      <c r="SDT232" s="297" t="s">
        <v>124</v>
      </c>
      <c r="SDU232" s="297" t="s">
        <v>124</v>
      </c>
      <c r="SDV232" s="297" t="s">
        <v>124</v>
      </c>
      <c r="SDW232" s="297" t="s">
        <v>124</v>
      </c>
      <c r="SDX232" s="297" t="s">
        <v>124</v>
      </c>
      <c r="SDY232" s="297" t="s">
        <v>124</v>
      </c>
      <c r="SDZ232" s="297" t="s">
        <v>124</v>
      </c>
      <c r="SEA232" s="297" t="s">
        <v>124</v>
      </c>
      <c r="SEB232" s="297" t="s">
        <v>124</v>
      </c>
      <c r="SEC232" s="297" t="s">
        <v>124</v>
      </c>
      <c r="SED232" s="297" t="s">
        <v>124</v>
      </c>
      <c r="SEE232" s="297" t="s">
        <v>124</v>
      </c>
      <c r="SEF232" s="297" t="s">
        <v>124</v>
      </c>
      <c r="SEG232" s="297" t="s">
        <v>124</v>
      </c>
      <c r="SEH232" s="297" t="s">
        <v>124</v>
      </c>
      <c r="SEI232" s="297" t="s">
        <v>124</v>
      </c>
      <c r="SEJ232" s="297" t="s">
        <v>124</v>
      </c>
      <c r="SEK232" s="297" t="s">
        <v>124</v>
      </c>
      <c r="SEL232" s="297" t="s">
        <v>124</v>
      </c>
      <c r="SEM232" s="297" t="s">
        <v>124</v>
      </c>
      <c r="SEN232" s="297" t="s">
        <v>124</v>
      </c>
      <c r="SEO232" s="297" t="s">
        <v>124</v>
      </c>
      <c r="SEP232" s="297" t="s">
        <v>124</v>
      </c>
      <c r="SEQ232" s="297" t="s">
        <v>124</v>
      </c>
      <c r="SER232" s="297" t="s">
        <v>124</v>
      </c>
      <c r="SES232" s="297" t="s">
        <v>124</v>
      </c>
      <c r="SET232" s="297" t="s">
        <v>124</v>
      </c>
      <c r="SEU232" s="297" t="s">
        <v>124</v>
      </c>
      <c r="SEV232" s="297" t="s">
        <v>124</v>
      </c>
      <c r="SEW232" s="297" t="s">
        <v>124</v>
      </c>
      <c r="SEX232" s="297" t="s">
        <v>124</v>
      </c>
      <c r="SEY232" s="297" t="s">
        <v>124</v>
      </c>
      <c r="SEZ232" s="297" t="s">
        <v>124</v>
      </c>
      <c r="SFA232" s="297" t="s">
        <v>124</v>
      </c>
      <c r="SFB232" s="297" t="s">
        <v>124</v>
      </c>
      <c r="SFC232" s="297" t="s">
        <v>124</v>
      </c>
      <c r="SFD232" s="297" t="s">
        <v>124</v>
      </c>
      <c r="SFE232" s="297" t="s">
        <v>124</v>
      </c>
      <c r="SFF232" s="297" t="s">
        <v>124</v>
      </c>
      <c r="SFG232" s="297" t="s">
        <v>124</v>
      </c>
      <c r="SFH232" s="297" t="s">
        <v>124</v>
      </c>
      <c r="SFI232" s="297" t="s">
        <v>124</v>
      </c>
      <c r="SFJ232" s="297" t="s">
        <v>124</v>
      </c>
      <c r="SFK232" s="297" t="s">
        <v>124</v>
      </c>
      <c r="SFL232" s="297" t="s">
        <v>124</v>
      </c>
      <c r="SFM232" s="297" t="s">
        <v>124</v>
      </c>
      <c r="SFN232" s="297" t="s">
        <v>124</v>
      </c>
      <c r="SFO232" s="297" t="s">
        <v>124</v>
      </c>
      <c r="SFP232" s="297" t="s">
        <v>124</v>
      </c>
      <c r="SFQ232" s="297" t="s">
        <v>124</v>
      </c>
      <c r="SFR232" s="297" t="s">
        <v>124</v>
      </c>
      <c r="SFS232" s="297" t="s">
        <v>124</v>
      </c>
      <c r="SFT232" s="297" t="s">
        <v>124</v>
      </c>
      <c r="SFU232" s="297" t="s">
        <v>124</v>
      </c>
      <c r="SFV232" s="297" t="s">
        <v>124</v>
      </c>
      <c r="SFW232" s="297" t="s">
        <v>124</v>
      </c>
      <c r="SFX232" s="297" t="s">
        <v>124</v>
      </c>
      <c r="SFY232" s="297" t="s">
        <v>124</v>
      </c>
      <c r="SFZ232" s="297" t="s">
        <v>124</v>
      </c>
      <c r="SGA232" s="297" t="s">
        <v>124</v>
      </c>
      <c r="SGB232" s="297" t="s">
        <v>124</v>
      </c>
      <c r="SGC232" s="297" t="s">
        <v>124</v>
      </c>
      <c r="SGD232" s="297" t="s">
        <v>124</v>
      </c>
      <c r="SGE232" s="297" t="s">
        <v>124</v>
      </c>
      <c r="SGF232" s="297" t="s">
        <v>124</v>
      </c>
      <c r="SGG232" s="297" t="s">
        <v>124</v>
      </c>
      <c r="SGH232" s="297" t="s">
        <v>124</v>
      </c>
      <c r="SGI232" s="297" t="s">
        <v>124</v>
      </c>
      <c r="SGJ232" s="297" t="s">
        <v>124</v>
      </c>
      <c r="SGK232" s="297" t="s">
        <v>124</v>
      </c>
      <c r="SGL232" s="297" t="s">
        <v>124</v>
      </c>
      <c r="SGM232" s="297" t="s">
        <v>124</v>
      </c>
      <c r="SGN232" s="297" t="s">
        <v>124</v>
      </c>
      <c r="SGO232" s="297" t="s">
        <v>124</v>
      </c>
      <c r="SGP232" s="297" t="s">
        <v>124</v>
      </c>
      <c r="SGQ232" s="297" t="s">
        <v>124</v>
      </c>
      <c r="SGR232" s="297" t="s">
        <v>124</v>
      </c>
      <c r="SGS232" s="297" t="s">
        <v>124</v>
      </c>
      <c r="SGT232" s="297" t="s">
        <v>124</v>
      </c>
      <c r="SGU232" s="297" t="s">
        <v>124</v>
      </c>
      <c r="SGV232" s="297" t="s">
        <v>124</v>
      </c>
      <c r="SGW232" s="297" t="s">
        <v>124</v>
      </c>
      <c r="SGX232" s="297" t="s">
        <v>124</v>
      </c>
      <c r="SGY232" s="297" t="s">
        <v>124</v>
      </c>
      <c r="SGZ232" s="297" t="s">
        <v>124</v>
      </c>
      <c r="SHA232" s="297" t="s">
        <v>124</v>
      </c>
      <c r="SHB232" s="297" t="s">
        <v>124</v>
      </c>
      <c r="SHC232" s="297" t="s">
        <v>124</v>
      </c>
      <c r="SHD232" s="297" t="s">
        <v>124</v>
      </c>
      <c r="SHE232" s="297" t="s">
        <v>124</v>
      </c>
      <c r="SHF232" s="297" t="s">
        <v>124</v>
      </c>
      <c r="SHG232" s="297" t="s">
        <v>124</v>
      </c>
      <c r="SHH232" s="297" t="s">
        <v>124</v>
      </c>
      <c r="SHI232" s="297" t="s">
        <v>124</v>
      </c>
      <c r="SHJ232" s="297" t="s">
        <v>124</v>
      </c>
      <c r="SHK232" s="297" t="s">
        <v>124</v>
      </c>
      <c r="SHL232" s="297" t="s">
        <v>124</v>
      </c>
      <c r="SHM232" s="297" t="s">
        <v>124</v>
      </c>
      <c r="SHN232" s="297" t="s">
        <v>124</v>
      </c>
      <c r="SHO232" s="297" t="s">
        <v>124</v>
      </c>
      <c r="SHP232" s="297" t="s">
        <v>124</v>
      </c>
      <c r="SHQ232" s="297" t="s">
        <v>124</v>
      </c>
      <c r="SHR232" s="297" t="s">
        <v>124</v>
      </c>
      <c r="SHS232" s="297" t="s">
        <v>124</v>
      </c>
      <c r="SHT232" s="297" t="s">
        <v>124</v>
      </c>
      <c r="SHU232" s="297" t="s">
        <v>124</v>
      </c>
      <c r="SHV232" s="297" t="s">
        <v>124</v>
      </c>
      <c r="SHW232" s="297" t="s">
        <v>124</v>
      </c>
      <c r="SHX232" s="297" t="s">
        <v>124</v>
      </c>
      <c r="SHY232" s="297" t="s">
        <v>124</v>
      </c>
      <c r="SHZ232" s="297" t="s">
        <v>124</v>
      </c>
      <c r="SIA232" s="297" t="s">
        <v>124</v>
      </c>
      <c r="SIB232" s="297" t="s">
        <v>124</v>
      </c>
      <c r="SIC232" s="297" t="s">
        <v>124</v>
      </c>
      <c r="SID232" s="297" t="s">
        <v>124</v>
      </c>
      <c r="SIE232" s="297" t="s">
        <v>124</v>
      </c>
      <c r="SIF232" s="297" t="s">
        <v>124</v>
      </c>
      <c r="SIG232" s="297" t="s">
        <v>124</v>
      </c>
      <c r="SIH232" s="297" t="s">
        <v>124</v>
      </c>
      <c r="SII232" s="297" t="s">
        <v>124</v>
      </c>
      <c r="SIJ232" s="297" t="s">
        <v>124</v>
      </c>
      <c r="SIK232" s="297" t="s">
        <v>124</v>
      </c>
      <c r="SIL232" s="297" t="s">
        <v>124</v>
      </c>
      <c r="SIM232" s="297" t="s">
        <v>124</v>
      </c>
      <c r="SIN232" s="297" t="s">
        <v>124</v>
      </c>
      <c r="SIO232" s="297" t="s">
        <v>124</v>
      </c>
      <c r="SIP232" s="297" t="s">
        <v>124</v>
      </c>
      <c r="SIQ232" s="297" t="s">
        <v>124</v>
      </c>
      <c r="SIR232" s="297" t="s">
        <v>124</v>
      </c>
      <c r="SIS232" s="297" t="s">
        <v>124</v>
      </c>
      <c r="SIT232" s="297" t="s">
        <v>124</v>
      </c>
      <c r="SIU232" s="297" t="s">
        <v>124</v>
      </c>
      <c r="SIV232" s="297" t="s">
        <v>124</v>
      </c>
      <c r="SIW232" s="297" t="s">
        <v>124</v>
      </c>
      <c r="SIX232" s="297" t="s">
        <v>124</v>
      </c>
      <c r="SIY232" s="297" t="s">
        <v>124</v>
      </c>
      <c r="SIZ232" s="297" t="s">
        <v>124</v>
      </c>
      <c r="SJA232" s="297" t="s">
        <v>124</v>
      </c>
      <c r="SJB232" s="297" t="s">
        <v>124</v>
      </c>
      <c r="SJC232" s="297" t="s">
        <v>124</v>
      </c>
      <c r="SJD232" s="297" t="s">
        <v>124</v>
      </c>
      <c r="SJE232" s="297" t="s">
        <v>124</v>
      </c>
      <c r="SJF232" s="297" t="s">
        <v>124</v>
      </c>
      <c r="SJG232" s="297" t="s">
        <v>124</v>
      </c>
      <c r="SJH232" s="297" t="s">
        <v>124</v>
      </c>
      <c r="SJI232" s="297" t="s">
        <v>124</v>
      </c>
      <c r="SJJ232" s="297" t="s">
        <v>124</v>
      </c>
      <c r="SJK232" s="297" t="s">
        <v>124</v>
      </c>
      <c r="SJL232" s="297" t="s">
        <v>124</v>
      </c>
      <c r="SJM232" s="297" t="s">
        <v>124</v>
      </c>
      <c r="SJN232" s="297" t="s">
        <v>124</v>
      </c>
      <c r="SJO232" s="297" t="s">
        <v>124</v>
      </c>
      <c r="SJP232" s="297" t="s">
        <v>124</v>
      </c>
      <c r="SJQ232" s="297" t="s">
        <v>124</v>
      </c>
      <c r="SJR232" s="297" t="s">
        <v>124</v>
      </c>
      <c r="SJS232" s="297" t="s">
        <v>124</v>
      </c>
      <c r="SJT232" s="297" t="s">
        <v>124</v>
      </c>
      <c r="SJU232" s="297" t="s">
        <v>124</v>
      </c>
      <c r="SJV232" s="297" t="s">
        <v>124</v>
      </c>
      <c r="SJW232" s="297" t="s">
        <v>124</v>
      </c>
      <c r="SJX232" s="297" t="s">
        <v>124</v>
      </c>
      <c r="SJY232" s="297" t="s">
        <v>124</v>
      </c>
      <c r="SJZ232" s="297" t="s">
        <v>124</v>
      </c>
      <c r="SKA232" s="297" t="s">
        <v>124</v>
      </c>
      <c r="SKB232" s="297" t="s">
        <v>124</v>
      </c>
      <c r="SKC232" s="297" t="s">
        <v>124</v>
      </c>
      <c r="SKD232" s="297" t="s">
        <v>124</v>
      </c>
      <c r="SKE232" s="297" t="s">
        <v>124</v>
      </c>
      <c r="SKF232" s="297" t="s">
        <v>124</v>
      </c>
      <c r="SKG232" s="297" t="s">
        <v>124</v>
      </c>
      <c r="SKH232" s="297" t="s">
        <v>124</v>
      </c>
      <c r="SKI232" s="297" t="s">
        <v>124</v>
      </c>
      <c r="SKJ232" s="297" t="s">
        <v>124</v>
      </c>
      <c r="SKK232" s="297" t="s">
        <v>124</v>
      </c>
      <c r="SKL232" s="297" t="s">
        <v>124</v>
      </c>
      <c r="SKM232" s="297" t="s">
        <v>124</v>
      </c>
      <c r="SKN232" s="297" t="s">
        <v>124</v>
      </c>
      <c r="SKO232" s="297" t="s">
        <v>124</v>
      </c>
      <c r="SKP232" s="297" t="s">
        <v>124</v>
      </c>
      <c r="SKQ232" s="297" t="s">
        <v>124</v>
      </c>
      <c r="SKR232" s="297" t="s">
        <v>124</v>
      </c>
      <c r="SKS232" s="297" t="s">
        <v>124</v>
      </c>
      <c r="SKT232" s="297" t="s">
        <v>124</v>
      </c>
      <c r="SKU232" s="297" t="s">
        <v>124</v>
      </c>
      <c r="SKV232" s="297" t="s">
        <v>124</v>
      </c>
      <c r="SKW232" s="297" t="s">
        <v>124</v>
      </c>
      <c r="SKX232" s="297" t="s">
        <v>124</v>
      </c>
      <c r="SKY232" s="297" t="s">
        <v>124</v>
      </c>
      <c r="SKZ232" s="297" t="s">
        <v>124</v>
      </c>
      <c r="SLA232" s="297" t="s">
        <v>124</v>
      </c>
      <c r="SLB232" s="297" t="s">
        <v>124</v>
      </c>
      <c r="SLC232" s="297" t="s">
        <v>124</v>
      </c>
      <c r="SLD232" s="297" t="s">
        <v>124</v>
      </c>
      <c r="SLE232" s="297" t="s">
        <v>124</v>
      </c>
      <c r="SLF232" s="297" t="s">
        <v>124</v>
      </c>
      <c r="SLG232" s="297" t="s">
        <v>124</v>
      </c>
      <c r="SLH232" s="297" t="s">
        <v>124</v>
      </c>
      <c r="SLI232" s="297" t="s">
        <v>124</v>
      </c>
      <c r="SLJ232" s="297" t="s">
        <v>124</v>
      </c>
      <c r="SLK232" s="297" t="s">
        <v>124</v>
      </c>
      <c r="SLL232" s="297" t="s">
        <v>124</v>
      </c>
      <c r="SLM232" s="297" t="s">
        <v>124</v>
      </c>
      <c r="SLN232" s="297" t="s">
        <v>124</v>
      </c>
      <c r="SLO232" s="297" t="s">
        <v>124</v>
      </c>
      <c r="SLP232" s="297" t="s">
        <v>124</v>
      </c>
      <c r="SLQ232" s="297" t="s">
        <v>124</v>
      </c>
      <c r="SLR232" s="297" t="s">
        <v>124</v>
      </c>
      <c r="SLS232" s="297" t="s">
        <v>124</v>
      </c>
      <c r="SLT232" s="297" t="s">
        <v>124</v>
      </c>
      <c r="SLU232" s="297" t="s">
        <v>124</v>
      </c>
      <c r="SLV232" s="297" t="s">
        <v>124</v>
      </c>
      <c r="SLW232" s="297" t="s">
        <v>124</v>
      </c>
      <c r="SLX232" s="297" t="s">
        <v>124</v>
      </c>
      <c r="SLY232" s="297" t="s">
        <v>124</v>
      </c>
      <c r="SLZ232" s="297" t="s">
        <v>124</v>
      </c>
      <c r="SMA232" s="297" t="s">
        <v>124</v>
      </c>
      <c r="SMB232" s="297" t="s">
        <v>124</v>
      </c>
      <c r="SMC232" s="297" t="s">
        <v>124</v>
      </c>
      <c r="SMD232" s="297" t="s">
        <v>124</v>
      </c>
      <c r="SME232" s="297" t="s">
        <v>124</v>
      </c>
      <c r="SMF232" s="297" t="s">
        <v>124</v>
      </c>
      <c r="SMG232" s="297" t="s">
        <v>124</v>
      </c>
      <c r="SMH232" s="297" t="s">
        <v>124</v>
      </c>
      <c r="SMI232" s="297" t="s">
        <v>124</v>
      </c>
      <c r="SMJ232" s="297" t="s">
        <v>124</v>
      </c>
      <c r="SMK232" s="297" t="s">
        <v>124</v>
      </c>
      <c r="SML232" s="297" t="s">
        <v>124</v>
      </c>
      <c r="SMM232" s="297" t="s">
        <v>124</v>
      </c>
      <c r="SMN232" s="297" t="s">
        <v>124</v>
      </c>
      <c r="SMO232" s="297" t="s">
        <v>124</v>
      </c>
      <c r="SMP232" s="297" t="s">
        <v>124</v>
      </c>
      <c r="SMQ232" s="297" t="s">
        <v>124</v>
      </c>
      <c r="SMR232" s="297" t="s">
        <v>124</v>
      </c>
      <c r="SMS232" s="297" t="s">
        <v>124</v>
      </c>
      <c r="SMT232" s="297" t="s">
        <v>124</v>
      </c>
      <c r="SMU232" s="297" t="s">
        <v>124</v>
      </c>
      <c r="SMV232" s="297" t="s">
        <v>124</v>
      </c>
      <c r="SMW232" s="297" t="s">
        <v>124</v>
      </c>
      <c r="SMX232" s="297" t="s">
        <v>124</v>
      </c>
      <c r="SMY232" s="297" t="s">
        <v>124</v>
      </c>
      <c r="SMZ232" s="297" t="s">
        <v>124</v>
      </c>
      <c r="SNA232" s="297" t="s">
        <v>124</v>
      </c>
      <c r="SNB232" s="297" t="s">
        <v>124</v>
      </c>
      <c r="SNC232" s="297" t="s">
        <v>124</v>
      </c>
      <c r="SND232" s="297" t="s">
        <v>124</v>
      </c>
      <c r="SNE232" s="297" t="s">
        <v>124</v>
      </c>
      <c r="SNF232" s="297" t="s">
        <v>124</v>
      </c>
      <c r="SNG232" s="297" t="s">
        <v>124</v>
      </c>
      <c r="SNH232" s="297" t="s">
        <v>124</v>
      </c>
      <c r="SNI232" s="297" t="s">
        <v>124</v>
      </c>
      <c r="SNJ232" s="297" t="s">
        <v>124</v>
      </c>
      <c r="SNK232" s="297" t="s">
        <v>124</v>
      </c>
      <c r="SNL232" s="297" t="s">
        <v>124</v>
      </c>
      <c r="SNM232" s="297" t="s">
        <v>124</v>
      </c>
      <c r="SNN232" s="297" t="s">
        <v>124</v>
      </c>
      <c r="SNO232" s="297" t="s">
        <v>124</v>
      </c>
      <c r="SNP232" s="297" t="s">
        <v>124</v>
      </c>
      <c r="SNQ232" s="297" t="s">
        <v>124</v>
      </c>
      <c r="SNR232" s="297" t="s">
        <v>124</v>
      </c>
      <c r="SNS232" s="297" t="s">
        <v>124</v>
      </c>
      <c r="SNT232" s="297" t="s">
        <v>124</v>
      </c>
      <c r="SNU232" s="297" t="s">
        <v>124</v>
      </c>
      <c r="SNV232" s="297" t="s">
        <v>124</v>
      </c>
      <c r="SNW232" s="297" t="s">
        <v>124</v>
      </c>
      <c r="SNX232" s="297" t="s">
        <v>124</v>
      </c>
      <c r="SNY232" s="297" t="s">
        <v>124</v>
      </c>
      <c r="SNZ232" s="297" t="s">
        <v>124</v>
      </c>
      <c r="SOA232" s="297" t="s">
        <v>124</v>
      </c>
      <c r="SOB232" s="297" t="s">
        <v>124</v>
      </c>
      <c r="SOC232" s="297" t="s">
        <v>124</v>
      </c>
      <c r="SOD232" s="297" t="s">
        <v>124</v>
      </c>
      <c r="SOE232" s="297" t="s">
        <v>124</v>
      </c>
      <c r="SOF232" s="297" t="s">
        <v>124</v>
      </c>
      <c r="SOG232" s="297" t="s">
        <v>124</v>
      </c>
      <c r="SOH232" s="297" t="s">
        <v>124</v>
      </c>
      <c r="SOI232" s="297" t="s">
        <v>124</v>
      </c>
      <c r="SOJ232" s="297" t="s">
        <v>124</v>
      </c>
      <c r="SOK232" s="297" t="s">
        <v>124</v>
      </c>
      <c r="SOL232" s="297" t="s">
        <v>124</v>
      </c>
      <c r="SOM232" s="297" t="s">
        <v>124</v>
      </c>
      <c r="SON232" s="297" t="s">
        <v>124</v>
      </c>
      <c r="SOO232" s="297" t="s">
        <v>124</v>
      </c>
      <c r="SOP232" s="297" t="s">
        <v>124</v>
      </c>
      <c r="SOQ232" s="297" t="s">
        <v>124</v>
      </c>
      <c r="SOR232" s="297" t="s">
        <v>124</v>
      </c>
      <c r="SOS232" s="297" t="s">
        <v>124</v>
      </c>
      <c r="SOT232" s="297" t="s">
        <v>124</v>
      </c>
      <c r="SOU232" s="297" t="s">
        <v>124</v>
      </c>
      <c r="SOV232" s="297" t="s">
        <v>124</v>
      </c>
      <c r="SOW232" s="297" t="s">
        <v>124</v>
      </c>
      <c r="SOX232" s="297" t="s">
        <v>124</v>
      </c>
      <c r="SOY232" s="297" t="s">
        <v>124</v>
      </c>
      <c r="SOZ232" s="297" t="s">
        <v>124</v>
      </c>
      <c r="SPA232" s="297" t="s">
        <v>124</v>
      </c>
      <c r="SPB232" s="297" t="s">
        <v>124</v>
      </c>
      <c r="SPC232" s="297" t="s">
        <v>124</v>
      </c>
      <c r="SPD232" s="297" t="s">
        <v>124</v>
      </c>
      <c r="SPE232" s="297" t="s">
        <v>124</v>
      </c>
      <c r="SPF232" s="297" t="s">
        <v>124</v>
      </c>
      <c r="SPG232" s="297" t="s">
        <v>124</v>
      </c>
      <c r="SPH232" s="297" t="s">
        <v>124</v>
      </c>
      <c r="SPI232" s="297" t="s">
        <v>124</v>
      </c>
      <c r="SPJ232" s="297" t="s">
        <v>124</v>
      </c>
      <c r="SPK232" s="297" t="s">
        <v>124</v>
      </c>
      <c r="SPL232" s="297" t="s">
        <v>124</v>
      </c>
      <c r="SPM232" s="297" t="s">
        <v>124</v>
      </c>
      <c r="SPN232" s="297" t="s">
        <v>124</v>
      </c>
      <c r="SPO232" s="297" t="s">
        <v>124</v>
      </c>
      <c r="SPP232" s="297" t="s">
        <v>124</v>
      </c>
      <c r="SPQ232" s="297" t="s">
        <v>124</v>
      </c>
      <c r="SPR232" s="297" t="s">
        <v>124</v>
      </c>
      <c r="SPS232" s="297" t="s">
        <v>124</v>
      </c>
      <c r="SPT232" s="297" t="s">
        <v>124</v>
      </c>
      <c r="SPU232" s="297" t="s">
        <v>124</v>
      </c>
      <c r="SPV232" s="297" t="s">
        <v>124</v>
      </c>
      <c r="SPW232" s="297" t="s">
        <v>124</v>
      </c>
      <c r="SPX232" s="297" t="s">
        <v>124</v>
      </c>
      <c r="SPY232" s="297" t="s">
        <v>124</v>
      </c>
      <c r="SPZ232" s="297" t="s">
        <v>124</v>
      </c>
      <c r="SQA232" s="297" t="s">
        <v>124</v>
      </c>
      <c r="SQB232" s="297" t="s">
        <v>124</v>
      </c>
      <c r="SQC232" s="297" t="s">
        <v>124</v>
      </c>
      <c r="SQD232" s="297" t="s">
        <v>124</v>
      </c>
      <c r="SQE232" s="297" t="s">
        <v>124</v>
      </c>
      <c r="SQF232" s="297" t="s">
        <v>124</v>
      </c>
      <c r="SQG232" s="297" t="s">
        <v>124</v>
      </c>
      <c r="SQH232" s="297" t="s">
        <v>124</v>
      </c>
      <c r="SQI232" s="297" t="s">
        <v>124</v>
      </c>
      <c r="SQJ232" s="297" t="s">
        <v>124</v>
      </c>
      <c r="SQK232" s="297" t="s">
        <v>124</v>
      </c>
      <c r="SQL232" s="297" t="s">
        <v>124</v>
      </c>
      <c r="SQM232" s="297" t="s">
        <v>124</v>
      </c>
      <c r="SQN232" s="297" t="s">
        <v>124</v>
      </c>
      <c r="SQO232" s="297" t="s">
        <v>124</v>
      </c>
      <c r="SQP232" s="297" t="s">
        <v>124</v>
      </c>
      <c r="SQQ232" s="297" t="s">
        <v>124</v>
      </c>
      <c r="SQR232" s="297" t="s">
        <v>124</v>
      </c>
      <c r="SQS232" s="297" t="s">
        <v>124</v>
      </c>
      <c r="SQT232" s="297" t="s">
        <v>124</v>
      </c>
      <c r="SQU232" s="297" t="s">
        <v>124</v>
      </c>
      <c r="SQV232" s="297" t="s">
        <v>124</v>
      </c>
      <c r="SQW232" s="297" t="s">
        <v>124</v>
      </c>
      <c r="SQX232" s="297" t="s">
        <v>124</v>
      </c>
      <c r="SQY232" s="297" t="s">
        <v>124</v>
      </c>
      <c r="SQZ232" s="297" t="s">
        <v>124</v>
      </c>
      <c r="SRA232" s="297" t="s">
        <v>124</v>
      </c>
      <c r="SRB232" s="297" t="s">
        <v>124</v>
      </c>
      <c r="SRC232" s="297" t="s">
        <v>124</v>
      </c>
      <c r="SRD232" s="297" t="s">
        <v>124</v>
      </c>
      <c r="SRE232" s="297" t="s">
        <v>124</v>
      </c>
      <c r="SRF232" s="297" t="s">
        <v>124</v>
      </c>
      <c r="SRG232" s="297" t="s">
        <v>124</v>
      </c>
      <c r="SRH232" s="297" t="s">
        <v>124</v>
      </c>
      <c r="SRI232" s="297" t="s">
        <v>124</v>
      </c>
      <c r="SRJ232" s="297" t="s">
        <v>124</v>
      </c>
      <c r="SRK232" s="297" t="s">
        <v>124</v>
      </c>
      <c r="SRL232" s="297" t="s">
        <v>124</v>
      </c>
      <c r="SRM232" s="297" t="s">
        <v>124</v>
      </c>
      <c r="SRN232" s="297" t="s">
        <v>124</v>
      </c>
      <c r="SRO232" s="297" t="s">
        <v>124</v>
      </c>
      <c r="SRP232" s="297" t="s">
        <v>124</v>
      </c>
      <c r="SRQ232" s="297" t="s">
        <v>124</v>
      </c>
      <c r="SRR232" s="297" t="s">
        <v>124</v>
      </c>
      <c r="SRS232" s="297" t="s">
        <v>124</v>
      </c>
      <c r="SRT232" s="297" t="s">
        <v>124</v>
      </c>
      <c r="SRU232" s="297" t="s">
        <v>124</v>
      </c>
      <c r="SRV232" s="297" t="s">
        <v>124</v>
      </c>
      <c r="SRW232" s="297" t="s">
        <v>124</v>
      </c>
      <c r="SRX232" s="297" t="s">
        <v>124</v>
      </c>
      <c r="SRY232" s="297" t="s">
        <v>124</v>
      </c>
      <c r="SRZ232" s="297" t="s">
        <v>124</v>
      </c>
      <c r="SSA232" s="297" t="s">
        <v>124</v>
      </c>
      <c r="SSB232" s="297" t="s">
        <v>124</v>
      </c>
      <c r="SSC232" s="297" t="s">
        <v>124</v>
      </c>
      <c r="SSD232" s="297" t="s">
        <v>124</v>
      </c>
      <c r="SSE232" s="297" t="s">
        <v>124</v>
      </c>
      <c r="SSF232" s="297" t="s">
        <v>124</v>
      </c>
      <c r="SSG232" s="297" t="s">
        <v>124</v>
      </c>
      <c r="SSH232" s="297" t="s">
        <v>124</v>
      </c>
      <c r="SSI232" s="297" t="s">
        <v>124</v>
      </c>
      <c r="SSJ232" s="297" t="s">
        <v>124</v>
      </c>
      <c r="SSK232" s="297" t="s">
        <v>124</v>
      </c>
      <c r="SSL232" s="297" t="s">
        <v>124</v>
      </c>
      <c r="SSM232" s="297" t="s">
        <v>124</v>
      </c>
      <c r="SSN232" s="297" t="s">
        <v>124</v>
      </c>
      <c r="SSO232" s="297" t="s">
        <v>124</v>
      </c>
      <c r="SSP232" s="297" t="s">
        <v>124</v>
      </c>
      <c r="SSQ232" s="297" t="s">
        <v>124</v>
      </c>
      <c r="SSR232" s="297" t="s">
        <v>124</v>
      </c>
      <c r="SSS232" s="297" t="s">
        <v>124</v>
      </c>
      <c r="SST232" s="297" t="s">
        <v>124</v>
      </c>
      <c r="SSU232" s="297" t="s">
        <v>124</v>
      </c>
      <c r="SSV232" s="297" t="s">
        <v>124</v>
      </c>
      <c r="SSW232" s="297" t="s">
        <v>124</v>
      </c>
      <c r="SSX232" s="297" t="s">
        <v>124</v>
      </c>
      <c r="SSY232" s="297" t="s">
        <v>124</v>
      </c>
      <c r="SSZ232" s="297" t="s">
        <v>124</v>
      </c>
      <c r="STA232" s="297" t="s">
        <v>124</v>
      </c>
      <c r="STB232" s="297" t="s">
        <v>124</v>
      </c>
      <c r="STC232" s="297" t="s">
        <v>124</v>
      </c>
      <c r="STD232" s="297" t="s">
        <v>124</v>
      </c>
      <c r="STE232" s="297" t="s">
        <v>124</v>
      </c>
      <c r="STF232" s="297" t="s">
        <v>124</v>
      </c>
      <c r="STG232" s="297" t="s">
        <v>124</v>
      </c>
      <c r="STH232" s="297" t="s">
        <v>124</v>
      </c>
      <c r="STI232" s="297" t="s">
        <v>124</v>
      </c>
      <c r="STJ232" s="297" t="s">
        <v>124</v>
      </c>
      <c r="STK232" s="297" t="s">
        <v>124</v>
      </c>
      <c r="STL232" s="297" t="s">
        <v>124</v>
      </c>
      <c r="STM232" s="297" t="s">
        <v>124</v>
      </c>
      <c r="STN232" s="297" t="s">
        <v>124</v>
      </c>
      <c r="STO232" s="297" t="s">
        <v>124</v>
      </c>
      <c r="STP232" s="297" t="s">
        <v>124</v>
      </c>
      <c r="STQ232" s="297" t="s">
        <v>124</v>
      </c>
      <c r="STR232" s="297" t="s">
        <v>124</v>
      </c>
      <c r="STS232" s="297" t="s">
        <v>124</v>
      </c>
      <c r="STT232" s="297" t="s">
        <v>124</v>
      </c>
      <c r="STU232" s="297" t="s">
        <v>124</v>
      </c>
      <c r="STV232" s="297" t="s">
        <v>124</v>
      </c>
      <c r="STW232" s="297" t="s">
        <v>124</v>
      </c>
      <c r="STX232" s="297" t="s">
        <v>124</v>
      </c>
      <c r="STY232" s="297" t="s">
        <v>124</v>
      </c>
      <c r="STZ232" s="297" t="s">
        <v>124</v>
      </c>
      <c r="SUA232" s="297" t="s">
        <v>124</v>
      </c>
      <c r="SUB232" s="297" t="s">
        <v>124</v>
      </c>
      <c r="SUC232" s="297" t="s">
        <v>124</v>
      </c>
      <c r="SUD232" s="297" t="s">
        <v>124</v>
      </c>
      <c r="SUE232" s="297" t="s">
        <v>124</v>
      </c>
      <c r="SUF232" s="297" t="s">
        <v>124</v>
      </c>
      <c r="SUG232" s="297" t="s">
        <v>124</v>
      </c>
      <c r="SUH232" s="297" t="s">
        <v>124</v>
      </c>
      <c r="SUI232" s="297" t="s">
        <v>124</v>
      </c>
      <c r="SUJ232" s="297" t="s">
        <v>124</v>
      </c>
      <c r="SUK232" s="297" t="s">
        <v>124</v>
      </c>
      <c r="SUL232" s="297" t="s">
        <v>124</v>
      </c>
      <c r="SUM232" s="297" t="s">
        <v>124</v>
      </c>
      <c r="SUN232" s="297" t="s">
        <v>124</v>
      </c>
      <c r="SUO232" s="297" t="s">
        <v>124</v>
      </c>
      <c r="SUP232" s="297" t="s">
        <v>124</v>
      </c>
      <c r="SUQ232" s="297" t="s">
        <v>124</v>
      </c>
      <c r="SUR232" s="297" t="s">
        <v>124</v>
      </c>
      <c r="SUS232" s="297" t="s">
        <v>124</v>
      </c>
      <c r="SUT232" s="297" t="s">
        <v>124</v>
      </c>
      <c r="SUU232" s="297" t="s">
        <v>124</v>
      </c>
      <c r="SUV232" s="297" t="s">
        <v>124</v>
      </c>
      <c r="SUW232" s="297" t="s">
        <v>124</v>
      </c>
      <c r="SUX232" s="297" t="s">
        <v>124</v>
      </c>
      <c r="SUY232" s="297" t="s">
        <v>124</v>
      </c>
      <c r="SUZ232" s="297" t="s">
        <v>124</v>
      </c>
      <c r="SVA232" s="297" t="s">
        <v>124</v>
      </c>
      <c r="SVB232" s="297" t="s">
        <v>124</v>
      </c>
      <c r="SVC232" s="297" t="s">
        <v>124</v>
      </c>
      <c r="SVD232" s="297" t="s">
        <v>124</v>
      </c>
      <c r="SVE232" s="297" t="s">
        <v>124</v>
      </c>
      <c r="SVF232" s="297" t="s">
        <v>124</v>
      </c>
      <c r="SVG232" s="297" t="s">
        <v>124</v>
      </c>
      <c r="SVH232" s="297" t="s">
        <v>124</v>
      </c>
      <c r="SVI232" s="297" t="s">
        <v>124</v>
      </c>
      <c r="SVJ232" s="297" t="s">
        <v>124</v>
      </c>
      <c r="SVK232" s="297" t="s">
        <v>124</v>
      </c>
      <c r="SVL232" s="297" t="s">
        <v>124</v>
      </c>
      <c r="SVM232" s="297" t="s">
        <v>124</v>
      </c>
      <c r="SVN232" s="297" t="s">
        <v>124</v>
      </c>
      <c r="SVO232" s="297" t="s">
        <v>124</v>
      </c>
      <c r="SVP232" s="297" t="s">
        <v>124</v>
      </c>
      <c r="SVQ232" s="297" t="s">
        <v>124</v>
      </c>
      <c r="SVR232" s="297" t="s">
        <v>124</v>
      </c>
      <c r="SVS232" s="297" t="s">
        <v>124</v>
      </c>
      <c r="SVT232" s="297" t="s">
        <v>124</v>
      </c>
      <c r="SVU232" s="297" t="s">
        <v>124</v>
      </c>
      <c r="SVV232" s="297" t="s">
        <v>124</v>
      </c>
      <c r="SVW232" s="297" t="s">
        <v>124</v>
      </c>
      <c r="SVX232" s="297" t="s">
        <v>124</v>
      </c>
      <c r="SVY232" s="297" t="s">
        <v>124</v>
      </c>
      <c r="SVZ232" s="297" t="s">
        <v>124</v>
      </c>
      <c r="SWA232" s="297" t="s">
        <v>124</v>
      </c>
      <c r="SWB232" s="297" t="s">
        <v>124</v>
      </c>
      <c r="SWC232" s="297" t="s">
        <v>124</v>
      </c>
      <c r="SWD232" s="297" t="s">
        <v>124</v>
      </c>
      <c r="SWE232" s="297" t="s">
        <v>124</v>
      </c>
      <c r="SWF232" s="297" t="s">
        <v>124</v>
      </c>
      <c r="SWG232" s="297" t="s">
        <v>124</v>
      </c>
      <c r="SWH232" s="297" t="s">
        <v>124</v>
      </c>
      <c r="SWI232" s="297" t="s">
        <v>124</v>
      </c>
      <c r="SWJ232" s="297" t="s">
        <v>124</v>
      </c>
      <c r="SWK232" s="297" t="s">
        <v>124</v>
      </c>
      <c r="SWL232" s="297" t="s">
        <v>124</v>
      </c>
      <c r="SWM232" s="297" t="s">
        <v>124</v>
      </c>
      <c r="SWN232" s="297" t="s">
        <v>124</v>
      </c>
      <c r="SWO232" s="297" t="s">
        <v>124</v>
      </c>
      <c r="SWP232" s="297" t="s">
        <v>124</v>
      </c>
      <c r="SWQ232" s="297" t="s">
        <v>124</v>
      </c>
      <c r="SWR232" s="297" t="s">
        <v>124</v>
      </c>
      <c r="SWS232" s="297" t="s">
        <v>124</v>
      </c>
      <c r="SWT232" s="297" t="s">
        <v>124</v>
      </c>
      <c r="SWU232" s="297" t="s">
        <v>124</v>
      </c>
      <c r="SWV232" s="297" t="s">
        <v>124</v>
      </c>
      <c r="SWW232" s="297" t="s">
        <v>124</v>
      </c>
      <c r="SWX232" s="297" t="s">
        <v>124</v>
      </c>
      <c r="SWY232" s="297" t="s">
        <v>124</v>
      </c>
      <c r="SWZ232" s="297" t="s">
        <v>124</v>
      </c>
      <c r="SXA232" s="297" t="s">
        <v>124</v>
      </c>
      <c r="SXB232" s="297" t="s">
        <v>124</v>
      </c>
      <c r="SXC232" s="297" t="s">
        <v>124</v>
      </c>
      <c r="SXD232" s="297" t="s">
        <v>124</v>
      </c>
      <c r="SXE232" s="297" t="s">
        <v>124</v>
      </c>
      <c r="SXF232" s="297" t="s">
        <v>124</v>
      </c>
      <c r="SXG232" s="297" t="s">
        <v>124</v>
      </c>
      <c r="SXH232" s="297" t="s">
        <v>124</v>
      </c>
      <c r="SXI232" s="297" t="s">
        <v>124</v>
      </c>
      <c r="SXJ232" s="297" t="s">
        <v>124</v>
      </c>
      <c r="SXK232" s="297" t="s">
        <v>124</v>
      </c>
      <c r="SXL232" s="297" t="s">
        <v>124</v>
      </c>
      <c r="SXM232" s="297" t="s">
        <v>124</v>
      </c>
      <c r="SXN232" s="297" t="s">
        <v>124</v>
      </c>
      <c r="SXO232" s="297" t="s">
        <v>124</v>
      </c>
      <c r="SXP232" s="297" t="s">
        <v>124</v>
      </c>
      <c r="SXQ232" s="297" t="s">
        <v>124</v>
      </c>
      <c r="SXR232" s="297" t="s">
        <v>124</v>
      </c>
      <c r="SXS232" s="297" t="s">
        <v>124</v>
      </c>
      <c r="SXT232" s="297" t="s">
        <v>124</v>
      </c>
      <c r="SXU232" s="297" t="s">
        <v>124</v>
      </c>
      <c r="SXV232" s="297" t="s">
        <v>124</v>
      </c>
      <c r="SXW232" s="297" t="s">
        <v>124</v>
      </c>
      <c r="SXX232" s="297" t="s">
        <v>124</v>
      </c>
      <c r="SXY232" s="297" t="s">
        <v>124</v>
      </c>
      <c r="SXZ232" s="297" t="s">
        <v>124</v>
      </c>
      <c r="SYA232" s="297" t="s">
        <v>124</v>
      </c>
      <c r="SYB232" s="297" t="s">
        <v>124</v>
      </c>
      <c r="SYC232" s="297" t="s">
        <v>124</v>
      </c>
      <c r="SYD232" s="297" t="s">
        <v>124</v>
      </c>
      <c r="SYE232" s="297" t="s">
        <v>124</v>
      </c>
      <c r="SYF232" s="297" t="s">
        <v>124</v>
      </c>
      <c r="SYG232" s="297" t="s">
        <v>124</v>
      </c>
      <c r="SYH232" s="297" t="s">
        <v>124</v>
      </c>
      <c r="SYI232" s="297" t="s">
        <v>124</v>
      </c>
      <c r="SYJ232" s="297" t="s">
        <v>124</v>
      </c>
      <c r="SYK232" s="297" t="s">
        <v>124</v>
      </c>
      <c r="SYL232" s="297" t="s">
        <v>124</v>
      </c>
      <c r="SYM232" s="297" t="s">
        <v>124</v>
      </c>
      <c r="SYN232" s="297" t="s">
        <v>124</v>
      </c>
      <c r="SYO232" s="297" t="s">
        <v>124</v>
      </c>
      <c r="SYP232" s="297" t="s">
        <v>124</v>
      </c>
      <c r="SYQ232" s="297" t="s">
        <v>124</v>
      </c>
      <c r="SYR232" s="297" t="s">
        <v>124</v>
      </c>
      <c r="SYS232" s="297" t="s">
        <v>124</v>
      </c>
      <c r="SYT232" s="297" t="s">
        <v>124</v>
      </c>
      <c r="SYU232" s="297" t="s">
        <v>124</v>
      </c>
      <c r="SYV232" s="297" t="s">
        <v>124</v>
      </c>
      <c r="SYW232" s="297" t="s">
        <v>124</v>
      </c>
      <c r="SYX232" s="297" t="s">
        <v>124</v>
      </c>
      <c r="SYY232" s="297" t="s">
        <v>124</v>
      </c>
      <c r="SYZ232" s="297" t="s">
        <v>124</v>
      </c>
      <c r="SZA232" s="297" t="s">
        <v>124</v>
      </c>
      <c r="SZB232" s="297" t="s">
        <v>124</v>
      </c>
      <c r="SZC232" s="297" t="s">
        <v>124</v>
      </c>
      <c r="SZD232" s="297" t="s">
        <v>124</v>
      </c>
      <c r="SZE232" s="297" t="s">
        <v>124</v>
      </c>
      <c r="SZF232" s="297" t="s">
        <v>124</v>
      </c>
      <c r="SZG232" s="297" t="s">
        <v>124</v>
      </c>
      <c r="SZH232" s="297" t="s">
        <v>124</v>
      </c>
      <c r="SZI232" s="297" t="s">
        <v>124</v>
      </c>
      <c r="SZJ232" s="297" t="s">
        <v>124</v>
      </c>
      <c r="SZK232" s="297" t="s">
        <v>124</v>
      </c>
      <c r="SZL232" s="297" t="s">
        <v>124</v>
      </c>
      <c r="SZM232" s="297" t="s">
        <v>124</v>
      </c>
      <c r="SZN232" s="297" t="s">
        <v>124</v>
      </c>
      <c r="SZO232" s="297" t="s">
        <v>124</v>
      </c>
      <c r="SZP232" s="297" t="s">
        <v>124</v>
      </c>
      <c r="SZQ232" s="297" t="s">
        <v>124</v>
      </c>
      <c r="SZR232" s="297" t="s">
        <v>124</v>
      </c>
      <c r="SZS232" s="297" t="s">
        <v>124</v>
      </c>
      <c r="SZT232" s="297" t="s">
        <v>124</v>
      </c>
      <c r="SZU232" s="297" t="s">
        <v>124</v>
      </c>
      <c r="SZV232" s="297" t="s">
        <v>124</v>
      </c>
      <c r="SZW232" s="297" t="s">
        <v>124</v>
      </c>
      <c r="SZX232" s="297" t="s">
        <v>124</v>
      </c>
      <c r="SZY232" s="297" t="s">
        <v>124</v>
      </c>
      <c r="SZZ232" s="297" t="s">
        <v>124</v>
      </c>
      <c r="TAA232" s="297" t="s">
        <v>124</v>
      </c>
      <c r="TAB232" s="297" t="s">
        <v>124</v>
      </c>
      <c r="TAC232" s="297" t="s">
        <v>124</v>
      </c>
      <c r="TAD232" s="297" t="s">
        <v>124</v>
      </c>
      <c r="TAE232" s="297" t="s">
        <v>124</v>
      </c>
      <c r="TAF232" s="297" t="s">
        <v>124</v>
      </c>
      <c r="TAG232" s="297" t="s">
        <v>124</v>
      </c>
      <c r="TAH232" s="297" t="s">
        <v>124</v>
      </c>
      <c r="TAI232" s="297" t="s">
        <v>124</v>
      </c>
      <c r="TAJ232" s="297" t="s">
        <v>124</v>
      </c>
      <c r="TAK232" s="297" t="s">
        <v>124</v>
      </c>
      <c r="TAL232" s="297" t="s">
        <v>124</v>
      </c>
      <c r="TAM232" s="297" t="s">
        <v>124</v>
      </c>
      <c r="TAN232" s="297" t="s">
        <v>124</v>
      </c>
      <c r="TAO232" s="297" t="s">
        <v>124</v>
      </c>
      <c r="TAP232" s="297" t="s">
        <v>124</v>
      </c>
      <c r="TAQ232" s="297" t="s">
        <v>124</v>
      </c>
      <c r="TAR232" s="297" t="s">
        <v>124</v>
      </c>
      <c r="TAS232" s="297" t="s">
        <v>124</v>
      </c>
      <c r="TAT232" s="297" t="s">
        <v>124</v>
      </c>
      <c r="TAU232" s="297" t="s">
        <v>124</v>
      </c>
      <c r="TAV232" s="297" t="s">
        <v>124</v>
      </c>
      <c r="TAW232" s="297" t="s">
        <v>124</v>
      </c>
      <c r="TAX232" s="297" t="s">
        <v>124</v>
      </c>
      <c r="TAY232" s="297" t="s">
        <v>124</v>
      </c>
      <c r="TAZ232" s="297" t="s">
        <v>124</v>
      </c>
      <c r="TBA232" s="297" t="s">
        <v>124</v>
      </c>
      <c r="TBB232" s="297" t="s">
        <v>124</v>
      </c>
      <c r="TBC232" s="297" t="s">
        <v>124</v>
      </c>
      <c r="TBD232" s="297" t="s">
        <v>124</v>
      </c>
      <c r="TBE232" s="297" t="s">
        <v>124</v>
      </c>
      <c r="TBF232" s="297" t="s">
        <v>124</v>
      </c>
      <c r="TBG232" s="297" t="s">
        <v>124</v>
      </c>
      <c r="TBH232" s="297" t="s">
        <v>124</v>
      </c>
      <c r="TBI232" s="297" t="s">
        <v>124</v>
      </c>
      <c r="TBJ232" s="297" t="s">
        <v>124</v>
      </c>
      <c r="TBK232" s="297" t="s">
        <v>124</v>
      </c>
      <c r="TBL232" s="297" t="s">
        <v>124</v>
      </c>
      <c r="TBM232" s="297" t="s">
        <v>124</v>
      </c>
      <c r="TBN232" s="297" t="s">
        <v>124</v>
      </c>
      <c r="TBO232" s="297" t="s">
        <v>124</v>
      </c>
      <c r="TBP232" s="297" t="s">
        <v>124</v>
      </c>
      <c r="TBQ232" s="297" t="s">
        <v>124</v>
      </c>
      <c r="TBR232" s="297" t="s">
        <v>124</v>
      </c>
      <c r="TBS232" s="297" t="s">
        <v>124</v>
      </c>
      <c r="TBT232" s="297" t="s">
        <v>124</v>
      </c>
      <c r="TBU232" s="297" t="s">
        <v>124</v>
      </c>
      <c r="TBV232" s="297" t="s">
        <v>124</v>
      </c>
      <c r="TBW232" s="297" t="s">
        <v>124</v>
      </c>
      <c r="TBX232" s="297" t="s">
        <v>124</v>
      </c>
      <c r="TBY232" s="297" t="s">
        <v>124</v>
      </c>
      <c r="TBZ232" s="297" t="s">
        <v>124</v>
      </c>
      <c r="TCA232" s="297" t="s">
        <v>124</v>
      </c>
      <c r="TCB232" s="297" t="s">
        <v>124</v>
      </c>
      <c r="TCC232" s="297" t="s">
        <v>124</v>
      </c>
      <c r="TCD232" s="297" t="s">
        <v>124</v>
      </c>
      <c r="TCE232" s="297" t="s">
        <v>124</v>
      </c>
      <c r="TCF232" s="297" t="s">
        <v>124</v>
      </c>
      <c r="TCG232" s="297" t="s">
        <v>124</v>
      </c>
      <c r="TCH232" s="297" t="s">
        <v>124</v>
      </c>
      <c r="TCI232" s="297" t="s">
        <v>124</v>
      </c>
      <c r="TCJ232" s="297" t="s">
        <v>124</v>
      </c>
      <c r="TCK232" s="297" t="s">
        <v>124</v>
      </c>
      <c r="TCL232" s="297" t="s">
        <v>124</v>
      </c>
      <c r="TCM232" s="297" t="s">
        <v>124</v>
      </c>
      <c r="TCN232" s="297" t="s">
        <v>124</v>
      </c>
      <c r="TCO232" s="297" t="s">
        <v>124</v>
      </c>
      <c r="TCP232" s="297" t="s">
        <v>124</v>
      </c>
      <c r="TCQ232" s="297" t="s">
        <v>124</v>
      </c>
      <c r="TCR232" s="297" t="s">
        <v>124</v>
      </c>
      <c r="TCS232" s="297" t="s">
        <v>124</v>
      </c>
      <c r="TCT232" s="297" t="s">
        <v>124</v>
      </c>
      <c r="TCU232" s="297" t="s">
        <v>124</v>
      </c>
      <c r="TCV232" s="297" t="s">
        <v>124</v>
      </c>
      <c r="TCW232" s="297" t="s">
        <v>124</v>
      </c>
      <c r="TCX232" s="297" t="s">
        <v>124</v>
      </c>
      <c r="TCY232" s="297" t="s">
        <v>124</v>
      </c>
      <c r="TCZ232" s="297" t="s">
        <v>124</v>
      </c>
      <c r="TDA232" s="297" t="s">
        <v>124</v>
      </c>
      <c r="TDB232" s="297" t="s">
        <v>124</v>
      </c>
      <c r="TDC232" s="297" t="s">
        <v>124</v>
      </c>
      <c r="TDD232" s="297" t="s">
        <v>124</v>
      </c>
      <c r="TDE232" s="297" t="s">
        <v>124</v>
      </c>
      <c r="TDF232" s="297" t="s">
        <v>124</v>
      </c>
      <c r="TDG232" s="297" t="s">
        <v>124</v>
      </c>
      <c r="TDH232" s="297" t="s">
        <v>124</v>
      </c>
      <c r="TDI232" s="297" t="s">
        <v>124</v>
      </c>
      <c r="TDJ232" s="297" t="s">
        <v>124</v>
      </c>
      <c r="TDK232" s="297" t="s">
        <v>124</v>
      </c>
      <c r="TDL232" s="297" t="s">
        <v>124</v>
      </c>
      <c r="TDM232" s="297" t="s">
        <v>124</v>
      </c>
      <c r="TDN232" s="297" t="s">
        <v>124</v>
      </c>
      <c r="TDO232" s="297" t="s">
        <v>124</v>
      </c>
      <c r="TDP232" s="297" t="s">
        <v>124</v>
      </c>
      <c r="TDQ232" s="297" t="s">
        <v>124</v>
      </c>
      <c r="TDR232" s="297" t="s">
        <v>124</v>
      </c>
      <c r="TDS232" s="297" t="s">
        <v>124</v>
      </c>
      <c r="TDT232" s="297" t="s">
        <v>124</v>
      </c>
      <c r="TDU232" s="297" t="s">
        <v>124</v>
      </c>
      <c r="TDV232" s="297" t="s">
        <v>124</v>
      </c>
      <c r="TDW232" s="297" t="s">
        <v>124</v>
      </c>
      <c r="TDX232" s="297" t="s">
        <v>124</v>
      </c>
      <c r="TDY232" s="297" t="s">
        <v>124</v>
      </c>
      <c r="TDZ232" s="297" t="s">
        <v>124</v>
      </c>
      <c r="TEA232" s="297" t="s">
        <v>124</v>
      </c>
      <c r="TEB232" s="297" t="s">
        <v>124</v>
      </c>
      <c r="TEC232" s="297" t="s">
        <v>124</v>
      </c>
      <c r="TED232" s="297" t="s">
        <v>124</v>
      </c>
      <c r="TEE232" s="297" t="s">
        <v>124</v>
      </c>
      <c r="TEF232" s="297" t="s">
        <v>124</v>
      </c>
      <c r="TEG232" s="297" t="s">
        <v>124</v>
      </c>
      <c r="TEH232" s="297" t="s">
        <v>124</v>
      </c>
      <c r="TEI232" s="297" t="s">
        <v>124</v>
      </c>
      <c r="TEJ232" s="297" t="s">
        <v>124</v>
      </c>
      <c r="TEK232" s="297" t="s">
        <v>124</v>
      </c>
      <c r="TEL232" s="297" t="s">
        <v>124</v>
      </c>
      <c r="TEM232" s="297" t="s">
        <v>124</v>
      </c>
      <c r="TEN232" s="297" t="s">
        <v>124</v>
      </c>
      <c r="TEO232" s="297" t="s">
        <v>124</v>
      </c>
      <c r="TEP232" s="297" t="s">
        <v>124</v>
      </c>
      <c r="TEQ232" s="297" t="s">
        <v>124</v>
      </c>
      <c r="TER232" s="297" t="s">
        <v>124</v>
      </c>
      <c r="TES232" s="297" t="s">
        <v>124</v>
      </c>
      <c r="TET232" s="297" t="s">
        <v>124</v>
      </c>
      <c r="TEU232" s="297" t="s">
        <v>124</v>
      </c>
      <c r="TEV232" s="297" t="s">
        <v>124</v>
      </c>
      <c r="TEW232" s="297" t="s">
        <v>124</v>
      </c>
      <c r="TEX232" s="297" t="s">
        <v>124</v>
      </c>
      <c r="TEY232" s="297" t="s">
        <v>124</v>
      </c>
      <c r="TEZ232" s="297" t="s">
        <v>124</v>
      </c>
      <c r="TFA232" s="297" t="s">
        <v>124</v>
      </c>
      <c r="TFB232" s="297" t="s">
        <v>124</v>
      </c>
      <c r="TFC232" s="297" t="s">
        <v>124</v>
      </c>
      <c r="TFD232" s="297" t="s">
        <v>124</v>
      </c>
      <c r="TFE232" s="297" t="s">
        <v>124</v>
      </c>
      <c r="TFF232" s="297" t="s">
        <v>124</v>
      </c>
      <c r="TFG232" s="297" t="s">
        <v>124</v>
      </c>
      <c r="TFH232" s="297" t="s">
        <v>124</v>
      </c>
      <c r="TFI232" s="297" t="s">
        <v>124</v>
      </c>
      <c r="TFJ232" s="297" t="s">
        <v>124</v>
      </c>
      <c r="TFK232" s="297" t="s">
        <v>124</v>
      </c>
      <c r="TFL232" s="297" t="s">
        <v>124</v>
      </c>
      <c r="TFM232" s="297" t="s">
        <v>124</v>
      </c>
      <c r="TFN232" s="297" t="s">
        <v>124</v>
      </c>
      <c r="TFO232" s="297" t="s">
        <v>124</v>
      </c>
      <c r="TFP232" s="297" t="s">
        <v>124</v>
      </c>
      <c r="TFQ232" s="297" t="s">
        <v>124</v>
      </c>
      <c r="TFR232" s="297" t="s">
        <v>124</v>
      </c>
      <c r="TFS232" s="297" t="s">
        <v>124</v>
      </c>
      <c r="TFT232" s="297" t="s">
        <v>124</v>
      </c>
      <c r="TFU232" s="297" t="s">
        <v>124</v>
      </c>
      <c r="TFV232" s="297" t="s">
        <v>124</v>
      </c>
      <c r="TFW232" s="297" t="s">
        <v>124</v>
      </c>
      <c r="TFX232" s="297" t="s">
        <v>124</v>
      </c>
      <c r="TFY232" s="297" t="s">
        <v>124</v>
      </c>
      <c r="TFZ232" s="297" t="s">
        <v>124</v>
      </c>
      <c r="TGA232" s="297" t="s">
        <v>124</v>
      </c>
      <c r="TGB232" s="297" t="s">
        <v>124</v>
      </c>
      <c r="TGC232" s="297" t="s">
        <v>124</v>
      </c>
      <c r="TGD232" s="297" t="s">
        <v>124</v>
      </c>
      <c r="TGE232" s="297" t="s">
        <v>124</v>
      </c>
      <c r="TGF232" s="297" t="s">
        <v>124</v>
      </c>
      <c r="TGG232" s="297" t="s">
        <v>124</v>
      </c>
      <c r="TGH232" s="297" t="s">
        <v>124</v>
      </c>
      <c r="TGI232" s="297" t="s">
        <v>124</v>
      </c>
      <c r="TGJ232" s="297" t="s">
        <v>124</v>
      </c>
      <c r="TGK232" s="297" t="s">
        <v>124</v>
      </c>
      <c r="TGL232" s="297" t="s">
        <v>124</v>
      </c>
      <c r="TGM232" s="297" t="s">
        <v>124</v>
      </c>
      <c r="TGN232" s="297" t="s">
        <v>124</v>
      </c>
      <c r="TGO232" s="297" t="s">
        <v>124</v>
      </c>
      <c r="TGP232" s="297" t="s">
        <v>124</v>
      </c>
      <c r="TGQ232" s="297" t="s">
        <v>124</v>
      </c>
      <c r="TGR232" s="297" t="s">
        <v>124</v>
      </c>
      <c r="TGS232" s="297" t="s">
        <v>124</v>
      </c>
      <c r="TGT232" s="297" t="s">
        <v>124</v>
      </c>
      <c r="TGU232" s="297" t="s">
        <v>124</v>
      </c>
      <c r="TGV232" s="297" t="s">
        <v>124</v>
      </c>
      <c r="TGW232" s="297" t="s">
        <v>124</v>
      </c>
      <c r="TGX232" s="297" t="s">
        <v>124</v>
      </c>
      <c r="TGY232" s="297" t="s">
        <v>124</v>
      </c>
      <c r="TGZ232" s="297" t="s">
        <v>124</v>
      </c>
      <c r="THA232" s="297" t="s">
        <v>124</v>
      </c>
      <c r="THB232" s="297" t="s">
        <v>124</v>
      </c>
      <c r="THC232" s="297" t="s">
        <v>124</v>
      </c>
      <c r="THD232" s="297" t="s">
        <v>124</v>
      </c>
      <c r="THE232" s="297" t="s">
        <v>124</v>
      </c>
      <c r="THF232" s="297" t="s">
        <v>124</v>
      </c>
      <c r="THG232" s="297" t="s">
        <v>124</v>
      </c>
      <c r="THH232" s="297" t="s">
        <v>124</v>
      </c>
      <c r="THI232" s="297" t="s">
        <v>124</v>
      </c>
      <c r="THJ232" s="297" t="s">
        <v>124</v>
      </c>
      <c r="THK232" s="297" t="s">
        <v>124</v>
      </c>
      <c r="THL232" s="297" t="s">
        <v>124</v>
      </c>
      <c r="THM232" s="297" t="s">
        <v>124</v>
      </c>
      <c r="THN232" s="297" t="s">
        <v>124</v>
      </c>
      <c r="THO232" s="297" t="s">
        <v>124</v>
      </c>
      <c r="THP232" s="297" t="s">
        <v>124</v>
      </c>
      <c r="THQ232" s="297" t="s">
        <v>124</v>
      </c>
      <c r="THR232" s="297" t="s">
        <v>124</v>
      </c>
      <c r="THS232" s="297" t="s">
        <v>124</v>
      </c>
      <c r="THT232" s="297" t="s">
        <v>124</v>
      </c>
      <c r="THU232" s="297" t="s">
        <v>124</v>
      </c>
      <c r="THV232" s="297" t="s">
        <v>124</v>
      </c>
      <c r="THW232" s="297" t="s">
        <v>124</v>
      </c>
      <c r="THX232" s="297" t="s">
        <v>124</v>
      </c>
      <c r="THY232" s="297" t="s">
        <v>124</v>
      </c>
      <c r="THZ232" s="297" t="s">
        <v>124</v>
      </c>
      <c r="TIA232" s="297" t="s">
        <v>124</v>
      </c>
      <c r="TIB232" s="297" t="s">
        <v>124</v>
      </c>
      <c r="TIC232" s="297" t="s">
        <v>124</v>
      </c>
      <c r="TID232" s="297" t="s">
        <v>124</v>
      </c>
      <c r="TIE232" s="297" t="s">
        <v>124</v>
      </c>
      <c r="TIF232" s="297" t="s">
        <v>124</v>
      </c>
      <c r="TIG232" s="297" t="s">
        <v>124</v>
      </c>
      <c r="TIH232" s="297" t="s">
        <v>124</v>
      </c>
      <c r="TII232" s="297" t="s">
        <v>124</v>
      </c>
      <c r="TIJ232" s="297" t="s">
        <v>124</v>
      </c>
      <c r="TIK232" s="297" t="s">
        <v>124</v>
      </c>
      <c r="TIL232" s="297" t="s">
        <v>124</v>
      </c>
      <c r="TIM232" s="297" t="s">
        <v>124</v>
      </c>
      <c r="TIN232" s="297" t="s">
        <v>124</v>
      </c>
      <c r="TIO232" s="297" t="s">
        <v>124</v>
      </c>
      <c r="TIP232" s="297" t="s">
        <v>124</v>
      </c>
      <c r="TIQ232" s="297" t="s">
        <v>124</v>
      </c>
      <c r="TIR232" s="297" t="s">
        <v>124</v>
      </c>
      <c r="TIS232" s="297" t="s">
        <v>124</v>
      </c>
      <c r="TIT232" s="297" t="s">
        <v>124</v>
      </c>
      <c r="TIU232" s="297" t="s">
        <v>124</v>
      </c>
      <c r="TIV232" s="297" t="s">
        <v>124</v>
      </c>
      <c r="TIW232" s="297" t="s">
        <v>124</v>
      </c>
      <c r="TIX232" s="297" t="s">
        <v>124</v>
      </c>
      <c r="TIY232" s="297" t="s">
        <v>124</v>
      </c>
      <c r="TIZ232" s="297" t="s">
        <v>124</v>
      </c>
      <c r="TJA232" s="297" t="s">
        <v>124</v>
      </c>
      <c r="TJB232" s="297" t="s">
        <v>124</v>
      </c>
      <c r="TJC232" s="297" t="s">
        <v>124</v>
      </c>
      <c r="TJD232" s="297" t="s">
        <v>124</v>
      </c>
      <c r="TJE232" s="297" t="s">
        <v>124</v>
      </c>
      <c r="TJF232" s="297" t="s">
        <v>124</v>
      </c>
      <c r="TJG232" s="297" t="s">
        <v>124</v>
      </c>
      <c r="TJH232" s="297" t="s">
        <v>124</v>
      </c>
      <c r="TJI232" s="297" t="s">
        <v>124</v>
      </c>
      <c r="TJJ232" s="297" t="s">
        <v>124</v>
      </c>
      <c r="TJK232" s="297" t="s">
        <v>124</v>
      </c>
      <c r="TJL232" s="297" t="s">
        <v>124</v>
      </c>
      <c r="TJM232" s="297" t="s">
        <v>124</v>
      </c>
      <c r="TJN232" s="297" t="s">
        <v>124</v>
      </c>
      <c r="TJO232" s="297" t="s">
        <v>124</v>
      </c>
      <c r="TJP232" s="297" t="s">
        <v>124</v>
      </c>
      <c r="TJQ232" s="297" t="s">
        <v>124</v>
      </c>
      <c r="TJR232" s="297" t="s">
        <v>124</v>
      </c>
      <c r="TJS232" s="297" t="s">
        <v>124</v>
      </c>
      <c r="TJT232" s="297" t="s">
        <v>124</v>
      </c>
      <c r="TJU232" s="297" t="s">
        <v>124</v>
      </c>
      <c r="TJV232" s="297" t="s">
        <v>124</v>
      </c>
      <c r="TJW232" s="297" t="s">
        <v>124</v>
      </c>
      <c r="TJX232" s="297" t="s">
        <v>124</v>
      </c>
      <c r="TJY232" s="297" t="s">
        <v>124</v>
      </c>
      <c r="TJZ232" s="297" t="s">
        <v>124</v>
      </c>
      <c r="TKA232" s="297" t="s">
        <v>124</v>
      </c>
      <c r="TKB232" s="297" t="s">
        <v>124</v>
      </c>
      <c r="TKC232" s="297" t="s">
        <v>124</v>
      </c>
      <c r="TKD232" s="297" t="s">
        <v>124</v>
      </c>
      <c r="TKE232" s="297" t="s">
        <v>124</v>
      </c>
      <c r="TKF232" s="297" t="s">
        <v>124</v>
      </c>
      <c r="TKG232" s="297" t="s">
        <v>124</v>
      </c>
      <c r="TKH232" s="297" t="s">
        <v>124</v>
      </c>
      <c r="TKI232" s="297" t="s">
        <v>124</v>
      </c>
      <c r="TKJ232" s="297" t="s">
        <v>124</v>
      </c>
      <c r="TKK232" s="297" t="s">
        <v>124</v>
      </c>
      <c r="TKL232" s="297" t="s">
        <v>124</v>
      </c>
      <c r="TKM232" s="297" t="s">
        <v>124</v>
      </c>
      <c r="TKN232" s="297" t="s">
        <v>124</v>
      </c>
      <c r="TKO232" s="297" t="s">
        <v>124</v>
      </c>
      <c r="TKP232" s="297" t="s">
        <v>124</v>
      </c>
      <c r="TKQ232" s="297" t="s">
        <v>124</v>
      </c>
      <c r="TKR232" s="297" t="s">
        <v>124</v>
      </c>
      <c r="TKS232" s="297" t="s">
        <v>124</v>
      </c>
      <c r="TKT232" s="297" t="s">
        <v>124</v>
      </c>
      <c r="TKU232" s="297" t="s">
        <v>124</v>
      </c>
      <c r="TKV232" s="297" t="s">
        <v>124</v>
      </c>
      <c r="TKW232" s="297" t="s">
        <v>124</v>
      </c>
      <c r="TKX232" s="297" t="s">
        <v>124</v>
      </c>
      <c r="TKY232" s="297" t="s">
        <v>124</v>
      </c>
      <c r="TKZ232" s="297" t="s">
        <v>124</v>
      </c>
      <c r="TLA232" s="297" t="s">
        <v>124</v>
      </c>
      <c r="TLB232" s="297" t="s">
        <v>124</v>
      </c>
      <c r="TLC232" s="297" t="s">
        <v>124</v>
      </c>
      <c r="TLD232" s="297" t="s">
        <v>124</v>
      </c>
      <c r="TLE232" s="297" t="s">
        <v>124</v>
      </c>
      <c r="TLF232" s="297" t="s">
        <v>124</v>
      </c>
      <c r="TLG232" s="297" t="s">
        <v>124</v>
      </c>
      <c r="TLH232" s="297" t="s">
        <v>124</v>
      </c>
      <c r="TLI232" s="297" t="s">
        <v>124</v>
      </c>
      <c r="TLJ232" s="297" t="s">
        <v>124</v>
      </c>
      <c r="TLK232" s="297" t="s">
        <v>124</v>
      </c>
      <c r="TLL232" s="297" t="s">
        <v>124</v>
      </c>
      <c r="TLM232" s="297" t="s">
        <v>124</v>
      </c>
      <c r="TLN232" s="297" t="s">
        <v>124</v>
      </c>
      <c r="TLO232" s="297" t="s">
        <v>124</v>
      </c>
      <c r="TLP232" s="297" t="s">
        <v>124</v>
      </c>
      <c r="TLQ232" s="297" t="s">
        <v>124</v>
      </c>
      <c r="TLR232" s="297" t="s">
        <v>124</v>
      </c>
      <c r="TLS232" s="297" t="s">
        <v>124</v>
      </c>
      <c r="TLT232" s="297" t="s">
        <v>124</v>
      </c>
      <c r="TLU232" s="297" t="s">
        <v>124</v>
      </c>
      <c r="TLV232" s="297" t="s">
        <v>124</v>
      </c>
      <c r="TLW232" s="297" t="s">
        <v>124</v>
      </c>
      <c r="TLX232" s="297" t="s">
        <v>124</v>
      </c>
      <c r="TLY232" s="297" t="s">
        <v>124</v>
      </c>
      <c r="TLZ232" s="297" t="s">
        <v>124</v>
      </c>
      <c r="TMA232" s="297" t="s">
        <v>124</v>
      </c>
      <c r="TMB232" s="297" t="s">
        <v>124</v>
      </c>
      <c r="TMC232" s="297" t="s">
        <v>124</v>
      </c>
      <c r="TMD232" s="297" t="s">
        <v>124</v>
      </c>
      <c r="TME232" s="297" t="s">
        <v>124</v>
      </c>
      <c r="TMF232" s="297" t="s">
        <v>124</v>
      </c>
      <c r="TMG232" s="297" t="s">
        <v>124</v>
      </c>
      <c r="TMH232" s="297" t="s">
        <v>124</v>
      </c>
      <c r="TMI232" s="297" t="s">
        <v>124</v>
      </c>
      <c r="TMJ232" s="297" t="s">
        <v>124</v>
      </c>
      <c r="TMK232" s="297" t="s">
        <v>124</v>
      </c>
      <c r="TML232" s="297" t="s">
        <v>124</v>
      </c>
      <c r="TMM232" s="297" t="s">
        <v>124</v>
      </c>
      <c r="TMN232" s="297" t="s">
        <v>124</v>
      </c>
      <c r="TMO232" s="297" t="s">
        <v>124</v>
      </c>
      <c r="TMP232" s="297" t="s">
        <v>124</v>
      </c>
      <c r="TMQ232" s="297" t="s">
        <v>124</v>
      </c>
      <c r="TMR232" s="297" t="s">
        <v>124</v>
      </c>
      <c r="TMS232" s="297" t="s">
        <v>124</v>
      </c>
      <c r="TMT232" s="297" t="s">
        <v>124</v>
      </c>
      <c r="TMU232" s="297" t="s">
        <v>124</v>
      </c>
      <c r="TMV232" s="297" t="s">
        <v>124</v>
      </c>
      <c r="TMW232" s="297" t="s">
        <v>124</v>
      </c>
      <c r="TMX232" s="297" t="s">
        <v>124</v>
      </c>
      <c r="TMY232" s="297" t="s">
        <v>124</v>
      </c>
      <c r="TMZ232" s="297" t="s">
        <v>124</v>
      </c>
      <c r="TNA232" s="297" t="s">
        <v>124</v>
      </c>
      <c r="TNB232" s="297" t="s">
        <v>124</v>
      </c>
      <c r="TNC232" s="297" t="s">
        <v>124</v>
      </c>
      <c r="TND232" s="297" t="s">
        <v>124</v>
      </c>
      <c r="TNE232" s="297" t="s">
        <v>124</v>
      </c>
      <c r="TNF232" s="297" t="s">
        <v>124</v>
      </c>
      <c r="TNG232" s="297" t="s">
        <v>124</v>
      </c>
      <c r="TNH232" s="297" t="s">
        <v>124</v>
      </c>
      <c r="TNI232" s="297" t="s">
        <v>124</v>
      </c>
      <c r="TNJ232" s="297" t="s">
        <v>124</v>
      </c>
      <c r="TNK232" s="297" t="s">
        <v>124</v>
      </c>
      <c r="TNL232" s="297" t="s">
        <v>124</v>
      </c>
      <c r="TNM232" s="297" t="s">
        <v>124</v>
      </c>
      <c r="TNN232" s="297" t="s">
        <v>124</v>
      </c>
      <c r="TNO232" s="297" t="s">
        <v>124</v>
      </c>
      <c r="TNP232" s="297" t="s">
        <v>124</v>
      </c>
      <c r="TNQ232" s="297" t="s">
        <v>124</v>
      </c>
      <c r="TNR232" s="297" t="s">
        <v>124</v>
      </c>
      <c r="TNS232" s="297" t="s">
        <v>124</v>
      </c>
      <c r="TNT232" s="297" t="s">
        <v>124</v>
      </c>
      <c r="TNU232" s="297" t="s">
        <v>124</v>
      </c>
      <c r="TNV232" s="297" t="s">
        <v>124</v>
      </c>
      <c r="TNW232" s="297" t="s">
        <v>124</v>
      </c>
      <c r="TNX232" s="297" t="s">
        <v>124</v>
      </c>
      <c r="TNY232" s="297" t="s">
        <v>124</v>
      </c>
      <c r="TNZ232" s="297" t="s">
        <v>124</v>
      </c>
      <c r="TOA232" s="297" t="s">
        <v>124</v>
      </c>
      <c r="TOB232" s="297" t="s">
        <v>124</v>
      </c>
      <c r="TOC232" s="297" t="s">
        <v>124</v>
      </c>
      <c r="TOD232" s="297" t="s">
        <v>124</v>
      </c>
      <c r="TOE232" s="297" t="s">
        <v>124</v>
      </c>
      <c r="TOF232" s="297" t="s">
        <v>124</v>
      </c>
      <c r="TOG232" s="297" t="s">
        <v>124</v>
      </c>
      <c r="TOH232" s="297" t="s">
        <v>124</v>
      </c>
      <c r="TOI232" s="297" t="s">
        <v>124</v>
      </c>
      <c r="TOJ232" s="297" t="s">
        <v>124</v>
      </c>
      <c r="TOK232" s="297" t="s">
        <v>124</v>
      </c>
      <c r="TOL232" s="297" t="s">
        <v>124</v>
      </c>
      <c r="TOM232" s="297" t="s">
        <v>124</v>
      </c>
      <c r="TON232" s="297" t="s">
        <v>124</v>
      </c>
      <c r="TOO232" s="297" t="s">
        <v>124</v>
      </c>
      <c r="TOP232" s="297" t="s">
        <v>124</v>
      </c>
      <c r="TOQ232" s="297" t="s">
        <v>124</v>
      </c>
      <c r="TOR232" s="297" t="s">
        <v>124</v>
      </c>
      <c r="TOS232" s="297" t="s">
        <v>124</v>
      </c>
      <c r="TOT232" s="297" t="s">
        <v>124</v>
      </c>
      <c r="TOU232" s="297" t="s">
        <v>124</v>
      </c>
      <c r="TOV232" s="297" t="s">
        <v>124</v>
      </c>
      <c r="TOW232" s="297" t="s">
        <v>124</v>
      </c>
      <c r="TOX232" s="297" t="s">
        <v>124</v>
      </c>
      <c r="TOY232" s="297" t="s">
        <v>124</v>
      </c>
      <c r="TOZ232" s="297" t="s">
        <v>124</v>
      </c>
      <c r="TPA232" s="297" t="s">
        <v>124</v>
      </c>
      <c r="TPB232" s="297" t="s">
        <v>124</v>
      </c>
      <c r="TPC232" s="297" t="s">
        <v>124</v>
      </c>
      <c r="TPD232" s="297" t="s">
        <v>124</v>
      </c>
      <c r="TPE232" s="297" t="s">
        <v>124</v>
      </c>
      <c r="TPF232" s="297" t="s">
        <v>124</v>
      </c>
      <c r="TPG232" s="297" t="s">
        <v>124</v>
      </c>
      <c r="TPH232" s="297" t="s">
        <v>124</v>
      </c>
      <c r="TPI232" s="297" t="s">
        <v>124</v>
      </c>
      <c r="TPJ232" s="297" t="s">
        <v>124</v>
      </c>
      <c r="TPK232" s="297" t="s">
        <v>124</v>
      </c>
      <c r="TPL232" s="297" t="s">
        <v>124</v>
      </c>
      <c r="TPM232" s="297" t="s">
        <v>124</v>
      </c>
      <c r="TPN232" s="297" t="s">
        <v>124</v>
      </c>
      <c r="TPO232" s="297" t="s">
        <v>124</v>
      </c>
      <c r="TPP232" s="297" t="s">
        <v>124</v>
      </c>
      <c r="TPQ232" s="297" t="s">
        <v>124</v>
      </c>
      <c r="TPR232" s="297" t="s">
        <v>124</v>
      </c>
      <c r="TPS232" s="297" t="s">
        <v>124</v>
      </c>
      <c r="TPT232" s="297" t="s">
        <v>124</v>
      </c>
      <c r="TPU232" s="297" t="s">
        <v>124</v>
      </c>
      <c r="TPV232" s="297" t="s">
        <v>124</v>
      </c>
      <c r="TPW232" s="297" t="s">
        <v>124</v>
      </c>
      <c r="TPX232" s="297" t="s">
        <v>124</v>
      </c>
      <c r="TPY232" s="297" t="s">
        <v>124</v>
      </c>
      <c r="TPZ232" s="297" t="s">
        <v>124</v>
      </c>
      <c r="TQA232" s="297" t="s">
        <v>124</v>
      </c>
      <c r="TQB232" s="297" t="s">
        <v>124</v>
      </c>
      <c r="TQC232" s="297" t="s">
        <v>124</v>
      </c>
      <c r="TQD232" s="297" t="s">
        <v>124</v>
      </c>
      <c r="TQE232" s="297" t="s">
        <v>124</v>
      </c>
      <c r="TQF232" s="297" t="s">
        <v>124</v>
      </c>
      <c r="TQG232" s="297" t="s">
        <v>124</v>
      </c>
      <c r="TQH232" s="297" t="s">
        <v>124</v>
      </c>
      <c r="TQI232" s="297" t="s">
        <v>124</v>
      </c>
      <c r="TQJ232" s="297" t="s">
        <v>124</v>
      </c>
      <c r="TQK232" s="297" t="s">
        <v>124</v>
      </c>
      <c r="TQL232" s="297" t="s">
        <v>124</v>
      </c>
      <c r="TQM232" s="297" t="s">
        <v>124</v>
      </c>
      <c r="TQN232" s="297" t="s">
        <v>124</v>
      </c>
      <c r="TQO232" s="297" t="s">
        <v>124</v>
      </c>
      <c r="TQP232" s="297" t="s">
        <v>124</v>
      </c>
      <c r="TQQ232" s="297" t="s">
        <v>124</v>
      </c>
      <c r="TQR232" s="297" t="s">
        <v>124</v>
      </c>
      <c r="TQS232" s="297" t="s">
        <v>124</v>
      </c>
      <c r="TQT232" s="297" t="s">
        <v>124</v>
      </c>
      <c r="TQU232" s="297" t="s">
        <v>124</v>
      </c>
      <c r="TQV232" s="297" t="s">
        <v>124</v>
      </c>
      <c r="TQW232" s="297" t="s">
        <v>124</v>
      </c>
      <c r="TQX232" s="297" t="s">
        <v>124</v>
      </c>
      <c r="TQY232" s="297" t="s">
        <v>124</v>
      </c>
      <c r="TQZ232" s="297" t="s">
        <v>124</v>
      </c>
      <c r="TRA232" s="297" t="s">
        <v>124</v>
      </c>
      <c r="TRB232" s="297" t="s">
        <v>124</v>
      </c>
      <c r="TRC232" s="297" t="s">
        <v>124</v>
      </c>
      <c r="TRD232" s="297" t="s">
        <v>124</v>
      </c>
      <c r="TRE232" s="297" t="s">
        <v>124</v>
      </c>
      <c r="TRF232" s="297" t="s">
        <v>124</v>
      </c>
      <c r="TRG232" s="297" t="s">
        <v>124</v>
      </c>
      <c r="TRH232" s="297" t="s">
        <v>124</v>
      </c>
      <c r="TRI232" s="297" t="s">
        <v>124</v>
      </c>
      <c r="TRJ232" s="297" t="s">
        <v>124</v>
      </c>
      <c r="TRK232" s="297" t="s">
        <v>124</v>
      </c>
      <c r="TRL232" s="297" t="s">
        <v>124</v>
      </c>
      <c r="TRM232" s="297" t="s">
        <v>124</v>
      </c>
      <c r="TRN232" s="297" t="s">
        <v>124</v>
      </c>
      <c r="TRO232" s="297" t="s">
        <v>124</v>
      </c>
      <c r="TRP232" s="297" t="s">
        <v>124</v>
      </c>
      <c r="TRQ232" s="297" t="s">
        <v>124</v>
      </c>
      <c r="TRR232" s="297" t="s">
        <v>124</v>
      </c>
      <c r="TRS232" s="297" t="s">
        <v>124</v>
      </c>
      <c r="TRT232" s="297" t="s">
        <v>124</v>
      </c>
      <c r="TRU232" s="297" t="s">
        <v>124</v>
      </c>
      <c r="TRV232" s="297" t="s">
        <v>124</v>
      </c>
      <c r="TRW232" s="297" t="s">
        <v>124</v>
      </c>
      <c r="TRX232" s="297" t="s">
        <v>124</v>
      </c>
      <c r="TRY232" s="297" t="s">
        <v>124</v>
      </c>
      <c r="TRZ232" s="297" t="s">
        <v>124</v>
      </c>
      <c r="TSA232" s="297" t="s">
        <v>124</v>
      </c>
      <c r="TSB232" s="297" t="s">
        <v>124</v>
      </c>
      <c r="TSC232" s="297" t="s">
        <v>124</v>
      </c>
      <c r="TSD232" s="297" t="s">
        <v>124</v>
      </c>
      <c r="TSE232" s="297" t="s">
        <v>124</v>
      </c>
      <c r="TSF232" s="297" t="s">
        <v>124</v>
      </c>
      <c r="TSG232" s="297" t="s">
        <v>124</v>
      </c>
      <c r="TSH232" s="297" t="s">
        <v>124</v>
      </c>
      <c r="TSI232" s="297" t="s">
        <v>124</v>
      </c>
      <c r="TSJ232" s="297" t="s">
        <v>124</v>
      </c>
      <c r="TSK232" s="297" t="s">
        <v>124</v>
      </c>
      <c r="TSL232" s="297" t="s">
        <v>124</v>
      </c>
      <c r="TSM232" s="297" t="s">
        <v>124</v>
      </c>
      <c r="TSN232" s="297" t="s">
        <v>124</v>
      </c>
      <c r="TSO232" s="297" t="s">
        <v>124</v>
      </c>
      <c r="TSP232" s="297" t="s">
        <v>124</v>
      </c>
      <c r="TSQ232" s="297" t="s">
        <v>124</v>
      </c>
      <c r="TSR232" s="297" t="s">
        <v>124</v>
      </c>
      <c r="TSS232" s="297" t="s">
        <v>124</v>
      </c>
      <c r="TST232" s="297" t="s">
        <v>124</v>
      </c>
      <c r="TSU232" s="297" t="s">
        <v>124</v>
      </c>
      <c r="TSV232" s="297" t="s">
        <v>124</v>
      </c>
      <c r="TSW232" s="297" t="s">
        <v>124</v>
      </c>
      <c r="TSX232" s="297" t="s">
        <v>124</v>
      </c>
      <c r="TSY232" s="297" t="s">
        <v>124</v>
      </c>
      <c r="TSZ232" s="297" t="s">
        <v>124</v>
      </c>
      <c r="TTA232" s="297" t="s">
        <v>124</v>
      </c>
      <c r="TTB232" s="297" t="s">
        <v>124</v>
      </c>
      <c r="TTC232" s="297" t="s">
        <v>124</v>
      </c>
      <c r="TTD232" s="297" t="s">
        <v>124</v>
      </c>
      <c r="TTE232" s="297" t="s">
        <v>124</v>
      </c>
      <c r="TTF232" s="297" t="s">
        <v>124</v>
      </c>
      <c r="TTG232" s="297" t="s">
        <v>124</v>
      </c>
      <c r="TTH232" s="297" t="s">
        <v>124</v>
      </c>
      <c r="TTI232" s="297" t="s">
        <v>124</v>
      </c>
      <c r="TTJ232" s="297" t="s">
        <v>124</v>
      </c>
      <c r="TTK232" s="297" t="s">
        <v>124</v>
      </c>
      <c r="TTL232" s="297" t="s">
        <v>124</v>
      </c>
      <c r="TTM232" s="297" t="s">
        <v>124</v>
      </c>
      <c r="TTN232" s="297" t="s">
        <v>124</v>
      </c>
      <c r="TTO232" s="297" t="s">
        <v>124</v>
      </c>
      <c r="TTP232" s="297" t="s">
        <v>124</v>
      </c>
      <c r="TTQ232" s="297" t="s">
        <v>124</v>
      </c>
      <c r="TTR232" s="297" t="s">
        <v>124</v>
      </c>
      <c r="TTS232" s="297" t="s">
        <v>124</v>
      </c>
      <c r="TTT232" s="297" t="s">
        <v>124</v>
      </c>
      <c r="TTU232" s="297" t="s">
        <v>124</v>
      </c>
      <c r="TTV232" s="297" t="s">
        <v>124</v>
      </c>
      <c r="TTW232" s="297" t="s">
        <v>124</v>
      </c>
      <c r="TTX232" s="297" t="s">
        <v>124</v>
      </c>
      <c r="TTY232" s="297" t="s">
        <v>124</v>
      </c>
      <c r="TTZ232" s="297" t="s">
        <v>124</v>
      </c>
      <c r="TUA232" s="297" t="s">
        <v>124</v>
      </c>
      <c r="TUB232" s="297" t="s">
        <v>124</v>
      </c>
      <c r="TUC232" s="297" t="s">
        <v>124</v>
      </c>
      <c r="TUD232" s="297" t="s">
        <v>124</v>
      </c>
      <c r="TUE232" s="297" t="s">
        <v>124</v>
      </c>
      <c r="TUF232" s="297" t="s">
        <v>124</v>
      </c>
      <c r="TUG232" s="297" t="s">
        <v>124</v>
      </c>
      <c r="TUH232" s="297" t="s">
        <v>124</v>
      </c>
      <c r="TUI232" s="297" t="s">
        <v>124</v>
      </c>
      <c r="TUJ232" s="297" t="s">
        <v>124</v>
      </c>
      <c r="TUK232" s="297" t="s">
        <v>124</v>
      </c>
      <c r="TUL232" s="297" t="s">
        <v>124</v>
      </c>
      <c r="TUM232" s="297" t="s">
        <v>124</v>
      </c>
      <c r="TUN232" s="297" t="s">
        <v>124</v>
      </c>
      <c r="TUO232" s="297" t="s">
        <v>124</v>
      </c>
      <c r="TUP232" s="297" t="s">
        <v>124</v>
      </c>
      <c r="TUQ232" s="297" t="s">
        <v>124</v>
      </c>
      <c r="TUR232" s="297" t="s">
        <v>124</v>
      </c>
      <c r="TUS232" s="297" t="s">
        <v>124</v>
      </c>
      <c r="TUT232" s="297" t="s">
        <v>124</v>
      </c>
      <c r="TUU232" s="297" t="s">
        <v>124</v>
      </c>
      <c r="TUV232" s="297" t="s">
        <v>124</v>
      </c>
      <c r="TUW232" s="297" t="s">
        <v>124</v>
      </c>
      <c r="TUX232" s="297" t="s">
        <v>124</v>
      </c>
      <c r="TUY232" s="297" t="s">
        <v>124</v>
      </c>
      <c r="TUZ232" s="297" t="s">
        <v>124</v>
      </c>
      <c r="TVA232" s="297" t="s">
        <v>124</v>
      </c>
      <c r="TVB232" s="297" t="s">
        <v>124</v>
      </c>
      <c r="TVC232" s="297" t="s">
        <v>124</v>
      </c>
      <c r="TVD232" s="297" t="s">
        <v>124</v>
      </c>
      <c r="TVE232" s="297" t="s">
        <v>124</v>
      </c>
      <c r="TVF232" s="297" t="s">
        <v>124</v>
      </c>
      <c r="TVG232" s="297" t="s">
        <v>124</v>
      </c>
      <c r="TVH232" s="297" t="s">
        <v>124</v>
      </c>
      <c r="TVI232" s="297" t="s">
        <v>124</v>
      </c>
      <c r="TVJ232" s="297" t="s">
        <v>124</v>
      </c>
      <c r="TVK232" s="297" t="s">
        <v>124</v>
      </c>
      <c r="TVL232" s="297" t="s">
        <v>124</v>
      </c>
      <c r="TVM232" s="297" t="s">
        <v>124</v>
      </c>
      <c r="TVN232" s="297" t="s">
        <v>124</v>
      </c>
      <c r="TVO232" s="297" t="s">
        <v>124</v>
      </c>
      <c r="TVP232" s="297" t="s">
        <v>124</v>
      </c>
      <c r="TVQ232" s="297" t="s">
        <v>124</v>
      </c>
      <c r="TVR232" s="297" t="s">
        <v>124</v>
      </c>
      <c r="TVS232" s="297" t="s">
        <v>124</v>
      </c>
      <c r="TVT232" s="297" t="s">
        <v>124</v>
      </c>
      <c r="TVU232" s="297" t="s">
        <v>124</v>
      </c>
      <c r="TVV232" s="297" t="s">
        <v>124</v>
      </c>
      <c r="TVW232" s="297" t="s">
        <v>124</v>
      </c>
      <c r="TVX232" s="297" t="s">
        <v>124</v>
      </c>
      <c r="TVY232" s="297" t="s">
        <v>124</v>
      </c>
      <c r="TVZ232" s="297" t="s">
        <v>124</v>
      </c>
      <c r="TWA232" s="297" t="s">
        <v>124</v>
      </c>
      <c r="TWB232" s="297" t="s">
        <v>124</v>
      </c>
      <c r="TWC232" s="297" t="s">
        <v>124</v>
      </c>
      <c r="TWD232" s="297" t="s">
        <v>124</v>
      </c>
      <c r="TWE232" s="297" t="s">
        <v>124</v>
      </c>
      <c r="TWF232" s="297" t="s">
        <v>124</v>
      </c>
      <c r="TWG232" s="297" t="s">
        <v>124</v>
      </c>
      <c r="TWH232" s="297" t="s">
        <v>124</v>
      </c>
      <c r="TWI232" s="297" t="s">
        <v>124</v>
      </c>
      <c r="TWJ232" s="297" t="s">
        <v>124</v>
      </c>
      <c r="TWK232" s="297" t="s">
        <v>124</v>
      </c>
      <c r="TWL232" s="297" t="s">
        <v>124</v>
      </c>
      <c r="TWM232" s="297" t="s">
        <v>124</v>
      </c>
      <c r="TWN232" s="297" t="s">
        <v>124</v>
      </c>
      <c r="TWO232" s="297" t="s">
        <v>124</v>
      </c>
      <c r="TWP232" s="297" t="s">
        <v>124</v>
      </c>
      <c r="TWQ232" s="297" t="s">
        <v>124</v>
      </c>
      <c r="TWR232" s="297" t="s">
        <v>124</v>
      </c>
      <c r="TWS232" s="297" t="s">
        <v>124</v>
      </c>
      <c r="TWT232" s="297" t="s">
        <v>124</v>
      </c>
      <c r="TWU232" s="297" t="s">
        <v>124</v>
      </c>
      <c r="TWV232" s="297" t="s">
        <v>124</v>
      </c>
      <c r="TWW232" s="297" t="s">
        <v>124</v>
      </c>
      <c r="TWX232" s="297" t="s">
        <v>124</v>
      </c>
      <c r="TWY232" s="297" t="s">
        <v>124</v>
      </c>
      <c r="TWZ232" s="297" t="s">
        <v>124</v>
      </c>
      <c r="TXA232" s="297" t="s">
        <v>124</v>
      </c>
      <c r="TXB232" s="297" t="s">
        <v>124</v>
      </c>
      <c r="TXC232" s="297" t="s">
        <v>124</v>
      </c>
      <c r="TXD232" s="297" t="s">
        <v>124</v>
      </c>
      <c r="TXE232" s="297" t="s">
        <v>124</v>
      </c>
      <c r="TXF232" s="297" t="s">
        <v>124</v>
      </c>
      <c r="TXG232" s="297" t="s">
        <v>124</v>
      </c>
      <c r="TXH232" s="297" t="s">
        <v>124</v>
      </c>
      <c r="TXI232" s="297" t="s">
        <v>124</v>
      </c>
      <c r="TXJ232" s="297" t="s">
        <v>124</v>
      </c>
      <c r="TXK232" s="297" t="s">
        <v>124</v>
      </c>
      <c r="TXL232" s="297" t="s">
        <v>124</v>
      </c>
      <c r="TXM232" s="297" t="s">
        <v>124</v>
      </c>
      <c r="TXN232" s="297" t="s">
        <v>124</v>
      </c>
      <c r="TXO232" s="297" t="s">
        <v>124</v>
      </c>
      <c r="TXP232" s="297" t="s">
        <v>124</v>
      </c>
      <c r="TXQ232" s="297" t="s">
        <v>124</v>
      </c>
      <c r="TXR232" s="297" t="s">
        <v>124</v>
      </c>
      <c r="TXS232" s="297" t="s">
        <v>124</v>
      </c>
      <c r="TXT232" s="297" t="s">
        <v>124</v>
      </c>
      <c r="TXU232" s="297" t="s">
        <v>124</v>
      </c>
      <c r="TXV232" s="297" t="s">
        <v>124</v>
      </c>
      <c r="TXW232" s="297" t="s">
        <v>124</v>
      </c>
      <c r="TXX232" s="297" t="s">
        <v>124</v>
      </c>
      <c r="TXY232" s="297" t="s">
        <v>124</v>
      </c>
      <c r="TXZ232" s="297" t="s">
        <v>124</v>
      </c>
      <c r="TYA232" s="297" t="s">
        <v>124</v>
      </c>
      <c r="TYB232" s="297" t="s">
        <v>124</v>
      </c>
      <c r="TYC232" s="297" t="s">
        <v>124</v>
      </c>
      <c r="TYD232" s="297" t="s">
        <v>124</v>
      </c>
      <c r="TYE232" s="297" t="s">
        <v>124</v>
      </c>
      <c r="TYF232" s="297" t="s">
        <v>124</v>
      </c>
      <c r="TYG232" s="297" t="s">
        <v>124</v>
      </c>
      <c r="TYH232" s="297" t="s">
        <v>124</v>
      </c>
      <c r="TYI232" s="297" t="s">
        <v>124</v>
      </c>
      <c r="TYJ232" s="297" t="s">
        <v>124</v>
      </c>
      <c r="TYK232" s="297" t="s">
        <v>124</v>
      </c>
      <c r="TYL232" s="297" t="s">
        <v>124</v>
      </c>
      <c r="TYM232" s="297" t="s">
        <v>124</v>
      </c>
      <c r="TYN232" s="297" t="s">
        <v>124</v>
      </c>
      <c r="TYO232" s="297" t="s">
        <v>124</v>
      </c>
      <c r="TYP232" s="297" t="s">
        <v>124</v>
      </c>
      <c r="TYQ232" s="297" t="s">
        <v>124</v>
      </c>
      <c r="TYR232" s="297" t="s">
        <v>124</v>
      </c>
      <c r="TYS232" s="297" t="s">
        <v>124</v>
      </c>
      <c r="TYT232" s="297" t="s">
        <v>124</v>
      </c>
      <c r="TYU232" s="297" t="s">
        <v>124</v>
      </c>
      <c r="TYV232" s="297" t="s">
        <v>124</v>
      </c>
      <c r="TYW232" s="297" t="s">
        <v>124</v>
      </c>
      <c r="TYX232" s="297" t="s">
        <v>124</v>
      </c>
      <c r="TYY232" s="297" t="s">
        <v>124</v>
      </c>
      <c r="TYZ232" s="297" t="s">
        <v>124</v>
      </c>
      <c r="TZA232" s="297" t="s">
        <v>124</v>
      </c>
      <c r="TZB232" s="297" t="s">
        <v>124</v>
      </c>
      <c r="TZC232" s="297" t="s">
        <v>124</v>
      </c>
      <c r="TZD232" s="297" t="s">
        <v>124</v>
      </c>
      <c r="TZE232" s="297" t="s">
        <v>124</v>
      </c>
      <c r="TZF232" s="297" t="s">
        <v>124</v>
      </c>
      <c r="TZG232" s="297" t="s">
        <v>124</v>
      </c>
      <c r="TZH232" s="297" t="s">
        <v>124</v>
      </c>
      <c r="TZI232" s="297" t="s">
        <v>124</v>
      </c>
      <c r="TZJ232" s="297" t="s">
        <v>124</v>
      </c>
      <c r="TZK232" s="297" t="s">
        <v>124</v>
      </c>
      <c r="TZL232" s="297" t="s">
        <v>124</v>
      </c>
      <c r="TZM232" s="297" t="s">
        <v>124</v>
      </c>
      <c r="TZN232" s="297" t="s">
        <v>124</v>
      </c>
      <c r="TZO232" s="297" t="s">
        <v>124</v>
      </c>
      <c r="TZP232" s="297" t="s">
        <v>124</v>
      </c>
      <c r="TZQ232" s="297" t="s">
        <v>124</v>
      </c>
      <c r="TZR232" s="297" t="s">
        <v>124</v>
      </c>
      <c r="TZS232" s="297" t="s">
        <v>124</v>
      </c>
      <c r="TZT232" s="297" t="s">
        <v>124</v>
      </c>
      <c r="TZU232" s="297" t="s">
        <v>124</v>
      </c>
      <c r="TZV232" s="297" t="s">
        <v>124</v>
      </c>
      <c r="TZW232" s="297" t="s">
        <v>124</v>
      </c>
      <c r="TZX232" s="297" t="s">
        <v>124</v>
      </c>
      <c r="TZY232" s="297" t="s">
        <v>124</v>
      </c>
      <c r="TZZ232" s="297" t="s">
        <v>124</v>
      </c>
      <c r="UAA232" s="297" t="s">
        <v>124</v>
      </c>
      <c r="UAB232" s="297" t="s">
        <v>124</v>
      </c>
      <c r="UAC232" s="297" t="s">
        <v>124</v>
      </c>
      <c r="UAD232" s="297" t="s">
        <v>124</v>
      </c>
      <c r="UAE232" s="297" t="s">
        <v>124</v>
      </c>
      <c r="UAF232" s="297" t="s">
        <v>124</v>
      </c>
      <c r="UAG232" s="297" t="s">
        <v>124</v>
      </c>
      <c r="UAH232" s="297" t="s">
        <v>124</v>
      </c>
      <c r="UAI232" s="297" t="s">
        <v>124</v>
      </c>
      <c r="UAJ232" s="297" t="s">
        <v>124</v>
      </c>
      <c r="UAK232" s="297" t="s">
        <v>124</v>
      </c>
      <c r="UAL232" s="297" t="s">
        <v>124</v>
      </c>
      <c r="UAM232" s="297" t="s">
        <v>124</v>
      </c>
      <c r="UAN232" s="297" t="s">
        <v>124</v>
      </c>
      <c r="UAO232" s="297" t="s">
        <v>124</v>
      </c>
      <c r="UAP232" s="297" t="s">
        <v>124</v>
      </c>
      <c r="UAQ232" s="297" t="s">
        <v>124</v>
      </c>
      <c r="UAR232" s="297" t="s">
        <v>124</v>
      </c>
      <c r="UAS232" s="297" t="s">
        <v>124</v>
      </c>
      <c r="UAT232" s="297" t="s">
        <v>124</v>
      </c>
      <c r="UAU232" s="297" t="s">
        <v>124</v>
      </c>
      <c r="UAV232" s="297" t="s">
        <v>124</v>
      </c>
      <c r="UAW232" s="297" t="s">
        <v>124</v>
      </c>
      <c r="UAX232" s="297" t="s">
        <v>124</v>
      </c>
      <c r="UAY232" s="297" t="s">
        <v>124</v>
      </c>
      <c r="UAZ232" s="297" t="s">
        <v>124</v>
      </c>
      <c r="UBA232" s="297" t="s">
        <v>124</v>
      </c>
      <c r="UBB232" s="297" t="s">
        <v>124</v>
      </c>
      <c r="UBC232" s="297" t="s">
        <v>124</v>
      </c>
      <c r="UBD232" s="297" t="s">
        <v>124</v>
      </c>
      <c r="UBE232" s="297" t="s">
        <v>124</v>
      </c>
      <c r="UBF232" s="297" t="s">
        <v>124</v>
      </c>
      <c r="UBG232" s="297" t="s">
        <v>124</v>
      </c>
      <c r="UBH232" s="297" t="s">
        <v>124</v>
      </c>
      <c r="UBI232" s="297" t="s">
        <v>124</v>
      </c>
      <c r="UBJ232" s="297" t="s">
        <v>124</v>
      </c>
      <c r="UBK232" s="297" t="s">
        <v>124</v>
      </c>
      <c r="UBL232" s="297" t="s">
        <v>124</v>
      </c>
      <c r="UBM232" s="297" t="s">
        <v>124</v>
      </c>
      <c r="UBN232" s="297" t="s">
        <v>124</v>
      </c>
      <c r="UBO232" s="297" t="s">
        <v>124</v>
      </c>
      <c r="UBP232" s="297" t="s">
        <v>124</v>
      </c>
      <c r="UBQ232" s="297" t="s">
        <v>124</v>
      </c>
      <c r="UBR232" s="297" t="s">
        <v>124</v>
      </c>
      <c r="UBS232" s="297" t="s">
        <v>124</v>
      </c>
      <c r="UBT232" s="297" t="s">
        <v>124</v>
      </c>
      <c r="UBU232" s="297" t="s">
        <v>124</v>
      </c>
      <c r="UBV232" s="297" t="s">
        <v>124</v>
      </c>
      <c r="UBW232" s="297" t="s">
        <v>124</v>
      </c>
      <c r="UBX232" s="297" t="s">
        <v>124</v>
      </c>
      <c r="UBY232" s="297" t="s">
        <v>124</v>
      </c>
      <c r="UBZ232" s="297" t="s">
        <v>124</v>
      </c>
      <c r="UCA232" s="297" t="s">
        <v>124</v>
      </c>
      <c r="UCB232" s="297" t="s">
        <v>124</v>
      </c>
      <c r="UCC232" s="297" t="s">
        <v>124</v>
      </c>
      <c r="UCD232" s="297" t="s">
        <v>124</v>
      </c>
      <c r="UCE232" s="297" t="s">
        <v>124</v>
      </c>
      <c r="UCF232" s="297" t="s">
        <v>124</v>
      </c>
      <c r="UCG232" s="297" t="s">
        <v>124</v>
      </c>
      <c r="UCH232" s="297" t="s">
        <v>124</v>
      </c>
      <c r="UCI232" s="297" t="s">
        <v>124</v>
      </c>
      <c r="UCJ232" s="297" t="s">
        <v>124</v>
      </c>
      <c r="UCK232" s="297" t="s">
        <v>124</v>
      </c>
      <c r="UCL232" s="297" t="s">
        <v>124</v>
      </c>
      <c r="UCM232" s="297" t="s">
        <v>124</v>
      </c>
      <c r="UCN232" s="297" t="s">
        <v>124</v>
      </c>
      <c r="UCO232" s="297" t="s">
        <v>124</v>
      </c>
      <c r="UCP232" s="297" t="s">
        <v>124</v>
      </c>
      <c r="UCQ232" s="297" t="s">
        <v>124</v>
      </c>
      <c r="UCR232" s="297" t="s">
        <v>124</v>
      </c>
      <c r="UCS232" s="297" t="s">
        <v>124</v>
      </c>
      <c r="UCT232" s="297" t="s">
        <v>124</v>
      </c>
      <c r="UCU232" s="297" t="s">
        <v>124</v>
      </c>
      <c r="UCV232" s="297" t="s">
        <v>124</v>
      </c>
      <c r="UCW232" s="297" t="s">
        <v>124</v>
      </c>
      <c r="UCX232" s="297" t="s">
        <v>124</v>
      </c>
      <c r="UCY232" s="297" t="s">
        <v>124</v>
      </c>
      <c r="UCZ232" s="297" t="s">
        <v>124</v>
      </c>
      <c r="UDA232" s="297" t="s">
        <v>124</v>
      </c>
      <c r="UDB232" s="297" t="s">
        <v>124</v>
      </c>
      <c r="UDC232" s="297" t="s">
        <v>124</v>
      </c>
      <c r="UDD232" s="297" t="s">
        <v>124</v>
      </c>
      <c r="UDE232" s="297" t="s">
        <v>124</v>
      </c>
      <c r="UDF232" s="297" t="s">
        <v>124</v>
      </c>
      <c r="UDG232" s="297" t="s">
        <v>124</v>
      </c>
      <c r="UDH232" s="297" t="s">
        <v>124</v>
      </c>
      <c r="UDI232" s="297" t="s">
        <v>124</v>
      </c>
      <c r="UDJ232" s="297" t="s">
        <v>124</v>
      </c>
      <c r="UDK232" s="297" t="s">
        <v>124</v>
      </c>
      <c r="UDL232" s="297" t="s">
        <v>124</v>
      </c>
      <c r="UDM232" s="297" t="s">
        <v>124</v>
      </c>
      <c r="UDN232" s="297" t="s">
        <v>124</v>
      </c>
      <c r="UDO232" s="297" t="s">
        <v>124</v>
      </c>
      <c r="UDP232" s="297" t="s">
        <v>124</v>
      </c>
      <c r="UDQ232" s="297" t="s">
        <v>124</v>
      </c>
      <c r="UDR232" s="297" t="s">
        <v>124</v>
      </c>
      <c r="UDS232" s="297" t="s">
        <v>124</v>
      </c>
      <c r="UDT232" s="297" t="s">
        <v>124</v>
      </c>
      <c r="UDU232" s="297" t="s">
        <v>124</v>
      </c>
      <c r="UDV232" s="297" t="s">
        <v>124</v>
      </c>
      <c r="UDW232" s="297" t="s">
        <v>124</v>
      </c>
      <c r="UDX232" s="297" t="s">
        <v>124</v>
      </c>
      <c r="UDY232" s="297" t="s">
        <v>124</v>
      </c>
      <c r="UDZ232" s="297" t="s">
        <v>124</v>
      </c>
      <c r="UEA232" s="297" t="s">
        <v>124</v>
      </c>
      <c r="UEB232" s="297" t="s">
        <v>124</v>
      </c>
      <c r="UEC232" s="297" t="s">
        <v>124</v>
      </c>
      <c r="UED232" s="297" t="s">
        <v>124</v>
      </c>
      <c r="UEE232" s="297" t="s">
        <v>124</v>
      </c>
      <c r="UEF232" s="297" t="s">
        <v>124</v>
      </c>
      <c r="UEG232" s="297" t="s">
        <v>124</v>
      </c>
      <c r="UEH232" s="297" t="s">
        <v>124</v>
      </c>
      <c r="UEI232" s="297" t="s">
        <v>124</v>
      </c>
      <c r="UEJ232" s="297" t="s">
        <v>124</v>
      </c>
      <c r="UEK232" s="297" t="s">
        <v>124</v>
      </c>
      <c r="UEL232" s="297" t="s">
        <v>124</v>
      </c>
      <c r="UEM232" s="297" t="s">
        <v>124</v>
      </c>
      <c r="UEN232" s="297" t="s">
        <v>124</v>
      </c>
      <c r="UEO232" s="297" t="s">
        <v>124</v>
      </c>
      <c r="UEP232" s="297" t="s">
        <v>124</v>
      </c>
      <c r="UEQ232" s="297" t="s">
        <v>124</v>
      </c>
      <c r="UER232" s="297" t="s">
        <v>124</v>
      </c>
      <c r="UES232" s="297" t="s">
        <v>124</v>
      </c>
      <c r="UET232" s="297" t="s">
        <v>124</v>
      </c>
      <c r="UEU232" s="297" t="s">
        <v>124</v>
      </c>
      <c r="UEV232" s="297" t="s">
        <v>124</v>
      </c>
      <c r="UEW232" s="297" t="s">
        <v>124</v>
      </c>
      <c r="UEX232" s="297" t="s">
        <v>124</v>
      </c>
      <c r="UEY232" s="297" t="s">
        <v>124</v>
      </c>
      <c r="UEZ232" s="297" t="s">
        <v>124</v>
      </c>
      <c r="UFA232" s="297" t="s">
        <v>124</v>
      </c>
      <c r="UFB232" s="297" t="s">
        <v>124</v>
      </c>
      <c r="UFC232" s="297" t="s">
        <v>124</v>
      </c>
      <c r="UFD232" s="297" t="s">
        <v>124</v>
      </c>
      <c r="UFE232" s="297" t="s">
        <v>124</v>
      </c>
      <c r="UFF232" s="297" t="s">
        <v>124</v>
      </c>
      <c r="UFG232" s="297" t="s">
        <v>124</v>
      </c>
      <c r="UFH232" s="297" t="s">
        <v>124</v>
      </c>
      <c r="UFI232" s="297" t="s">
        <v>124</v>
      </c>
      <c r="UFJ232" s="297" t="s">
        <v>124</v>
      </c>
      <c r="UFK232" s="297" t="s">
        <v>124</v>
      </c>
      <c r="UFL232" s="297" t="s">
        <v>124</v>
      </c>
      <c r="UFM232" s="297" t="s">
        <v>124</v>
      </c>
      <c r="UFN232" s="297" t="s">
        <v>124</v>
      </c>
      <c r="UFO232" s="297" t="s">
        <v>124</v>
      </c>
      <c r="UFP232" s="297" t="s">
        <v>124</v>
      </c>
      <c r="UFQ232" s="297" t="s">
        <v>124</v>
      </c>
      <c r="UFR232" s="297" t="s">
        <v>124</v>
      </c>
      <c r="UFS232" s="297" t="s">
        <v>124</v>
      </c>
      <c r="UFT232" s="297" t="s">
        <v>124</v>
      </c>
      <c r="UFU232" s="297" t="s">
        <v>124</v>
      </c>
      <c r="UFV232" s="297" t="s">
        <v>124</v>
      </c>
      <c r="UFW232" s="297" t="s">
        <v>124</v>
      </c>
      <c r="UFX232" s="297" t="s">
        <v>124</v>
      </c>
      <c r="UFY232" s="297" t="s">
        <v>124</v>
      </c>
      <c r="UFZ232" s="297" t="s">
        <v>124</v>
      </c>
      <c r="UGA232" s="297" t="s">
        <v>124</v>
      </c>
      <c r="UGB232" s="297" t="s">
        <v>124</v>
      </c>
      <c r="UGC232" s="297" t="s">
        <v>124</v>
      </c>
      <c r="UGD232" s="297" t="s">
        <v>124</v>
      </c>
      <c r="UGE232" s="297" t="s">
        <v>124</v>
      </c>
      <c r="UGF232" s="297" t="s">
        <v>124</v>
      </c>
      <c r="UGG232" s="297" t="s">
        <v>124</v>
      </c>
      <c r="UGH232" s="297" t="s">
        <v>124</v>
      </c>
      <c r="UGI232" s="297" t="s">
        <v>124</v>
      </c>
      <c r="UGJ232" s="297" t="s">
        <v>124</v>
      </c>
      <c r="UGK232" s="297" t="s">
        <v>124</v>
      </c>
      <c r="UGL232" s="297" t="s">
        <v>124</v>
      </c>
      <c r="UGM232" s="297" t="s">
        <v>124</v>
      </c>
      <c r="UGN232" s="297" t="s">
        <v>124</v>
      </c>
      <c r="UGO232" s="297" t="s">
        <v>124</v>
      </c>
      <c r="UGP232" s="297" t="s">
        <v>124</v>
      </c>
      <c r="UGQ232" s="297" t="s">
        <v>124</v>
      </c>
      <c r="UGR232" s="297" t="s">
        <v>124</v>
      </c>
      <c r="UGS232" s="297" t="s">
        <v>124</v>
      </c>
      <c r="UGT232" s="297" t="s">
        <v>124</v>
      </c>
      <c r="UGU232" s="297" t="s">
        <v>124</v>
      </c>
      <c r="UGV232" s="297" t="s">
        <v>124</v>
      </c>
      <c r="UGW232" s="297" t="s">
        <v>124</v>
      </c>
      <c r="UGX232" s="297" t="s">
        <v>124</v>
      </c>
      <c r="UGY232" s="297" t="s">
        <v>124</v>
      </c>
      <c r="UGZ232" s="297" t="s">
        <v>124</v>
      </c>
      <c r="UHA232" s="297" t="s">
        <v>124</v>
      </c>
      <c r="UHB232" s="297" t="s">
        <v>124</v>
      </c>
      <c r="UHC232" s="297" t="s">
        <v>124</v>
      </c>
      <c r="UHD232" s="297" t="s">
        <v>124</v>
      </c>
      <c r="UHE232" s="297" t="s">
        <v>124</v>
      </c>
      <c r="UHF232" s="297" t="s">
        <v>124</v>
      </c>
      <c r="UHG232" s="297" t="s">
        <v>124</v>
      </c>
      <c r="UHH232" s="297" t="s">
        <v>124</v>
      </c>
      <c r="UHI232" s="297" t="s">
        <v>124</v>
      </c>
      <c r="UHJ232" s="297" t="s">
        <v>124</v>
      </c>
      <c r="UHK232" s="297" t="s">
        <v>124</v>
      </c>
      <c r="UHL232" s="297" t="s">
        <v>124</v>
      </c>
      <c r="UHM232" s="297" t="s">
        <v>124</v>
      </c>
      <c r="UHN232" s="297" t="s">
        <v>124</v>
      </c>
      <c r="UHO232" s="297" t="s">
        <v>124</v>
      </c>
      <c r="UHP232" s="297" t="s">
        <v>124</v>
      </c>
      <c r="UHQ232" s="297" t="s">
        <v>124</v>
      </c>
      <c r="UHR232" s="297" t="s">
        <v>124</v>
      </c>
      <c r="UHS232" s="297" t="s">
        <v>124</v>
      </c>
      <c r="UHT232" s="297" t="s">
        <v>124</v>
      </c>
      <c r="UHU232" s="297" t="s">
        <v>124</v>
      </c>
      <c r="UHV232" s="297" t="s">
        <v>124</v>
      </c>
      <c r="UHW232" s="297" t="s">
        <v>124</v>
      </c>
      <c r="UHX232" s="297" t="s">
        <v>124</v>
      </c>
      <c r="UHY232" s="297" t="s">
        <v>124</v>
      </c>
      <c r="UHZ232" s="297" t="s">
        <v>124</v>
      </c>
      <c r="UIA232" s="297" t="s">
        <v>124</v>
      </c>
      <c r="UIB232" s="297" t="s">
        <v>124</v>
      </c>
      <c r="UIC232" s="297" t="s">
        <v>124</v>
      </c>
      <c r="UID232" s="297" t="s">
        <v>124</v>
      </c>
      <c r="UIE232" s="297" t="s">
        <v>124</v>
      </c>
      <c r="UIF232" s="297" t="s">
        <v>124</v>
      </c>
      <c r="UIG232" s="297" t="s">
        <v>124</v>
      </c>
      <c r="UIH232" s="297" t="s">
        <v>124</v>
      </c>
      <c r="UII232" s="297" t="s">
        <v>124</v>
      </c>
      <c r="UIJ232" s="297" t="s">
        <v>124</v>
      </c>
      <c r="UIK232" s="297" t="s">
        <v>124</v>
      </c>
      <c r="UIL232" s="297" t="s">
        <v>124</v>
      </c>
      <c r="UIM232" s="297" t="s">
        <v>124</v>
      </c>
      <c r="UIN232" s="297" t="s">
        <v>124</v>
      </c>
      <c r="UIO232" s="297" t="s">
        <v>124</v>
      </c>
      <c r="UIP232" s="297" t="s">
        <v>124</v>
      </c>
      <c r="UIQ232" s="297" t="s">
        <v>124</v>
      </c>
      <c r="UIR232" s="297" t="s">
        <v>124</v>
      </c>
      <c r="UIS232" s="297" t="s">
        <v>124</v>
      </c>
      <c r="UIT232" s="297" t="s">
        <v>124</v>
      </c>
      <c r="UIU232" s="297" t="s">
        <v>124</v>
      </c>
      <c r="UIV232" s="297" t="s">
        <v>124</v>
      </c>
      <c r="UIW232" s="297" t="s">
        <v>124</v>
      </c>
      <c r="UIX232" s="297" t="s">
        <v>124</v>
      </c>
      <c r="UIY232" s="297" t="s">
        <v>124</v>
      </c>
      <c r="UIZ232" s="297" t="s">
        <v>124</v>
      </c>
      <c r="UJA232" s="297" t="s">
        <v>124</v>
      </c>
      <c r="UJB232" s="297" t="s">
        <v>124</v>
      </c>
      <c r="UJC232" s="297" t="s">
        <v>124</v>
      </c>
      <c r="UJD232" s="297" t="s">
        <v>124</v>
      </c>
      <c r="UJE232" s="297" t="s">
        <v>124</v>
      </c>
      <c r="UJF232" s="297" t="s">
        <v>124</v>
      </c>
      <c r="UJG232" s="297" t="s">
        <v>124</v>
      </c>
      <c r="UJH232" s="297" t="s">
        <v>124</v>
      </c>
      <c r="UJI232" s="297" t="s">
        <v>124</v>
      </c>
      <c r="UJJ232" s="297" t="s">
        <v>124</v>
      </c>
      <c r="UJK232" s="297" t="s">
        <v>124</v>
      </c>
      <c r="UJL232" s="297" t="s">
        <v>124</v>
      </c>
      <c r="UJM232" s="297" t="s">
        <v>124</v>
      </c>
      <c r="UJN232" s="297" t="s">
        <v>124</v>
      </c>
      <c r="UJO232" s="297" t="s">
        <v>124</v>
      </c>
      <c r="UJP232" s="297" t="s">
        <v>124</v>
      </c>
      <c r="UJQ232" s="297" t="s">
        <v>124</v>
      </c>
      <c r="UJR232" s="297" t="s">
        <v>124</v>
      </c>
      <c r="UJS232" s="297" t="s">
        <v>124</v>
      </c>
      <c r="UJT232" s="297" t="s">
        <v>124</v>
      </c>
      <c r="UJU232" s="297" t="s">
        <v>124</v>
      </c>
      <c r="UJV232" s="297" t="s">
        <v>124</v>
      </c>
      <c r="UJW232" s="297" t="s">
        <v>124</v>
      </c>
      <c r="UJX232" s="297" t="s">
        <v>124</v>
      </c>
      <c r="UJY232" s="297" t="s">
        <v>124</v>
      </c>
      <c r="UJZ232" s="297" t="s">
        <v>124</v>
      </c>
      <c r="UKA232" s="297" t="s">
        <v>124</v>
      </c>
      <c r="UKB232" s="297" t="s">
        <v>124</v>
      </c>
      <c r="UKC232" s="297" t="s">
        <v>124</v>
      </c>
      <c r="UKD232" s="297" t="s">
        <v>124</v>
      </c>
      <c r="UKE232" s="297" t="s">
        <v>124</v>
      </c>
      <c r="UKF232" s="297" t="s">
        <v>124</v>
      </c>
      <c r="UKG232" s="297" t="s">
        <v>124</v>
      </c>
      <c r="UKH232" s="297" t="s">
        <v>124</v>
      </c>
      <c r="UKI232" s="297" t="s">
        <v>124</v>
      </c>
      <c r="UKJ232" s="297" t="s">
        <v>124</v>
      </c>
      <c r="UKK232" s="297" t="s">
        <v>124</v>
      </c>
      <c r="UKL232" s="297" t="s">
        <v>124</v>
      </c>
      <c r="UKM232" s="297" t="s">
        <v>124</v>
      </c>
      <c r="UKN232" s="297" t="s">
        <v>124</v>
      </c>
      <c r="UKO232" s="297" t="s">
        <v>124</v>
      </c>
      <c r="UKP232" s="297" t="s">
        <v>124</v>
      </c>
      <c r="UKQ232" s="297" t="s">
        <v>124</v>
      </c>
      <c r="UKR232" s="297" t="s">
        <v>124</v>
      </c>
      <c r="UKS232" s="297" t="s">
        <v>124</v>
      </c>
      <c r="UKT232" s="297" t="s">
        <v>124</v>
      </c>
      <c r="UKU232" s="297" t="s">
        <v>124</v>
      </c>
      <c r="UKV232" s="297" t="s">
        <v>124</v>
      </c>
      <c r="UKW232" s="297" t="s">
        <v>124</v>
      </c>
      <c r="UKX232" s="297" t="s">
        <v>124</v>
      </c>
      <c r="UKY232" s="297" t="s">
        <v>124</v>
      </c>
      <c r="UKZ232" s="297" t="s">
        <v>124</v>
      </c>
      <c r="ULA232" s="297" t="s">
        <v>124</v>
      </c>
      <c r="ULB232" s="297" t="s">
        <v>124</v>
      </c>
      <c r="ULC232" s="297" t="s">
        <v>124</v>
      </c>
      <c r="ULD232" s="297" t="s">
        <v>124</v>
      </c>
      <c r="ULE232" s="297" t="s">
        <v>124</v>
      </c>
      <c r="ULF232" s="297" t="s">
        <v>124</v>
      </c>
      <c r="ULG232" s="297" t="s">
        <v>124</v>
      </c>
      <c r="ULH232" s="297" t="s">
        <v>124</v>
      </c>
      <c r="ULI232" s="297" t="s">
        <v>124</v>
      </c>
      <c r="ULJ232" s="297" t="s">
        <v>124</v>
      </c>
      <c r="ULK232" s="297" t="s">
        <v>124</v>
      </c>
      <c r="ULL232" s="297" t="s">
        <v>124</v>
      </c>
      <c r="ULM232" s="297" t="s">
        <v>124</v>
      </c>
      <c r="ULN232" s="297" t="s">
        <v>124</v>
      </c>
      <c r="ULO232" s="297" t="s">
        <v>124</v>
      </c>
      <c r="ULP232" s="297" t="s">
        <v>124</v>
      </c>
      <c r="ULQ232" s="297" t="s">
        <v>124</v>
      </c>
      <c r="ULR232" s="297" t="s">
        <v>124</v>
      </c>
      <c r="ULS232" s="297" t="s">
        <v>124</v>
      </c>
      <c r="ULT232" s="297" t="s">
        <v>124</v>
      </c>
      <c r="ULU232" s="297" t="s">
        <v>124</v>
      </c>
      <c r="ULV232" s="297" t="s">
        <v>124</v>
      </c>
      <c r="ULW232" s="297" t="s">
        <v>124</v>
      </c>
      <c r="ULX232" s="297" t="s">
        <v>124</v>
      </c>
      <c r="ULY232" s="297" t="s">
        <v>124</v>
      </c>
      <c r="ULZ232" s="297" t="s">
        <v>124</v>
      </c>
      <c r="UMA232" s="297" t="s">
        <v>124</v>
      </c>
      <c r="UMB232" s="297" t="s">
        <v>124</v>
      </c>
      <c r="UMC232" s="297" t="s">
        <v>124</v>
      </c>
      <c r="UMD232" s="297" t="s">
        <v>124</v>
      </c>
      <c r="UME232" s="297" t="s">
        <v>124</v>
      </c>
      <c r="UMF232" s="297" t="s">
        <v>124</v>
      </c>
      <c r="UMG232" s="297" t="s">
        <v>124</v>
      </c>
      <c r="UMH232" s="297" t="s">
        <v>124</v>
      </c>
      <c r="UMI232" s="297" t="s">
        <v>124</v>
      </c>
      <c r="UMJ232" s="297" t="s">
        <v>124</v>
      </c>
      <c r="UMK232" s="297" t="s">
        <v>124</v>
      </c>
      <c r="UML232" s="297" t="s">
        <v>124</v>
      </c>
      <c r="UMM232" s="297" t="s">
        <v>124</v>
      </c>
      <c r="UMN232" s="297" t="s">
        <v>124</v>
      </c>
      <c r="UMO232" s="297" t="s">
        <v>124</v>
      </c>
      <c r="UMP232" s="297" t="s">
        <v>124</v>
      </c>
      <c r="UMQ232" s="297" t="s">
        <v>124</v>
      </c>
      <c r="UMR232" s="297" t="s">
        <v>124</v>
      </c>
      <c r="UMS232" s="297" t="s">
        <v>124</v>
      </c>
      <c r="UMT232" s="297" t="s">
        <v>124</v>
      </c>
      <c r="UMU232" s="297" t="s">
        <v>124</v>
      </c>
      <c r="UMV232" s="297" t="s">
        <v>124</v>
      </c>
      <c r="UMW232" s="297" t="s">
        <v>124</v>
      </c>
      <c r="UMX232" s="297" t="s">
        <v>124</v>
      </c>
      <c r="UMY232" s="297" t="s">
        <v>124</v>
      </c>
      <c r="UMZ232" s="297" t="s">
        <v>124</v>
      </c>
      <c r="UNA232" s="297" t="s">
        <v>124</v>
      </c>
      <c r="UNB232" s="297" t="s">
        <v>124</v>
      </c>
      <c r="UNC232" s="297" t="s">
        <v>124</v>
      </c>
      <c r="UND232" s="297" t="s">
        <v>124</v>
      </c>
      <c r="UNE232" s="297" t="s">
        <v>124</v>
      </c>
      <c r="UNF232" s="297" t="s">
        <v>124</v>
      </c>
      <c r="UNG232" s="297" t="s">
        <v>124</v>
      </c>
      <c r="UNH232" s="297" t="s">
        <v>124</v>
      </c>
      <c r="UNI232" s="297" t="s">
        <v>124</v>
      </c>
      <c r="UNJ232" s="297" t="s">
        <v>124</v>
      </c>
      <c r="UNK232" s="297" t="s">
        <v>124</v>
      </c>
      <c r="UNL232" s="297" t="s">
        <v>124</v>
      </c>
      <c r="UNM232" s="297" t="s">
        <v>124</v>
      </c>
      <c r="UNN232" s="297" t="s">
        <v>124</v>
      </c>
      <c r="UNO232" s="297" t="s">
        <v>124</v>
      </c>
      <c r="UNP232" s="297" t="s">
        <v>124</v>
      </c>
      <c r="UNQ232" s="297" t="s">
        <v>124</v>
      </c>
      <c r="UNR232" s="297" t="s">
        <v>124</v>
      </c>
      <c r="UNS232" s="297" t="s">
        <v>124</v>
      </c>
      <c r="UNT232" s="297" t="s">
        <v>124</v>
      </c>
      <c r="UNU232" s="297" t="s">
        <v>124</v>
      </c>
      <c r="UNV232" s="297" t="s">
        <v>124</v>
      </c>
      <c r="UNW232" s="297" t="s">
        <v>124</v>
      </c>
      <c r="UNX232" s="297" t="s">
        <v>124</v>
      </c>
      <c r="UNY232" s="297" t="s">
        <v>124</v>
      </c>
      <c r="UNZ232" s="297" t="s">
        <v>124</v>
      </c>
      <c r="UOA232" s="297" t="s">
        <v>124</v>
      </c>
      <c r="UOB232" s="297" t="s">
        <v>124</v>
      </c>
      <c r="UOC232" s="297" t="s">
        <v>124</v>
      </c>
      <c r="UOD232" s="297" t="s">
        <v>124</v>
      </c>
      <c r="UOE232" s="297" t="s">
        <v>124</v>
      </c>
      <c r="UOF232" s="297" t="s">
        <v>124</v>
      </c>
      <c r="UOG232" s="297" t="s">
        <v>124</v>
      </c>
      <c r="UOH232" s="297" t="s">
        <v>124</v>
      </c>
      <c r="UOI232" s="297" t="s">
        <v>124</v>
      </c>
      <c r="UOJ232" s="297" t="s">
        <v>124</v>
      </c>
      <c r="UOK232" s="297" t="s">
        <v>124</v>
      </c>
      <c r="UOL232" s="297" t="s">
        <v>124</v>
      </c>
      <c r="UOM232" s="297" t="s">
        <v>124</v>
      </c>
      <c r="UON232" s="297" t="s">
        <v>124</v>
      </c>
      <c r="UOO232" s="297" t="s">
        <v>124</v>
      </c>
      <c r="UOP232" s="297" t="s">
        <v>124</v>
      </c>
      <c r="UOQ232" s="297" t="s">
        <v>124</v>
      </c>
      <c r="UOR232" s="297" t="s">
        <v>124</v>
      </c>
      <c r="UOS232" s="297" t="s">
        <v>124</v>
      </c>
      <c r="UOT232" s="297" t="s">
        <v>124</v>
      </c>
      <c r="UOU232" s="297" t="s">
        <v>124</v>
      </c>
      <c r="UOV232" s="297" t="s">
        <v>124</v>
      </c>
      <c r="UOW232" s="297" t="s">
        <v>124</v>
      </c>
      <c r="UOX232" s="297" t="s">
        <v>124</v>
      </c>
      <c r="UOY232" s="297" t="s">
        <v>124</v>
      </c>
      <c r="UOZ232" s="297" t="s">
        <v>124</v>
      </c>
      <c r="UPA232" s="297" t="s">
        <v>124</v>
      </c>
      <c r="UPB232" s="297" t="s">
        <v>124</v>
      </c>
      <c r="UPC232" s="297" t="s">
        <v>124</v>
      </c>
      <c r="UPD232" s="297" t="s">
        <v>124</v>
      </c>
      <c r="UPE232" s="297" t="s">
        <v>124</v>
      </c>
      <c r="UPF232" s="297" t="s">
        <v>124</v>
      </c>
      <c r="UPG232" s="297" t="s">
        <v>124</v>
      </c>
      <c r="UPH232" s="297" t="s">
        <v>124</v>
      </c>
      <c r="UPI232" s="297" t="s">
        <v>124</v>
      </c>
      <c r="UPJ232" s="297" t="s">
        <v>124</v>
      </c>
      <c r="UPK232" s="297" t="s">
        <v>124</v>
      </c>
      <c r="UPL232" s="297" t="s">
        <v>124</v>
      </c>
      <c r="UPM232" s="297" t="s">
        <v>124</v>
      </c>
      <c r="UPN232" s="297" t="s">
        <v>124</v>
      </c>
      <c r="UPO232" s="297" t="s">
        <v>124</v>
      </c>
      <c r="UPP232" s="297" t="s">
        <v>124</v>
      </c>
      <c r="UPQ232" s="297" t="s">
        <v>124</v>
      </c>
      <c r="UPR232" s="297" t="s">
        <v>124</v>
      </c>
      <c r="UPS232" s="297" t="s">
        <v>124</v>
      </c>
      <c r="UPT232" s="297" t="s">
        <v>124</v>
      </c>
      <c r="UPU232" s="297" t="s">
        <v>124</v>
      </c>
      <c r="UPV232" s="297" t="s">
        <v>124</v>
      </c>
      <c r="UPW232" s="297" t="s">
        <v>124</v>
      </c>
      <c r="UPX232" s="297" t="s">
        <v>124</v>
      </c>
      <c r="UPY232" s="297" t="s">
        <v>124</v>
      </c>
      <c r="UPZ232" s="297" t="s">
        <v>124</v>
      </c>
      <c r="UQA232" s="297" t="s">
        <v>124</v>
      </c>
      <c r="UQB232" s="297" t="s">
        <v>124</v>
      </c>
      <c r="UQC232" s="297" t="s">
        <v>124</v>
      </c>
      <c r="UQD232" s="297" t="s">
        <v>124</v>
      </c>
      <c r="UQE232" s="297" t="s">
        <v>124</v>
      </c>
      <c r="UQF232" s="297" t="s">
        <v>124</v>
      </c>
      <c r="UQG232" s="297" t="s">
        <v>124</v>
      </c>
      <c r="UQH232" s="297" t="s">
        <v>124</v>
      </c>
      <c r="UQI232" s="297" t="s">
        <v>124</v>
      </c>
      <c r="UQJ232" s="297" t="s">
        <v>124</v>
      </c>
      <c r="UQK232" s="297" t="s">
        <v>124</v>
      </c>
      <c r="UQL232" s="297" t="s">
        <v>124</v>
      </c>
      <c r="UQM232" s="297" t="s">
        <v>124</v>
      </c>
      <c r="UQN232" s="297" t="s">
        <v>124</v>
      </c>
      <c r="UQO232" s="297" t="s">
        <v>124</v>
      </c>
      <c r="UQP232" s="297" t="s">
        <v>124</v>
      </c>
      <c r="UQQ232" s="297" t="s">
        <v>124</v>
      </c>
      <c r="UQR232" s="297" t="s">
        <v>124</v>
      </c>
      <c r="UQS232" s="297" t="s">
        <v>124</v>
      </c>
      <c r="UQT232" s="297" t="s">
        <v>124</v>
      </c>
      <c r="UQU232" s="297" t="s">
        <v>124</v>
      </c>
      <c r="UQV232" s="297" t="s">
        <v>124</v>
      </c>
      <c r="UQW232" s="297" t="s">
        <v>124</v>
      </c>
      <c r="UQX232" s="297" t="s">
        <v>124</v>
      </c>
      <c r="UQY232" s="297" t="s">
        <v>124</v>
      </c>
      <c r="UQZ232" s="297" t="s">
        <v>124</v>
      </c>
      <c r="URA232" s="297" t="s">
        <v>124</v>
      </c>
      <c r="URB232" s="297" t="s">
        <v>124</v>
      </c>
      <c r="URC232" s="297" t="s">
        <v>124</v>
      </c>
      <c r="URD232" s="297" t="s">
        <v>124</v>
      </c>
      <c r="URE232" s="297" t="s">
        <v>124</v>
      </c>
      <c r="URF232" s="297" t="s">
        <v>124</v>
      </c>
      <c r="URG232" s="297" t="s">
        <v>124</v>
      </c>
      <c r="URH232" s="297" t="s">
        <v>124</v>
      </c>
      <c r="URI232" s="297" t="s">
        <v>124</v>
      </c>
      <c r="URJ232" s="297" t="s">
        <v>124</v>
      </c>
      <c r="URK232" s="297" t="s">
        <v>124</v>
      </c>
      <c r="URL232" s="297" t="s">
        <v>124</v>
      </c>
      <c r="URM232" s="297" t="s">
        <v>124</v>
      </c>
      <c r="URN232" s="297" t="s">
        <v>124</v>
      </c>
      <c r="URO232" s="297" t="s">
        <v>124</v>
      </c>
      <c r="URP232" s="297" t="s">
        <v>124</v>
      </c>
      <c r="URQ232" s="297" t="s">
        <v>124</v>
      </c>
      <c r="URR232" s="297" t="s">
        <v>124</v>
      </c>
      <c r="URS232" s="297" t="s">
        <v>124</v>
      </c>
      <c r="URT232" s="297" t="s">
        <v>124</v>
      </c>
      <c r="URU232" s="297" t="s">
        <v>124</v>
      </c>
      <c r="URV232" s="297" t="s">
        <v>124</v>
      </c>
      <c r="URW232" s="297" t="s">
        <v>124</v>
      </c>
      <c r="URX232" s="297" t="s">
        <v>124</v>
      </c>
      <c r="URY232" s="297" t="s">
        <v>124</v>
      </c>
      <c r="URZ232" s="297" t="s">
        <v>124</v>
      </c>
      <c r="USA232" s="297" t="s">
        <v>124</v>
      </c>
      <c r="USB232" s="297" t="s">
        <v>124</v>
      </c>
      <c r="USC232" s="297" t="s">
        <v>124</v>
      </c>
      <c r="USD232" s="297" t="s">
        <v>124</v>
      </c>
      <c r="USE232" s="297" t="s">
        <v>124</v>
      </c>
      <c r="USF232" s="297" t="s">
        <v>124</v>
      </c>
      <c r="USG232" s="297" t="s">
        <v>124</v>
      </c>
      <c r="USH232" s="297" t="s">
        <v>124</v>
      </c>
      <c r="USI232" s="297" t="s">
        <v>124</v>
      </c>
      <c r="USJ232" s="297" t="s">
        <v>124</v>
      </c>
      <c r="USK232" s="297" t="s">
        <v>124</v>
      </c>
      <c r="USL232" s="297" t="s">
        <v>124</v>
      </c>
      <c r="USM232" s="297" t="s">
        <v>124</v>
      </c>
      <c r="USN232" s="297" t="s">
        <v>124</v>
      </c>
      <c r="USO232" s="297" t="s">
        <v>124</v>
      </c>
      <c r="USP232" s="297" t="s">
        <v>124</v>
      </c>
      <c r="USQ232" s="297" t="s">
        <v>124</v>
      </c>
      <c r="USR232" s="297" t="s">
        <v>124</v>
      </c>
      <c r="USS232" s="297" t="s">
        <v>124</v>
      </c>
      <c r="UST232" s="297" t="s">
        <v>124</v>
      </c>
      <c r="USU232" s="297" t="s">
        <v>124</v>
      </c>
      <c r="USV232" s="297" t="s">
        <v>124</v>
      </c>
      <c r="USW232" s="297" t="s">
        <v>124</v>
      </c>
      <c r="USX232" s="297" t="s">
        <v>124</v>
      </c>
      <c r="USY232" s="297" t="s">
        <v>124</v>
      </c>
      <c r="USZ232" s="297" t="s">
        <v>124</v>
      </c>
      <c r="UTA232" s="297" t="s">
        <v>124</v>
      </c>
      <c r="UTB232" s="297" t="s">
        <v>124</v>
      </c>
      <c r="UTC232" s="297" t="s">
        <v>124</v>
      </c>
      <c r="UTD232" s="297" t="s">
        <v>124</v>
      </c>
      <c r="UTE232" s="297" t="s">
        <v>124</v>
      </c>
      <c r="UTF232" s="297" t="s">
        <v>124</v>
      </c>
      <c r="UTG232" s="297" t="s">
        <v>124</v>
      </c>
      <c r="UTH232" s="297" t="s">
        <v>124</v>
      </c>
      <c r="UTI232" s="297" t="s">
        <v>124</v>
      </c>
      <c r="UTJ232" s="297" t="s">
        <v>124</v>
      </c>
      <c r="UTK232" s="297" t="s">
        <v>124</v>
      </c>
      <c r="UTL232" s="297" t="s">
        <v>124</v>
      </c>
      <c r="UTM232" s="297" t="s">
        <v>124</v>
      </c>
      <c r="UTN232" s="297" t="s">
        <v>124</v>
      </c>
      <c r="UTO232" s="297" t="s">
        <v>124</v>
      </c>
      <c r="UTP232" s="297" t="s">
        <v>124</v>
      </c>
      <c r="UTQ232" s="297" t="s">
        <v>124</v>
      </c>
      <c r="UTR232" s="297" t="s">
        <v>124</v>
      </c>
      <c r="UTS232" s="297" t="s">
        <v>124</v>
      </c>
      <c r="UTT232" s="297" t="s">
        <v>124</v>
      </c>
      <c r="UTU232" s="297" t="s">
        <v>124</v>
      </c>
      <c r="UTV232" s="297" t="s">
        <v>124</v>
      </c>
      <c r="UTW232" s="297" t="s">
        <v>124</v>
      </c>
      <c r="UTX232" s="297" t="s">
        <v>124</v>
      </c>
      <c r="UTY232" s="297" t="s">
        <v>124</v>
      </c>
      <c r="UTZ232" s="297" t="s">
        <v>124</v>
      </c>
      <c r="UUA232" s="297" t="s">
        <v>124</v>
      </c>
      <c r="UUB232" s="297" t="s">
        <v>124</v>
      </c>
      <c r="UUC232" s="297" t="s">
        <v>124</v>
      </c>
      <c r="UUD232" s="297" t="s">
        <v>124</v>
      </c>
      <c r="UUE232" s="297" t="s">
        <v>124</v>
      </c>
      <c r="UUF232" s="297" t="s">
        <v>124</v>
      </c>
      <c r="UUG232" s="297" t="s">
        <v>124</v>
      </c>
      <c r="UUH232" s="297" t="s">
        <v>124</v>
      </c>
      <c r="UUI232" s="297" t="s">
        <v>124</v>
      </c>
      <c r="UUJ232" s="297" t="s">
        <v>124</v>
      </c>
      <c r="UUK232" s="297" t="s">
        <v>124</v>
      </c>
      <c r="UUL232" s="297" t="s">
        <v>124</v>
      </c>
      <c r="UUM232" s="297" t="s">
        <v>124</v>
      </c>
      <c r="UUN232" s="297" t="s">
        <v>124</v>
      </c>
      <c r="UUO232" s="297" t="s">
        <v>124</v>
      </c>
      <c r="UUP232" s="297" t="s">
        <v>124</v>
      </c>
      <c r="UUQ232" s="297" t="s">
        <v>124</v>
      </c>
      <c r="UUR232" s="297" t="s">
        <v>124</v>
      </c>
      <c r="UUS232" s="297" t="s">
        <v>124</v>
      </c>
      <c r="UUT232" s="297" t="s">
        <v>124</v>
      </c>
      <c r="UUU232" s="297" t="s">
        <v>124</v>
      </c>
      <c r="UUV232" s="297" t="s">
        <v>124</v>
      </c>
      <c r="UUW232" s="297" t="s">
        <v>124</v>
      </c>
      <c r="UUX232" s="297" t="s">
        <v>124</v>
      </c>
      <c r="UUY232" s="297" t="s">
        <v>124</v>
      </c>
      <c r="UUZ232" s="297" t="s">
        <v>124</v>
      </c>
      <c r="UVA232" s="297" t="s">
        <v>124</v>
      </c>
      <c r="UVB232" s="297" t="s">
        <v>124</v>
      </c>
      <c r="UVC232" s="297" t="s">
        <v>124</v>
      </c>
      <c r="UVD232" s="297" t="s">
        <v>124</v>
      </c>
      <c r="UVE232" s="297" t="s">
        <v>124</v>
      </c>
      <c r="UVF232" s="297" t="s">
        <v>124</v>
      </c>
      <c r="UVG232" s="297" t="s">
        <v>124</v>
      </c>
      <c r="UVH232" s="297" t="s">
        <v>124</v>
      </c>
      <c r="UVI232" s="297" t="s">
        <v>124</v>
      </c>
      <c r="UVJ232" s="297" t="s">
        <v>124</v>
      </c>
      <c r="UVK232" s="297" t="s">
        <v>124</v>
      </c>
      <c r="UVL232" s="297" t="s">
        <v>124</v>
      </c>
      <c r="UVM232" s="297" t="s">
        <v>124</v>
      </c>
      <c r="UVN232" s="297" t="s">
        <v>124</v>
      </c>
      <c r="UVO232" s="297" t="s">
        <v>124</v>
      </c>
      <c r="UVP232" s="297" t="s">
        <v>124</v>
      </c>
      <c r="UVQ232" s="297" t="s">
        <v>124</v>
      </c>
      <c r="UVR232" s="297" t="s">
        <v>124</v>
      </c>
      <c r="UVS232" s="297" t="s">
        <v>124</v>
      </c>
      <c r="UVT232" s="297" t="s">
        <v>124</v>
      </c>
      <c r="UVU232" s="297" t="s">
        <v>124</v>
      </c>
      <c r="UVV232" s="297" t="s">
        <v>124</v>
      </c>
      <c r="UVW232" s="297" t="s">
        <v>124</v>
      </c>
      <c r="UVX232" s="297" t="s">
        <v>124</v>
      </c>
      <c r="UVY232" s="297" t="s">
        <v>124</v>
      </c>
      <c r="UVZ232" s="297" t="s">
        <v>124</v>
      </c>
      <c r="UWA232" s="297" t="s">
        <v>124</v>
      </c>
      <c r="UWB232" s="297" t="s">
        <v>124</v>
      </c>
      <c r="UWC232" s="297" t="s">
        <v>124</v>
      </c>
      <c r="UWD232" s="297" t="s">
        <v>124</v>
      </c>
      <c r="UWE232" s="297" t="s">
        <v>124</v>
      </c>
      <c r="UWF232" s="297" t="s">
        <v>124</v>
      </c>
      <c r="UWG232" s="297" t="s">
        <v>124</v>
      </c>
      <c r="UWH232" s="297" t="s">
        <v>124</v>
      </c>
      <c r="UWI232" s="297" t="s">
        <v>124</v>
      </c>
      <c r="UWJ232" s="297" t="s">
        <v>124</v>
      </c>
      <c r="UWK232" s="297" t="s">
        <v>124</v>
      </c>
      <c r="UWL232" s="297" t="s">
        <v>124</v>
      </c>
      <c r="UWM232" s="297" t="s">
        <v>124</v>
      </c>
      <c r="UWN232" s="297" t="s">
        <v>124</v>
      </c>
      <c r="UWO232" s="297" t="s">
        <v>124</v>
      </c>
      <c r="UWP232" s="297" t="s">
        <v>124</v>
      </c>
      <c r="UWQ232" s="297" t="s">
        <v>124</v>
      </c>
      <c r="UWR232" s="297" t="s">
        <v>124</v>
      </c>
      <c r="UWS232" s="297" t="s">
        <v>124</v>
      </c>
      <c r="UWT232" s="297" t="s">
        <v>124</v>
      </c>
      <c r="UWU232" s="297" t="s">
        <v>124</v>
      </c>
      <c r="UWV232" s="297" t="s">
        <v>124</v>
      </c>
      <c r="UWW232" s="297" t="s">
        <v>124</v>
      </c>
      <c r="UWX232" s="297" t="s">
        <v>124</v>
      </c>
      <c r="UWY232" s="297" t="s">
        <v>124</v>
      </c>
      <c r="UWZ232" s="297" t="s">
        <v>124</v>
      </c>
      <c r="UXA232" s="297" t="s">
        <v>124</v>
      </c>
      <c r="UXB232" s="297" t="s">
        <v>124</v>
      </c>
      <c r="UXC232" s="297" t="s">
        <v>124</v>
      </c>
      <c r="UXD232" s="297" t="s">
        <v>124</v>
      </c>
      <c r="UXE232" s="297" t="s">
        <v>124</v>
      </c>
      <c r="UXF232" s="297" t="s">
        <v>124</v>
      </c>
      <c r="UXG232" s="297" t="s">
        <v>124</v>
      </c>
      <c r="UXH232" s="297" t="s">
        <v>124</v>
      </c>
      <c r="UXI232" s="297" t="s">
        <v>124</v>
      </c>
      <c r="UXJ232" s="297" t="s">
        <v>124</v>
      </c>
      <c r="UXK232" s="297" t="s">
        <v>124</v>
      </c>
      <c r="UXL232" s="297" t="s">
        <v>124</v>
      </c>
      <c r="UXM232" s="297" t="s">
        <v>124</v>
      </c>
      <c r="UXN232" s="297" t="s">
        <v>124</v>
      </c>
      <c r="UXO232" s="297" t="s">
        <v>124</v>
      </c>
      <c r="UXP232" s="297" t="s">
        <v>124</v>
      </c>
      <c r="UXQ232" s="297" t="s">
        <v>124</v>
      </c>
      <c r="UXR232" s="297" t="s">
        <v>124</v>
      </c>
      <c r="UXS232" s="297" t="s">
        <v>124</v>
      </c>
      <c r="UXT232" s="297" t="s">
        <v>124</v>
      </c>
      <c r="UXU232" s="297" t="s">
        <v>124</v>
      </c>
      <c r="UXV232" s="297" t="s">
        <v>124</v>
      </c>
      <c r="UXW232" s="297" t="s">
        <v>124</v>
      </c>
      <c r="UXX232" s="297" t="s">
        <v>124</v>
      </c>
      <c r="UXY232" s="297" t="s">
        <v>124</v>
      </c>
      <c r="UXZ232" s="297" t="s">
        <v>124</v>
      </c>
      <c r="UYA232" s="297" t="s">
        <v>124</v>
      </c>
      <c r="UYB232" s="297" t="s">
        <v>124</v>
      </c>
      <c r="UYC232" s="297" t="s">
        <v>124</v>
      </c>
      <c r="UYD232" s="297" t="s">
        <v>124</v>
      </c>
      <c r="UYE232" s="297" t="s">
        <v>124</v>
      </c>
      <c r="UYF232" s="297" t="s">
        <v>124</v>
      </c>
      <c r="UYG232" s="297" t="s">
        <v>124</v>
      </c>
      <c r="UYH232" s="297" t="s">
        <v>124</v>
      </c>
      <c r="UYI232" s="297" t="s">
        <v>124</v>
      </c>
      <c r="UYJ232" s="297" t="s">
        <v>124</v>
      </c>
      <c r="UYK232" s="297" t="s">
        <v>124</v>
      </c>
      <c r="UYL232" s="297" t="s">
        <v>124</v>
      </c>
      <c r="UYM232" s="297" t="s">
        <v>124</v>
      </c>
      <c r="UYN232" s="297" t="s">
        <v>124</v>
      </c>
      <c r="UYO232" s="297" t="s">
        <v>124</v>
      </c>
      <c r="UYP232" s="297" t="s">
        <v>124</v>
      </c>
      <c r="UYQ232" s="297" t="s">
        <v>124</v>
      </c>
      <c r="UYR232" s="297" t="s">
        <v>124</v>
      </c>
      <c r="UYS232" s="297" t="s">
        <v>124</v>
      </c>
      <c r="UYT232" s="297" t="s">
        <v>124</v>
      </c>
      <c r="UYU232" s="297" t="s">
        <v>124</v>
      </c>
      <c r="UYV232" s="297" t="s">
        <v>124</v>
      </c>
      <c r="UYW232" s="297" t="s">
        <v>124</v>
      </c>
      <c r="UYX232" s="297" t="s">
        <v>124</v>
      </c>
      <c r="UYY232" s="297" t="s">
        <v>124</v>
      </c>
      <c r="UYZ232" s="297" t="s">
        <v>124</v>
      </c>
      <c r="UZA232" s="297" t="s">
        <v>124</v>
      </c>
      <c r="UZB232" s="297" t="s">
        <v>124</v>
      </c>
      <c r="UZC232" s="297" t="s">
        <v>124</v>
      </c>
      <c r="UZD232" s="297" t="s">
        <v>124</v>
      </c>
      <c r="UZE232" s="297" t="s">
        <v>124</v>
      </c>
      <c r="UZF232" s="297" t="s">
        <v>124</v>
      </c>
      <c r="UZG232" s="297" t="s">
        <v>124</v>
      </c>
      <c r="UZH232" s="297" t="s">
        <v>124</v>
      </c>
      <c r="UZI232" s="297" t="s">
        <v>124</v>
      </c>
      <c r="UZJ232" s="297" t="s">
        <v>124</v>
      </c>
      <c r="UZK232" s="297" t="s">
        <v>124</v>
      </c>
      <c r="UZL232" s="297" t="s">
        <v>124</v>
      </c>
      <c r="UZM232" s="297" t="s">
        <v>124</v>
      </c>
      <c r="UZN232" s="297" t="s">
        <v>124</v>
      </c>
      <c r="UZO232" s="297" t="s">
        <v>124</v>
      </c>
      <c r="UZP232" s="297" t="s">
        <v>124</v>
      </c>
      <c r="UZQ232" s="297" t="s">
        <v>124</v>
      </c>
      <c r="UZR232" s="297" t="s">
        <v>124</v>
      </c>
      <c r="UZS232" s="297" t="s">
        <v>124</v>
      </c>
      <c r="UZT232" s="297" t="s">
        <v>124</v>
      </c>
      <c r="UZU232" s="297" t="s">
        <v>124</v>
      </c>
      <c r="UZV232" s="297" t="s">
        <v>124</v>
      </c>
      <c r="UZW232" s="297" t="s">
        <v>124</v>
      </c>
      <c r="UZX232" s="297" t="s">
        <v>124</v>
      </c>
      <c r="UZY232" s="297" t="s">
        <v>124</v>
      </c>
      <c r="UZZ232" s="297" t="s">
        <v>124</v>
      </c>
      <c r="VAA232" s="297" t="s">
        <v>124</v>
      </c>
      <c r="VAB232" s="297" t="s">
        <v>124</v>
      </c>
      <c r="VAC232" s="297" t="s">
        <v>124</v>
      </c>
      <c r="VAD232" s="297" t="s">
        <v>124</v>
      </c>
      <c r="VAE232" s="297" t="s">
        <v>124</v>
      </c>
      <c r="VAF232" s="297" t="s">
        <v>124</v>
      </c>
      <c r="VAG232" s="297" t="s">
        <v>124</v>
      </c>
      <c r="VAH232" s="297" t="s">
        <v>124</v>
      </c>
      <c r="VAI232" s="297" t="s">
        <v>124</v>
      </c>
      <c r="VAJ232" s="297" t="s">
        <v>124</v>
      </c>
      <c r="VAK232" s="297" t="s">
        <v>124</v>
      </c>
      <c r="VAL232" s="297" t="s">
        <v>124</v>
      </c>
      <c r="VAM232" s="297" t="s">
        <v>124</v>
      </c>
      <c r="VAN232" s="297" t="s">
        <v>124</v>
      </c>
      <c r="VAO232" s="297" t="s">
        <v>124</v>
      </c>
      <c r="VAP232" s="297" t="s">
        <v>124</v>
      </c>
      <c r="VAQ232" s="297" t="s">
        <v>124</v>
      </c>
      <c r="VAR232" s="297" t="s">
        <v>124</v>
      </c>
      <c r="VAS232" s="297" t="s">
        <v>124</v>
      </c>
      <c r="VAT232" s="297" t="s">
        <v>124</v>
      </c>
      <c r="VAU232" s="297" t="s">
        <v>124</v>
      </c>
      <c r="VAV232" s="297" t="s">
        <v>124</v>
      </c>
      <c r="VAW232" s="297" t="s">
        <v>124</v>
      </c>
      <c r="VAX232" s="297" t="s">
        <v>124</v>
      </c>
      <c r="VAY232" s="297" t="s">
        <v>124</v>
      </c>
      <c r="VAZ232" s="297" t="s">
        <v>124</v>
      </c>
      <c r="VBA232" s="297" t="s">
        <v>124</v>
      </c>
      <c r="VBB232" s="297" t="s">
        <v>124</v>
      </c>
      <c r="VBC232" s="297" t="s">
        <v>124</v>
      </c>
      <c r="VBD232" s="297" t="s">
        <v>124</v>
      </c>
      <c r="VBE232" s="297" t="s">
        <v>124</v>
      </c>
      <c r="VBF232" s="297" t="s">
        <v>124</v>
      </c>
      <c r="VBG232" s="297" t="s">
        <v>124</v>
      </c>
      <c r="VBH232" s="297" t="s">
        <v>124</v>
      </c>
      <c r="VBI232" s="297" t="s">
        <v>124</v>
      </c>
      <c r="VBJ232" s="297" t="s">
        <v>124</v>
      </c>
      <c r="VBK232" s="297" t="s">
        <v>124</v>
      </c>
      <c r="VBL232" s="297" t="s">
        <v>124</v>
      </c>
      <c r="VBM232" s="297" t="s">
        <v>124</v>
      </c>
      <c r="VBN232" s="297" t="s">
        <v>124</v>
      </c>
      <c r="VBO232" s="297" t="s">
        <v>124</v>
      </c>
      <c r="VBP232" s="297" t="s">
        <v>124</v>
      </c>
      <c r="VBQ232" s="297" t="s">
        <v>124</v>
      </c>
      <c r="VBR232" s="297" t="s">
        <v>124</v>
      </c>
      <c r="VBS232" s="297" t="s">
        <v>124</v>
      </c>
      <c r="VBT232" s="297" t="s">
        <v>124</v>
      </c>
      <c r="VBU232" s="297" t="s">
        <v>124</v>
      </c>
      <c r="VBV232" s="297" t="s">
        <v>124</v>
      </c>
      <c r="VBW232" s="297" t="s">
        <v>124</v>
      </c>
      <c r="VBX232" s="297" t="s">
        <v>124</v>
      </c>
      <c r="VBY232" s="297" t="s">
        <v>124</v>
      </c>
      <c r="VBZ232" s="297" t="s">
        <v>124</v>
      </c>
      <c r="VCA232" s="297" t="s">
        <v>124</v>
      </c>
      <c r="VCB232" s="297" t="s">
        <v>124</v>
      </c>
      <c r="VCC232" s="297" t="s">
        <v>124</v>
      </c>
      <c r="VCD232" s="297" t="s">
        <v>124</v>
      </c>
      <c r="VCE232" s="297" t="s">
        <v>124</v>
      </c>
      <c r="VCF232" s="297" t="s">
        <v>124</v>
      </c>
      <c r="VCG232" s="297" t="s">
        <v>124</v>
      </c>
      <c r="VCH232" s="297" t="s">
        <v>124</v>
      </c>
      <c r="VCI232" s="297" t="s">
        <v>124</v>
      </c>
      <c r="VCJ232" s="297" t="s">
        <v>124</v>
      </c>
      <c r="VCK232" s="297" t="s">
        <v>124</v>
      </c>
      <c r="VCL232" s="297" t="s">
        <v>124</v>
      </c>
      <c r="VCM232" s="297" t="s">
        <v>124</v>
      </c>
      <c r="VCN232" s="297" t="s">
        <v>124</v>
      </c>
      <c r="VCO232" s="297" t="s">
        <v>124</v>
      </c>
      <c r="VCP232" s="297" t="s">
        <v>124</v>
      </c>
      <c r="VCQ232" s="297" t="s">
        <v>124</v>
      </c>
      <c r="VCR232" s="297" t="s">
        <v>124</v>
      </c>
      <c r="VCS232" s="297" t="s">
        <v>124</v>
      </c>
      <c r="VCT232" s="297" t="s">
        <v>124</v>
      </c>
      <c r="VCU232" s="297" t="s">
        <v>124</v>
      </c>
      <c r="VCV232" s="297" t="s">
        <v>124</v>
      </c>
      <c r="VCW232" s="297" t="s">
        <v>124</v>
      </c>
      <c r="VCX232" s="297" t="s">
        <v>124</v>
      </c>
      <c r="VCY232" s="297" t="s">
        <v>124</v>
      </c>
      <c r="VCZ232" s="297" t="s">
        <v>124</v>
      </c>
      <c r="VDA232" s="297" t="s">
        <v>124</v>
      </c>
      <c r="VDB232" s="297" t="s">
        <v>124</v>
      </c>
      <c r="VDC232" s="297" t="s">
        <v>124</v>
      </c>
      <c r="VDD232" s="297" t="s">
        <v>124</v>
      </c>
      <c r="VDE232" s="297" t="s">
        <v>124</v>
      </c>
      <c r="VDF232" s="297" t="s">
        <v>124</v>
      </c>
      <c r="VDG232" s="297" t="s">
        <v>124</v>
      </c>
      <c r="VDH232" s="297" t="s">
        <v>124</v>
      </c>
      <c r="VDI232" s="297" t="s">
        <v>124</v>
      </c>
      <c r="VDJ232" s="297" t="s">
        <v>124</v>
      </c>
      <c r="VDK232" s="297" t="s">
        <v>124</v>
      </c>
      <c r="VDL232" s="297" t="s">
        <v>124</v>
      </c>
      <c r="VDM232" s="297" t="s">
        <v>124</v>
      </c>
      <c r="VDN232" s="297" t="s">
        <v>124</v>
      </c>
      <c r="VDO232" s="297" t="s">
        <v>124</v>
      </c>
      <c r="VDP232" s="297" t="s">
        <v>124</v>
      </c>
      <c r="VDQ232" s="297" t="s">
        <v>124</v>
      </c>
      <c r="VDR232" s="297" t="s">
        <v>124</v>
      </c>
      <c r="VDS232" s="297" t="s">
        <v>124</v>
      </c>
      <c r="VDT232" s="297" t="s">
        <v>124</v>
      </c>
      <c r="VDU232" s="297" t="s">
        <v>124</v>
      </c>
      <c r="VDV232" s="297" t="s">
        <v>124</v>
      </c>
      <c r="VDW232" s="297" t="s">
        <v>124</v>
      </c>
      <c r="VDX232" s="297" t="s">
        <v>124</v>
      </c>
      <c r="VDY232" s="297" t="s">
        <v>124</v>
      </c>
      <c r="VDZ232" s="297" t="s">
        <v>124</v>
      </c>
      <c r="VEA232" s="297" t="s">
        <v>124</v>
      </c>
      <c r="VEB232" s="297" t="s">
        <v>124</v>
      </c>
      <c r="VEC232" s="297" t="s">
        <v>124</v>
      </c>
      <c r="VED232" s="297" t="s">
        <v>124</v>
      </c>
      <c r="VEE232" s="297" t="s">
        <v>124</v>
      </c>
      <c r="VEF232" s="297" t="s">
        <v>124</v>
      </c>
      <c r="VEG232" s="297" t="s">
        <v>124</v>
      </c>
      <c r="VEH232" s="297" t="s">
        <v>124</v>
      </c>
      <c r="VEI232" s="297" t="s">
        <v>124</v>
      </c>
      <c r="VEJ232" s="297" t="s">
        <v>124</v>
      </c>
      <c r="VEK232" s="297" t="s">
        <v>124</v>
      </c>
      <c r="VEL232" s="297" t="s">
        <v>124</v>
      </c>
      <c r="VEM232" s="297" t="s">
        <v>124</v>
      </c>
      <c r="VEN232" s="297" t="s">
        <v>124</v>
      </c>
      <c r="VEO232" s="297" t="s">
        <v>124</v>
      </c>
      <c r="VEP232" s="297" t="s">
        <v>124</v>
      </c>
      <c r="VEQ232" s="297" t="s">
        <v>124</v>
      </c>
      <c r="VER232" s="297" t="s">
        <v>124</v>
      </c>
      <c r="VES232" s="297" t="s">
        <v>124</v>
      </c>
      <c r="VET232" s="297" t="s">
        <v>124</v>
      </c>
      <c r="VEU232" s="297" t="s">
        <v>124</v>
      </c>
      <c r="VEV232" s="297" t="s">
        <v>124</v>
      </c>
      <c r="VEW232" s="297" t="s">
        <v>124</v>
      </c>
      <c r="VEX232" s="297" t="s">
        <v>124</v>
      </c>
      <c r="VEY232" s="297" t="s">
        <v>124</v>
      </c>
      <c r="VEZ232" s="297" t="s">
        <v>124</v>
      </c>
      <c r="VFA232" s="297" t="s">
        <v>124</v>
      </c>
      <c r="VFB232" s="297" t="s">
        <v>124</v>
      </c>
      <c r="VFC232" s="297" t="s">
        <v>124</v>
      </c>
      <c r="VFD232" s="297" t="s">
        <v>124</v>
      </c>
      <c r="VFE232" s="297" t="s">
        <v>124</v>
      </c>
      <c r="VFF232" s="297" t="s">
        <v>124</v>
      </c>
      <c r="VFG232" s="297" t="s">
        <v>124</v>
      </c>
      <c r="VFH232" s="297" t="s">
        <v>124</v>
      </c>
      <c r="VFI232" s="297" t="s">
        <v>124</v>
      </c>
      <c r="VFJ232" s="297" t="s">
        <v>124</v>
      </c>
      <c r="VFK232" s="297" t="s">
        <v>124</v>
      </c>
      <c r="VFL232" s="297" t="s">
        <v>124</v>
      </c>
      <c r="VFM232" s="297" t="s">
        <v>124</v>
      </c>
      <c r="VFN232" s="297" t="s">
        <v>124</v>
      </c>
      <c r="VFO232" s="297" t="s">
        <v>124</v>
      </c>
      <c r="VFP232" s="297" t="s">
        <v>124</v>
      </c>
      <c r="VFQ232" s="297" t="s">
        <v>124</v>
      </c>
      <c r="VFR232" s="297" t="s">
        <v>124</v>
      </c>
      <c r="VFS232" s="297" t="s">
        <v>124</v>
      </c>
      <c r="VFT232" s="297" t="s">
        <v>124</v>
      </c>
      <c r="VFU232" s="297" t="s">
        <v>124</v>
      </c>
      <c r="VFV232" s="297" t="s">
        <v>124</v>
      </c>
      <c r="VFW232" s="297" t="s">
        <v>124</v>
      </c>
      <c r="VFX232" s="297" t="s">
        <v>124</v>
      </c>
      <c r="VFY232" s="297" t="s">
        <v>124</v>
      </c>
      <c r="VFZ232" s="297" t="s">
        <v>124</v>
      </c>
      <c r="VGA232" s="297" t="s">
        <v>124</v>
      </c>
      <c r="VGB232" s="297" t="s">
        <v>124</v>
      </c>
      <c r="VGC232" s="297" t="s">
        <v>124</v>
      </c>
      <c r="VGD232" s="297" t="s">
        <v>124</v>
      </c>
      <c r="VGE232" s="297" t="s">
        <v>124</v>
      </c>
      <c r="VGF232" s="297" t="s">
        <v>124</v>
      </c>
      <c r="VGG232" s="297" t="s">
        <v>124</v>
      </c>
      <c r="VGH232" s="297" t="s">
        <v>124</v>
      </c>
      <c r="VGI232" s="297" t="s">
        <v>124</v>
      </c>
      <c r="VGJ232" s="297" t="s">
        <v>124</v>
      </c>
      <c r="VGK232" s="297" t="s">
        <v>124</v>
      </c>
      <c r="VGL232" s="297" t="s">
        <v>124</v>
      </c>
      <c r="VGM232" s="297" t="s">
        <v>124</v>
      </c>
      <c r="VGN232" s="297" t="s">
        <v>124</v>
      </c>
      <c r="VGO232" s="297" t="s">
        <v>124</v>
      </c>
      <c r="VGP232" s="297" t="s">
        <v>124</v>
      </c>
      <c r="VGQ232" s="297" t="s">
        <v>124</v>
      </c>
      <c r="VGR232" s="297" t="s">
        <v>124</v>
      </c>
      <c r="VGS232" s="297" t="s">
        <v>124</v>
      </c>
      <c r="VGT232" s="297" t="s">
        <v>124</v>
      </c>
      <c r="VGU232" s="297" t="s">
        <v>124</v>
      </c>
      <c r="VGV232" s="297" t="s">
        <v>124</v>
      </c>
      <c r="VGW232" s="297" t="s">
        <v>124</v>
      </c>
      <c r="VGX232" s="297" t="s">
        <v>124</v>
      </c>
      <c r="VGY232" s="297" t="s">
        <v>124</v>
      </c>
      <c r="VGZ232" s="297" t="s">
        <v>124</v>
      </c>
      <c r="VHA232" s="297" t="s">
        <v>124</v>
      </c>
      <c r="VHB232" s="297" t="s">
        <v>124</v>
      </c>
      <c r="VHC232" s="297" t="s">
        <v>124</v>
      </c>
      <c r="VHD232" s="297" t="s">
        <v>124</v>
      </c>
      <c r="VHE232" s="297" t="s">
        <v>124</v>
      </c>
      <c r="VHF232" s="297" t="s">
        <v>124</v>
      </c>
      <c r="VHG232" s="297" t="s">
        <v>124</v>
      </c>
      <c r="VHH232" s="297" t="s">
        <v>124</v>
      </c>
      <c r="VHI232" s="297" t="s">
        <v>124</v>
      </c>
      <c r="VHJ232" s="297" t="s">
        <v>124</v>
      </c>
      <c r="VHK232" s="297" t="s">
        <v>124</v>
      </c>
      <c r="VHL232" s="297" t="s">
        <v>124</v>
      </c>
      <c r="VHM232" s="297" t="s">
        <v>124</v>
      </c>
      <c r="VHN232" s="297" t="s">
        <v>124</v>
      </c>
      <c r="VHO232" s="297" t="s">
        <v>124</v>
      </c>
      <c r="VHP232" s="297" t="s">
        <v>124</v>
      </c>
      <c r="VHQ232" s="297" t="s">
        <v>124</v>
      </c>
      <c r="VHR232" s="297" t="s">
        <v>124</v>
      </c>
      <c r="VHS232" s="297" t="s">
        <v>124</v>
      </c>
      <c r="VHT232" s="297" t="s">
        <v>124</v>
      </c>
      <c r="VHU232" s="297" t="s">
        <v>124</v>
      </c>
      <c r="VHV232" s="297" t="s">
        <v>124</v>
      </c>
      <c r="VHW232" s="297" t="s">
        <v>124</v>
      </c>
      <c r="VHX232" s="297" t="s">
        <v>124</v>
      </c>
      <c r="VHY232" s="297" t="s">
        <v>124</v>
      </c>
      <c r="VHZ232" s="297" t="s">
        <v>124</v>
      </c>
      <c r="VIA232" s="297" t="s">
        <v>124</v>
      </c>
      <c r="VIB232" s="297" t="s">
        <v>124</v>
      </c>
      <c r="VIC232" s="297" t="s">
        <v>124</v>
      </c>
      <c r="VID232" s="297" t="s">
        <v>124</v>
      </c>
      <c r="VIE232" s="297" t="s">
        <v>124</v>
      </c>
      <c r="VIF232" s="297" t="s">
        <v>124</v>
      </c>
      <c r="VIG232" s="297" t="s">
        <v>124</v>
      </c>
      <c r="VIH232" s="297" t="s">
        <v>124</v>
      </c>
      <c r="VII232" s="297" t="s">
        <v>124</v>
      </c>
      <c r="VIJ232" s="297" t="s">
        <v>124</v>
      </c>
      <c r="VIK232" s="297" t="s">
        <v>124</v>
      </c>
      <c r="VIL232" s="297" t="s">
        <v>124</v>
      </c>
      <c r="VIM232" s="297" t="s">
        <v>124</v>
      </c>
      <c r="VIN232" s="297" t="s">
        <v>124</v>
      </c>
      <c r="VIO232" s="297" t="s">
        <v>124</v>
      </c>
      <c r="VIP232" s="297" t="s">
        <v>124</v>
      </c>
      <c r="VIQ232" s="297" t="s">
        <v>124</v>
      </c>
      <c r="VIR232" s="297" t="s">
        <v>124</v>
      </c>
      <c r="VIS232" s="297" t="s">
        <v>124</v>
      </c>
      <c r="VIT232" s="297" t="s">
        <v>124</v>
      </c>
      <c r="VIU232" s="297" t="s">
        <v>124</v>
      </c>
      <c r="VIV232" s="297" t="s">
        <v>124</v>
      </c>
      <c r="VIW232" s="297" t="s">
        <v>124</v>
      </c>
      <c r="VIX232" s="297" t="s">
        <v>124</v>
      </c>
      <c r="VIY232" s="297" t="s">
        <v>124</v>
      </c>
      <c r="VIZ232" s="297" t="s">
        <v>124</v>
      </c>
      <c r="VJA232" s="297" t="s">
        <v>124</v>
      </c>
      <c r="VJB232" s="297" t="s">
        <v>124</v>
      </c>
      <c r="VJC232" s="297" t="s">
        <v>124</v>
      </c>
      <c r="VJD232" s="297" t="s">
        <v>124</v>
      </c>
      <c r="VJE232" s="297" t="s">
        <v>124</v>
      </c>
      <c r="VJF232" s="297" t="s">
        <v>124</v>
      </c>
      <c r="VJG232" s="297" t="s">
        <v>124</v>
      </c>
      <c r="VJH232" s="297" t="s">
        <v>124</v>
      </c>
      <c r="VJI232" s="297" t="s">
        <v>124</v>
      </c>
      <c r="VJJ232" s="297" t="s">
        <v>124</v>
      </c>
      <c r="VJK232" s="297" t="s">
        <v>124</v>
      </c>
      <c r="VJL232" s="297" t="s">
        <v>124</v>
      </c>
      <c r="VJM232" s="297" t="s">
        <v>124</v>
      </c>
      <c r="VJN232" s="297" t="s">
        <v>124</v>
      </c>
      <c r="VJO232" s="297" t="s">
        <v>124</v>
      </c>
      <c r="VJP232" s="297" t="s">
        <v>124</v>
      </c>
      <c r="VJQ232" s="297" t="s">
        <v>124</v>
      </c>
      <c r="VJR232" s="297" t="s">
        <v>124</v>
      </c>
      <c r="VJS232" s="297" t="s">
        <v>124</v>
      </c>
      <c r="VJT232" s="297" t="s">
        <v>124</v>
      </c>
      <c r="VJU232" s="297" t="s">
        <v>124</v>
      </c>
      <c r="VJV232" s="297" t="s">
        <v>124</v>
      </c>
      <c r="VJW232" s="297" t="s">
        <v>124</v>
      </c>
      <c r="VJX232" s="297" t="s">
        <v>124</v>
      </c>
      <c r="VJY232" s="297" t="s">
        <v>124</v>
      </c>
      <c r="VJZ232" s="297" t="s">
        <v>124</v>
      </c>
      <c r="VKA232" s="297" t="s">
        <v>124</v>
      </c>
      <c r="VKB232" s="297" t="s">
        <v>124</v>
      </c>
      <c r="VKC232" s="297" t="s">
        <v>124</v>
      </c>
      <c r="VKD232" s="297" t="s">
        <v>124</v>
      </c>
      <c r="VKE232" s="297" t="s">
        <v>124</v>
      </c>
      <c r="VKF232" s="297" t="s">
        <v>124</v>
      </c>
      <c r="VKG232" s="297" t="s">
        <v>124</v>
      </c>
      <c r="VKH232" s="297" t="s">
        <v>124</v>
      </c>
      <c r="VKI232" s="297" t="s">
        <v>124</v>
      </c>
      <c r="VKJ232" s="297" t="s">
        <v>124</v>
      </c>
      <c r="VKK232" s="297" t="s">
        <v>124</v>
      </c>
      <c r="VKL232" s="297" t="s">
        <v>124</v>
      </c>
      <c r="VKM232" s="297" t="s">
        <v>124</v>
      </c>
      <c r="VKN232" s="297" t="s">
        <v>124</v>
      </c>
      <c r="VKO232" s="297" t="s">
        <v>124</v>
      </c>
      <c r="VKP232" s="297" t="s">
        <v>124</v>
      </c>
      <c r="VKQ232" s="297" t="s">
        <v>124</v>
      </c>
      <c r="VKR232" s="297" t="s">
        <v>124</v>
      </c>
      <c r="VKS232" s="297" t="s">
        <v>124</v>
      </c>
      <c r="VKT232" s="297" t="s">
        <v>124</v>
      </c>
      <c r="VKU232" s="297" t="s">
        <v>124</v>
      </c>
      <c r="VKV232" s="297" t="s">
        <v>124</v>
      </c>
      <c r="VKW232" s="297" t="s">
        <v>124</v>
      </c>
      <c r="VKX232" s="297" t="s">
        <v>124</v>
      </c>
      <c r="VKY232" s="297" t="s">
        <v>124</v>
      </c>
      <c r="VKZ232" s="297" t="s">
        <v>124</v>
      </c>
      <c r="VLA232" s="297" t="s">
        <v>124</v>
      </c>
      <c r="VLB232" s="297" t="s">
        <v>124</v>
      </c>
      <c r="VLC232" s="297" t="s">
        <v>124</v>
      </c>
      <c r="VLD232" s="297" t="s">
        <v>124</v>
      </c>
      <c r="VLE232" s="297" t="s">
        <v>124</v>
      </c>
      <c r="VLF232" s="297" t="s">
        <v>124</v>
      </c>
      <c r="VLG232" s="297" t="s">
        <v>124</v>
      </c>
      <c r="VLH232" s="297" t="s">
        <v>124</v>
      </c>
      <c r="VLI232" s="297" t="s">
        <v>124</v>
      </c>
      <c r="VLJ232" s="297" t="s">
        <v>124</v>
      </c>
      <c r="VLK232" s="297" t="s">
        <v>124</v>
      </c>
      <c r="VLL232" s="297" t="s">
        <v>124</v>
      </c>
      <c r="VLM232" s="297" t="s">
        <v>124</v>
      </c>
      <c r="VLN232" s="297" t="s">
        <v>124</v>
      </c>
      <c r="VLO232" s="297" t="s">
        <v>124</v>
      </c>
      <c r="VLP232" s="297" t="s">
        <v>124</v>
      </c>
      <c r="VLQ232" s="297" t="s">
        <v>124</v>
      </c>
      <c r="VLR232" s="297" t="s">
        <v>124</v>
      </c>
      <c r="VLS232" s="297" t="s">
        <v>124</v>
      </c>
      <c r="VLT232" s="297" t="s">
        <v>124</v>
      </c>
      <c r="VLU232" s="297" t="s">
        <v>124</v>
      </c>
      <c r="VLV232" s="297" t="s">
        <v>124</v>
      </c>
      <c r="VLW232" s="297" t="s">
        <v>124</v>
      </c>
      <c r="VLX232" s="297" t="s">
        <v>124</v>
      </c>
      <c r="VLY232" s="297" t="s">
        <v>124</v>
      </c>
      <c r="VLZ232" s="297" t="s">
        <v>124</v>
      </c>
      <c r="VMA232" s="297" t="s">
        <v>124</v>
      </c>
      <c r="VMB232" s="297" t="s">
        <v>124</v>
      </c>
      <c r="VMC232" s="297" t="s">
        <v>124</v>
      </c>
      <c r="VMD232" s="297" t="s">
        <v>124</v>
      </c>
      <c r="VME232" s="297" t="s">
        <v>124</v>
      </c>
      <c r="VMF232" s="297" t="s">
        <v>124</v>
      </c>
      <c r="VMG232" s="297" t="s">
        <v>124</v>
      </c>
      <c r="VMH232" s="297" t="s">
        <v>124</v>
      </c>
      <c r="VMI232" s="297" t="s">
        <v>124</v>
      </c>
      <c r="VMJ232" s="297" t="s">
        <v>124</v>
      </c>
      <c r="VMK232" s="297" t="s">
        <v>124</v>
      </c>
      <c r="VML232" s="297" t="s">
        <v>124</v>
      </c>
      <c r="VMM232" s="297" t="s">
        <v>124</v>
      </c>
      <c r="VMN232" s="297" t="s">
        <v>124</v>
      </c>
      <c r="VMO232" s="297" t="s">
        <v>124</v>
      </c>
      <c r="VMP232" s="297" t="s">
        <v>124</v>
      </c>
      <c r="VMQ232" s="297" t="s">
        <v>124</v>
      </c>
      <c r="VMR232" s="297" t="s">
        <v>124</v>
      </c>
      <c r="VMS232" s="297" t="s">
        <v>124</v>
      </c>
      <c r="VMT232" s="297" t="s">
        <v>124</v>
      </c>
      <c r="VMU232" s="297" t="s">
        <v>124</v>
      </c>
      <c r="VMV232" s="297" t="s">
        <v>124</v>
      </c>
      <c r="VMW232" s="297" t="s">
        <v>124</v>
      </c>
      <c r="VMX232" s="297" t="s">
        <v>124</v>
      </c>
      <c r="VMY232" s="297" t="s">
        <v>124</v>
      </c>
      <c r="VMZ232" s="297" t="s">
        <v>124</v>
      </c>
      <c r="VNA232" s="297" t="s">
        <v>124</v>
      </c>
      <c r="VNB232" s="297" t="s">
        <v>124</v>
      </c>
      <c r="VNC232" s="297" t="s">
        <v>124</v>
      </c>
      <c r="VND232" s="297" t="s">
        <v>124</v>
      </c>
      <c r="VNE232" s="297" t="s">
        <v>124</v>
      </c>
      <c r="VNF232" s="297" t="s">
        <v>124</v>
      </c>
      <c r="VNG232" s="297" t="s">
        <v>124</v>
      </c>
      <c r="VNH232" s="297" t="s">
        <v>124</v>
      </c>
      <c r="VNI232" s="297" t="s">
        <v>124</v>
      </c>
      <c r="VNJ232" s="297" t="s">
        <v>124</v>
      </c>
      <c r="VNK232" s="297" t="s">
        <v>124</v>
      </c>
      <c r="VNL232" s="297" t="s">
        <v>124</v>
      </c>
      <c r="VNM232" s="297" t="s">
        <v>124</v>
      </c>
      <c r="VNN232" s="297" t="s">
        <v>124</v>
      </c>
      <c r="VNO232" s="297" t="s">
        <v>124</v>
      </c>
      <c r="VNP232" s="297" t="s">
        <v>124</v>
      </c>
      <c r="VNQ232" s="297" t="s">
        <v>124</v>
      </c>
      <c r="VNR232" s="297" t="s">
        <v>124</v>
      </c>
      <c r="VNS232" s="297" t="s">
        <v>124</v>
      </c>
      <c r="VNT232" s="297" t="s">
        <v>124</v>
      </c>
      <c r="VNU232" s="297" t="s">
        <v>124</v>
      </c>
      <c r="VNV232" s="297" t="s">
        <v>124</v>
      </c>
      <c r="VNW232" s="297" t="s">
        <v>124</v>
      </c>
      <c r="VNX232" s="297" t="s">
        <v>124</v>
      </c>
      <c r="VNY232" s="297" t="s">
        <v>124</v>
      </c>
      <c r="VNZ232" s="297" t="s">
        <v>124</v>
      </c>
      <c r="VOA232" s="297" t="s">
        <v>124</v>
      </c>
      <c r="VOB232" s="297" t="s">
        <v>124</v>
      </c>
      <c r="VOC232" s="297" t="s">
        <v>124</v>
      </c>
      <c r="VOD232" s="297" t="s">
        <v>124</v>
      </c>
      <c r="VOE232" s="297" t="s">
        <v>124</v>
      </c>
      <c r="VOF232" s="297" t="s">
        <v>124</v>
      </c>
      <c r="VOG232" s="297" t="s">
        <v>124</v>
      </c>
      <c r="VOH232" s="297" t="s">
        <v>124</v>
      </c>
      <c r="VOI232" s="297" t="s">
        <v>124</v>
      </c>
      <c r="VOJ232" s="297" t="s">
        <v>124</v>
      </c>
      <c r="VOK232" s="297" t="s">
        <v>124</v>
      </c>
      <c r="VOL232" s="297" t="s">
        <v>124</v>
      </c>
      <c r="VOM232" s="297" t="s">
        <v>124</v>
      </c>
      <c r="VON232" s="297" t="s">
        <v>124</v>
      </c>
      <c r="VOO232" s="297" t="s">
        <v>124</v>
      </c>
      <c r="VOP232" s="297" t="s">
        <v>124</v>
      </c>
      <c r="VOQ232" s="297" t="s">
        <v>124</v>
      </c>
      <c r="VOR232" s="297" t="s">
        <v>124</v>
      </c>
      <c r="VOS232" s="297" t="s">
        <v>124</v>
      </c>
      <c r="VOT232" s="297" t="s">
        <v>124</v>
      </c>
      <c r="VOU232" s="297" t="s">
        <v>124</v>
      </c>
      <c r="VOV232" s="297" t="s">
        <v>124</v>
      </c>
      <c r="VOW232" s="297" t="s">
        <v>124</v>
      </c>
      <c r="VOX232" s="297" t="s">
        <v>124</v>
      </c>
      <c r="VOY232" s="297" t="s">
        <v>124</v>
      </c>
      <c r="VOZ232" s="297" t="s">
        <v>124</v>
      </c>
      <c r="VPA232" s="297" t="s">
        <v>124</v>
      </c>
      <c r="VPB232" s="297" t="s">
        <v>124</v>
      </c>
      <c r="VPC232" s="297" t="s">
        <v>124</v>
      </c>
      <c r="VPD232" s="297" t="s">
        <v>124</v>
      </c>
      <c r="VPE232" s="297" t="s">
        <v>124</v>
      </c>
      <c r="VPF232" s="297" t="s">
        <v>124</v>
      </c>
      <c r="VPG232" s="297" t="s">
        <v>124</v>
      </c>
      <c r="VPH232" s="297" t="s">
        <v>124</v>
      </c>
      <c r="VPI232" s="297" t="s">
        <v>124</v>
      </c>
      <c r="VPJ232" s="297" t="s">
        <v>124</v>
      </c>
      <c r="VPK232" s="297" t="s">
        <v>124</v>
      </c>
      <c r="VPL232" s="297" t="s">
        <v>124</v>
      </c>
      <c r="VPM232" s="297" t="s">
        <v>124</v>
      </c>
      <c r="VPN232" s="297" t="s">
        <v>124</v>
      </c>
      <c r="VPO232" s="297" t="s">
        <v>124</v>
      </c>
      <c r="VPP232" s="297" t="s">
        <v>124</v>
      </c>
      <c r="VPQ232" s="297" t="s">
        <v>124</v>
      </c>
      <c r="VPR232" s="297" t="s">
        <v>124</v>
      </c>
      <c r="VPS232" s="297" t="s">
        <v>124</v>
      </c>
      <c r="VPT232" s="297" t="s">
        <v>124</v>
      </c>
      <c r="VPU232" s="297" t="s">
        <v>124</v>
      </c>
      <c r="VPV232" s="297" t="s">
        <v>124</v>
      </c>
      <c r="VPW232" s="297" t="s">
        <v>124</v>
      </c>
      <c r="VPX232" s="297" t="s">
        <v>124</v>
      </c>
      <c r="VPY232" s="297" t="s">
        <v>124</v>
      </c>
      <c r="VPZ232" s="297" t="s">
        <v>124</v>
      </c>
      <c r="VQA232" s="297" t="s">
        <v>124</v>
      </c>
      <c r="VQB232" s="297" t="s">
        <v>124</v>
      </c>
      <c r="VQC232" s="297" t="s">
        <v>124</v>
      </c>
      <c r="VQD232" s="297" t="s">
        <v>124</v>
      </c>
      <c r="VQE232" s="297" t="s">
        <v>124</v>
      </c>
      <c r="VQF232" s="297" t="s">
        <v>124</v>
      </c>
      <c r="VQG232" s="297" t="s">
        <v>124</v>
      </c>
      <c r="VQH232" s="297" t="s">
        <v>124</v>
      </c>
      <c r="VQI232" s="297" t="s">
        <v>124</v>
      </c>
      <c r="VQJ232" s="297" t="s">
        <v>124</v>
      </c>
      <c r="VQK232" s="297" t="s">
        <v>124</v>
      </c>
      <c r="VQL232" s="297" t="s">
        <v>124</v>
      </c>
      <c r="VQM232" s="297" t="s">
        <v>124</v>
      </c>
      <c r="VQN232" s="297" t="s">
        <v>124</v>
      </c>
      <c r="VQO232" s="297" t="s">
        <v>124</v>
      </c>
      <c r="VQP232" s="297" t="s">
        <v>124</v>
      </c>
      <c r="VQQ232" s="297" t="s">
        <v>124</v>
      </c>
      <c r="VQR232" s="297" t="s">
        <v>124</v>
      </c>
      <c r="VQS232" s="297" t="s">
        <v>124</v>
      </c>
      <c r="VQT232" s="297" t="s">
        <v>124</v>
      </c>
      <c r="VQU232" s="297" t="s">
        <v>124</v>
      </c>
      <c r="VQV232" s="297" t="s">
        <v>124</v>
      </c>
      <c r="VQW232" s="297" t="s">
        <v>124</v>
      </c>
      <c r="VQX232" s="297" t="s">
        <v>124</v>
      </c>
      <c r="VQY232" s="297" t="s">
        <v>124</v>
      </c>
      <c r="VQZ232" s="297" t="s">
        <v>124</v>
      </c>
      <c r="VRA232" s="297" t="s">
        <v>124</v>
      </c>
      <c r="VRB232" s="297" t="s">
        <v>124</v>
      </c>
      <c r="VRC232" s="297" t="s">
        <v>124</v>
      </c>
      <c r="VRD232" s="297" t="s">
        <v>124</v>
      </c>
      <c r="VRE232" s="297" t="s">
        <v>124</v>
      </c>
      <c r="VRF232" s="297" t="s">
        <v>124</v>
      </c>
      <c r="VRG232" s="297" t="s">
        <v>124</v>
      </c>
      <c r="VRH232" s="297" t="s">
        <v>124</v>
      </c>
      <c r="VRI232" s="297" t="s">
        <v>124</v>
      </c>
      <c r="VRJ232" s="297" t="s">
        <v>124</v>
      </c>
      <c r="VRK232" s="297" t="s">
        <v>124</v>
      </c>
      <c r="VRL232" s="297" t="s">
        <v>124</v>
      </c>
      <c r="VRM232" s="297" t="s">
        <v>124</v>
      </c>
      <c r="VRN232" s="297" t="s">
        <v>124</v>
      </c>
      <c r="VRO232" s="297" t="s">
        <v>124</v>
      </c>
      <c r="VRP232" s="297" t="s">
        <v>124</v>
      </c>
      <c r="VRQ232" s="297" t="s">
        <v>124</v>
      </c>
      <c r="VRR232" s="297" t="s">
        <v>124</v>
      </c>
      <c r="VRS232" s="297" t="s">
        <v>124</v>
      </c>
      <c r="VRT232" s="297" t="s">
        <v>124</v>
      </c>
      <c r="VRU232" s="297" t="s">
        <v>124</v>
      </c>
      <c r="VRV232" s="297" t="s">
        <v>124</v>
      </c>
      <c r="VRW232" s="297" t="s">
        <v>124</v>
      </c>
      <c r="VRX232" s="297" t="s">
        <v>124</v>
      </c>
      <c r="VRY232" s="297" t="s">
        <v>124</v>
      </c>
      <c r="VRZ232" s="297" t="s">
        <v>124</v>
      </c>
      <c r="VSA232" s="297" t="s">
        <v>124</v>
      </c>
      <c r="VSB232" s="297" t="s">
        <v>124</v>
      </c>
      <c r="VSC232" s="297" t="s">
        <v>124</v>
      </c>
      <c r="VSD232" s="297" t="s">
        <v>124</v>
      </c>
      <c r="VSE232" s="297" t="s">
        <v>124</v>
      </c>
      <c r="VSF232" s="297" t="s">
        <v>124</v>
      </c>
      <c r="VSG232" s="297" t="s">
        <v>124</v>
      </c>
      <c r="VSH232" s="297" t="s">
        <v>124</v>
      </c>
      <c r="VSI232" s="297" t="s">
        <v>124</v>
      </c>
      <c r="VSJ232" s="297" t="s">
        <v>124</v>
      </c>
      <c r="VSK232" s="297" t="s">
        <v>124</v>
      </c>
      <c r="VSL232" s="297" t="s">
        <v>124</v>
      </c>
      <c r="VSM232" s="297" t="s">
        <v>124</v>
      </c>
      <c r="VSN232" s="297" t="s">
        <v>124</v>
      </c>
      <c r="VSO232" s="297" t="s">
        <v>124</v>
      </c>
      <c r="VSP232" s="297" t="s">
        <v>124</v>
      </c>
      <c r="VSQ232" s="297" t="s">
        <v>124</v>
      </c>
      <c r="VSR232" s="297" t="s">
        <v>124</v>
      </c>
      <c r="VSS232" s="297" t="s">
        <v>124</v>
      </c>
      <c r="VST232" s="297" t="s">
        <v>124</v>
      </c>
      <c r="VSU232" s="297" t="s">
        <v>124</v>
      </c>
      <c r="VSV232" s="297" t="s">
        <v>124</v>
      </c>
      <c r="VSW232" s="297" t="s">
        <v>124</v>
      </c>
      <c r="VSX232" s="297" t="s">
        <v>124</v>
      </c>
      <c r="VSY232" s="297" t="s">
        <v>124</v>
      </c>
      <c r="VSZ232" s="297" t="s">
        <v>124</v>
      </c>
      <c r="VTA232" s="297" t="s">
        <v>124</v>
      </c>
      <c r="VTB232" s="297" t="s">
        <v>124</v>
      </c>
      <c r="VTC232" s="297" t="s">
        <v>124</v>
      </c>
      <c r="VTD232" s="297" t="s">
        <v>124</v>
      </c>
      <c r="VTE232" s="297" t="s">
        <v>124</v>
      </c>
      <c r="VTF232" s="297" t="s">
        <v>124</v>
      </c>
      <c r="VTG232" s="297" t="s">
        <v>124</v>
      </c>
      <c r="VTH232" s="297" t="s">
        <v>124</v>
      </c>
      <c r="VTI232" s="297" t="s">
        <v>124</v>
      </c>
      <c r="VTJ232" s="297" t="s">
        <v>124</v>
      </c>
      <c r="VTK232" s="297" t="s">
        <v>124</v>
      </c>
      <c r="VTL232" s="297" t="s">
        <v>124</v>
      </c>
      <c r="VTM232" s="297" t="s">
        <v>124</v>
      </c>
      <c r="VTN232" s="297" t="s">
        <v>124</v>
      </c>
      <c r="VTO232" s="297" t="s">
        <v>124</v>
      </c>
      <c r="VTP232" s="297" t="s">
        <v>124</v>
      </c>
      <c r="VTQ232" s="297" t="s">
        <v>124</v>
      </c>
      <c r="VTR232" s="297" t="s">
        <v>124</v>
      </c>
      <c r="VTS232" s="297" t="s">
        <v>124</v>
      </c>
      <c r="VTT232" s="297" t="s">
        <v>124</v>
      </c>
      <c r="VTU232" s="297" t="s">
        <v>124</v>
      </c>
      <c r="VTV232" s="297" t="s">
        <v>124</v>
      </c>
      <c r="VTW232" s="297" t="s">
        <v>124</v>
      </c>
      <c r="VTX232" s="297" t="s">
        <v>124</v>
      </c>
      <c r="VTY232" s="297" t="s">
        <v>124</v>
      </c>
      <c r="VTZ232" s="297" t="s">
        <v>124</v>
      </c>
      <c r="VUA232" s="297" t="s">
        <v>124</v>
      </c>
      <c r="VUB232" s="297" t="s">
        <v>124</v>
      </c>
      <c r="VUC232" s="297" t="s">
        <v>124</v>
      </c>
      <c r="VUD232" s="297" t="s">
        <v>124</v>
      </c>
      <c r="VUE232" s="297" t="s">
        <v>124</v>
      </c>
      <c r="VUF232" s="297" t="s">
        <v>124</v>
      </c>
      <c r="VUG232" s="297" t="s">
        <v>124</v>
      </c>
      <c r="VUH232" s="297" t="s">
        <v>124</v>
      </c>
      <c r="VUI232" s="297" t="s">
        <v>124</v>
      </c>
      <c r="VUJ232" s="297" t="s">
        <v>124</v>
      </c>
      <c r="VUK232" s="297" t="s">
        <v>124</v>
      </c>
      <c r="VUL232" s="297" t="s">
        <v>124</v>
      </c>
      <c r="VUM232" s="297" t="s">
        <v>124</v>
      </c>
      <c r="VUN232" s="297" t="s">
        <v>124</v>
      </c>
      <c r="VUO232" s="297" t="s">
        <v>124</v>
      </c>
      <c r="VUP232" s="297" t="s">
        <v>124</v>
      </c>
      <c r="VUQ232" s="297" t="s">
        <v>124</v>
      </c>
      <c r="VUR232" s="297" t="s">
        <v>124</v>
      </c>
      <c r="VUS232" s="297" t="s">
        <v>124</v>
      </c>
      <c r="VUT232" s="297" t="s">
        <v>124</v>
      </c>
      <c r="VUU232" s="297" t="s">
        <v>124</v>
      </c>
      <c r="VUV232" s="297" t="s">
        <v>124</v>
      </c>
      <c r="VUW232" s="297" t="s">
        <v>124</v>
      </c>
      <c r="VUX232" s="297" t="s">
        <v>124</v>
      </c>
      <c r="VUY232" s="297" t="s">
        <v>124</v>
      </c>
      <c r="VUZ232" s="297" t="s">
        <v>124</v>
      </c>
      <c r="VVA232" s="297" t="s">
        <v>124</v>
      </c>
      <c r="VVB232" s="297" t="s">
        <v>124</v>
      </c>
      <c r="VVC232" s="297" t="s">
        <v>124</v>
      </c>
      <c r="VVD232" s="297" t="s">
        <v>124</v>
      </c>
      <c r="VVE232" s="297" t="s">
        <v>124</v>
      </c>
      <c r="VVF232" s="297" t="s">
        <v>124</v>
      </c>
      <c r="VVG232" s="297" t="s">
        <v>124</v>
      </c>
      <c r="VVH232" s="297" t="s">
        <v>124</v>
      </c>
      <c r="VVI232" s="297" t="s">
        <v>124</v>
      </c>
      <c r="VVJ232" s="297" t="s">
        <v>124</v>
      </c>
      <c r="VVK232" s="297" t="s">
        <v>124</v>
      </c>
      <c r="VVL232" s="297" t="s">
        <v>124</v>
      </c>
      <c r="VVM232" s="297" t="s">
        <v>124</v>
      </c>
      <c r="VVN232" s="297" t="s">
        <v>124</v>
      </c>
      <c r="VVO232" s="297" t="s">
        <v>124</v>
      </c>
      <c r="VVP232" s="297" t="s">
        <v>124</v>
      </c>
      <c r="VVQ232" s="297" t="s">
        <v>124</v>
      </c>
      <c r="VVR232" s="297" t="s">
        <v>124</v>
      </c>
      <c r="VVS232" s="297" t="s">
        <v>124</v>
      </c>
      <c r="VVT232" s="297" t="s">
        <v>124</v>
      </c>
      <c r="VVU232" s="297" t="s">
        <v>124</v>
      </c>
      <c r="VVV232" s="297" t="s">
        <v>124</v>
      </c>
      <c r="VVW232" s="297" t="s">
        <v>124</v>
      </c>
      <c r="VVX232" s="297" t="s">
        <v>124</v>
      </c>
      <c r="VVY232" s="297" t="s">
        <v>124</v>
      </c>
      <c r="VVZ232" s="297" t="s">
        <v>124</v>
      </c>
      <c r="VWA232" s="297" t="s">
        <v>124</v>
      </c>
      <c r="VWB232" s="297" t="s">
        <v>124</v>
      </c>
      <c r="VWC232" s="297" t="s">
        <v>124</v>
      </c>
      <c r="VWD232" s="297" t="s">
        <v>124</v>
      </c>
      <c r="VWE232" s="297" t="s">
        <v>124</v>
      </c>
      <c r="VWF232" s="297" t="s">
        <v>124</v>
      </c>
      <c r="VWG232" s="297" t="s">
        <v>124</v>
      </c>
      <c r="VWH232" s="297" t="s">
        <v>124</v>
      </c>
      <c r="VWI232" s="297" t="s">
        <v>124</v>
      </c>
      <c r="VWJ232" s="297" t="s">
        <v>124</v>
      </c>
      <c r="VWK232" s="297" t="s">
        <v>124</v>
      </c>
      <c r="VWL232" s="297" t="s">
        <v>124</v>
      </c>
      <c r="VWM232" s="297" t="s">
        <v>124</v>
      </c>
      <c r="VWN232" s="297" t="s">
        <v>124</v>
      </c>
      <c r="VWO232" s="297" t="s">
        <v>124</v>
      </c>
      <c r="VWP232" s="297" t="s">
        <v>124</v>
      </c>
      <c r="VWQ232" s="297" t="s">
        <v>124</v>
      </c>
      <c r="VWR232" s="297" t="s">
        <v>124</v>
      </c>
      <c r="VWS232" s="297" t="s">
        <v>124</v>
      </c>
      <c r="VWT232" s="297" t="s">
        <v>124</v>
      </c>
      <c r="VWU232" s="297" t="s">
        <v>124</v>
      </c>
      <c r="VWV232" s="297" t="s">
        <v>124</v>
      </c>
      <c r="VWW232" s="297" t="s">
        <v>124</v>
      </c>
      <c r="VWX232" s="297" t="s">
        <v>124</v>
      </c>
      <c r="VWY232" s="297" t="s">
        <v>124</v>
      </c>
      <c r="VWZ232" s="297" t="s">
        <v>124</v>
      </c>
      <c r="VXA232" s="297" t="s">
        <v>124</v>
      </c>
      <c r="VXB232" s="297" t="s">
        <v>124</v>
      </c>
      <c r="VXC232" s="297" t="s">
        <v>124</v>
      </c>
      <c r="VXD232" s="297" t="s">
        <v>124</v>
      </c>
      <c r="VXE232" s="297" t="s">
        <v>124</v>
      </c>
      <c r="VXF232" s="297" t="s">
        <v>124</v>
      </c>
      <c r="VXG232" s="297" t="s">
        <v>124</v>
      </c>
      <c r="VXH232" s="297" t="s">
        <v>124</v>
      </c>
      <c r="VXI232" s="297" t="s">
        <v>124</v>
      </c>
      <c r="VXJ232" s="297" t="s">
        <v>124</v>
      </c>
      <c r="VXK232" s="297" t="s">
        <v>124</v>
      </c>
      <c r="VXL232" s="297" t="s">
        <v>124</v>
      </c>
      <c r="VXM232" s="297" t="s">
        <v>124</v>
      </c>
      <c r="VXN232" s="297" t="s">
        <v>124</v>
      </c>
      <c r="VXO232" s="297" t="s">
        <v>124</v>
      </c>
      <c r="VXP232" s="297" t="s">
        <v>124</v>
      </c>
      <c r="VXQ232" s="297" t="s">
        <v>124</v>
      </c>
      <c r="VXR232" s="297" t="s">
        <v>124</v>
      </c>
      <c r="VXS232" s="297" t="s">
        <v>124</v>
      </c>
      <c r="VXT232" s="297" t="s">
        <v>124</v>
      </c>
      <c r="VXU232" s="297" t="s">
        <v>124</v>
      </c>
      <c r="VXV232" s="297" t="s">
        <v>124</v>
      </c>
      <c r="VXW232" s="297" t="s">
        <v>124</v>
      </c>
      <c r="VXX232" s="297" t="s">
        <v>124</v>
      </c>
      <c r="VXY232" s="297" t="s">
        <v>124</v>
      </c>
      <c r="VXZ232" s="297" t="s">
        <v>124</v>
      </c>
      <c r="VYA232" s="297" t="s">
        <v>124</v>
      </c>
      <c r="VYB232" s="297" t="s">
        <v>124</v>
      </c>
      <c r="VYC232" s="297" t="s">
        <v>124</v>
      </c>
      <c r="VYD232" s="297" t="s">
        <v>124</v>
      </c>
      <c r="VYE232" s="297" t="s">
        <v>124</v>
      </c>
      <c r="VYF232" s="297" t="s">
        <v>124</v>
      </c>
      <c r="VYG232" s="297" t="s">
        <v>124</v>
      </c>
      <c r="VYH232" s="297" t="s">
        <v>124</v>
      </c>
      <c r="VYI232" s="297" t="s">
        <v>124</v>
      </c>
      <c r="VYJ232" s="297" t="s">
        <v>124</v>
      </c>
      <c r="VYK232" s="297" t="s">
        <v>124</v>
      </c>
      <c r="VYL232" s="297" t="s">
        <v>124</v>
      </c>
      <c r="VYM232" s="297" t="s">
        <v>124</v>
      </c>
      <c r="VYN232" s="297" t="s">
        <v>124</v>
      </c>
      <c r="VYO232" s="297" t="s">
        <v>124</v>
      </c>
      <c r="VYP232" s="297" t="s">
        <v>124</v>
      </c>
      <c r="VYQ232" s="297" t="s">
        <v>124</v>
      </c>
      <c r="VYR232" s="297" t="s">
        <v>124</v>
      </c>
      <c r="VYS232" s="297" t="s">
        <v>124</v>
      </c>
      <c r="VYT232" s="297" t="s">
        <v>124</v>
      </c>
      <c r="VYU232" s="297" t="s">
        <v>124</v>
      </c>
      <c r="VYV232" s="297" t="s">
        <v>124</v>
      </c>
      <c r="VYW232" s="297" t="s">
        <v>124</v>
      </c>
      <c r="VYX232" s="297" t="s">
        <v>124</v>
      </c>
      <c r="VYY232" s="297" t="s">
        <v>124</v>
      </c>
      <c r="VYZ232" s="297" t="s">
        <v>124</v>
      </c>
      <c r="VZA232" s="297" t="s">
        <v>124</v>
      </c>
      <c r="VZB232" s="297" t="s">
        <v>124</v>
      </c>
      <c r="VZC232" s="297" t="s">
        <v>124</v>
      </c>
      <c r="VZD232" s="297" t="s">
        <v>124</v>
      </c>
      <c r="VZE232" s="297" t="s">
        <v>124</v>
      </c>
      <c r="VZF232" s="297" t="s">
        <v>124</v>
      </c>
      <c r="VZG232" s="297" t="s">
        <v>124</v>
      </c>
      <c r="VZH232" s="297" t="s">
        <v>124</v>
      </c>
      <c r="VZI232" s="297" t="s">
        <v>124</v>
      </c>
      <c r="VZJ232" s="297" t="s">
        <v>124</v>
      </c>
      <c r="VZK232" s="297" t="s">
        <v>124</v>
      </c>
      <c r="VZL232" s="297" t="s">
        <v>124</v>
      </c>
      <c r="VZM232" s="297" t="s">
        <v>124</v>
      </c>
      <c r="VZN232" s="297" t="s">
        <v>124</v>
      </c>
      <c r="VZO232" s="297" t="s">
        <v>124</v>
      </c>
      <c r="VZP232" s="297" t="s">
        <v>124</v>
      </c>
      <c r="VZQ232" s="297" t="s">
        <v>124</v>
      </c>
      <c r="VZR232" s="297" t="s">
        <v>124</v>
      </c>
      <c r="VZS232" s="297" t="s">
        <v>124</v>
      </c>
      <c r="VZT232" s="297" t="s">
        <v>124</v>
      </c>
      <c r="VZU232" s="297" t="s">
        <v>124</v>
      </c>
      <c r="VZV232" s="297" t="s">
        <v>124</v>
      </c>
      <c r="VZW232" s="297" t="s">
        <v>124</v>
      </c>
      <c r="VZX232" s="297" t="s">
        <v>124</v>
      </c>
      <c r="VZY232" s="297" t="s">
        <v>124</v>
      </c>
      <c r="VZZ232" s="297" t="s">
        <v>124</v>
      </c>
      <c r="WAA232" s="297" t="s">
        <v>124</v>
      </c>
      <c r="WAB232" s="297" t="s">
        <v>124</v>
      </c>
      <c r="WAC232" s="297" t="s">
        <v>124</v>
      </c>
      <c r="WAD232" s="297" t="s">
        <v>124</v>
      </c>
      <c r="WAE232" s="297" t="s">
        <v>124</v>
      </c>
      <c r="WAF232" s="297" t="s">
        <v>124</v>
      </c>
      <c r="WAG232" s="297" t="s">
        <v>124</v>
      </c>
      <c r="WAH232" s="297" t="s">
        <v>124</v>
      </c>
      <c r="WAI232" s="297" t="s">
        <v>124</v>
      </c>
      <c r="WAJ232" s="297" t="s">
        <v>124</v>
      </c>
      <c r="WAK232" s="297" t="s">
        <v>124</v>
      </c>
      <c r="WAL232" s="297" t="s">
        <v>124</v>
      </c>
      <c r="WAM232" s="297" t="s">
        <v>124</v>
      </c>
      <c r="WAN232" s="297" t="s">
        <v>124</v>
      </c>
      <c r="WAO232" s="297" t="s">
        <v>124</v>
      </c>
      <c r="WAP232" s="297" t="s">
        <v>124</v>
      </c>
      <c r="WAQ232" s="297" t="s">
        <v>124</v>
      </c>
      <c r="WAR232" s="297" t="s">
        <v>124</v>
      </c>
      <c r="WAS232" s="297" t="s">
        <v>124</v>
      </c>
      <c r="WAT232" s="297" t="s">
        <v>124</v>
      </c>
      <c r="WAU232" s="297" t="s">
        <v>124</v>
      </c>
      <c r="WAV232" s="297" t="s">
        <v>124</v>
      </c>
      <c r="WAW232" s="297" t="s">
        <v>124</v>
      </c>
      <c r="WAX232" s="297" t="s">
        <v>124</v>
      </c>
      <c r="WAY232" s="297" t="s">
        <v>124</v>
      </c>
      <c r="WAZ232" s="297" t="s">
        <v>124</v>
      </c>
      <c r="WBA232" s="297" t="s">
        <v>124</v>
      </c>
      <c r="WBB232" s="297" t="s">
        <v>124</v>
      </c>
      <c r="WBC232" s="297" t="s">
        <v>124</v>
      </c>
      <c r="WBD232" s="297" t="s">
        <v>124</v>
      </c>
      <c r="WBE232" s="297" t="s">
        <v>124</v>
      </c>
      <c r="WBF232" s="297" t="s">
        <v>124</v>
      </c>
      <c r="WBG232" s="297" t="s">
        <v>124</v>
      </c>
      <c r="WBH232" s="297" t="s">
        <v>124</v>
      </c>
      <c r="WBI232" s="297" t="s">
        <v>124</v>
      </c>
      <c r="WBJ232" s="297" t="s">
        <v>124</v>
      </c>
      <c r="WBK232" s="297" t="s">
        <v>124</v>
      </c>
      <c r="WBL232" s="297" t="s">
        <v>124</v>
      </c>
      <c r="WBM232" s="297" t="s">
        <v>124</v>
      </c>
      <c r="WBN232" s="297" t="s">
        <v>124</v>
      </c>
      <c r="WBO232" s="297" t="s">
        <v>124</v>
      </c>
      <c r="WBP232" s="297" t="s">
        <v>124</v>
      </c>
      <c r="WBQ232" s="297" t="s">
        <v>124</v>
      </c>
      <c r="WBR232" s="297" t="s">
        <v>124</v>
      </c>
      <c r="WBS232" s="297" t="s">
        <v>124</v>
      </c>
      <c r="WBT232" s="297" t="s">
        <v>124</v>
      </c>
      <c r="WBU232" s="297" t="s">
        <v>124</v>
      </c>
      <c r="WBV232" s="297" t="s">
        <v>124</v>
      </c>
      <c r="WBW232" s="297" t="s">
        <v>124</v>
      </c>
      <c r="WBX232" s="297" t="s">
        <v>124</v>
      </c>
      <c r="WBY232" s="297" t="s">
        <v>124</v>
      </c>
      <c r="WBZ232" s="297" t="s">
        <v>124</v>
      </c>
      <c r="WCA232" s="297" t="s">
        <v>124</v>
      </c>
      <c r="WCB232" s="297" t="s">
        <v>124</v>
      </c>
      <c r="WCC232" s="297" t="s">
        <v>124</v>
      </c>
      <c r="WCD232" s="297" t="s">
        <v>124</v>
      </c>
      <c r="WCE232" s="297" t="s">
        <v>124</v>
      </c>
      <c r="WCF232" s="297" t="s">
        <v>124</v>
      </c>
      <c r="WCG232" s="297" t="s">
        <v>124</v>
      </c>
      <c r="WCH232" s="297" t="s">
        <v>124</v>
      </c>
      <c r="WCI232" s="297" t="s">
        <v>124</v>
      </c>
      <c r="WCJ232" s="297" t="s">
        <v>124</v>
      </c>
      <c r="WCK232" s="297" t="s">
        <v>124</v>
      </c>
      <c r="WCL232" s="297" t="s">
        <v>124</v>
      </c>
      <c r="WCM232" s="297" t="s">
        <v>124</v>
      </c>
      <c r="WCN232" s="297" t="s">
        <v>124</v>
      </c>
      <c r="WCO232" s="297" t="s">
        <v>124</v>
      </c>
      <c r="WCP232" s="297" t="s">
        <v>124</v>
      </c>
      <c r="WCQ232" s="297" t="s">
        <v>124</v>
      </c>
      <c r="WCR232" s="297" t="s">
        <v>124</v>
      </c>
      <c r="WCS232" s="297" t="s">
        <v>124</v>
      </c>
      <c r="WCT232" s="297" t="s">
        <v>124</v>
      </c>
      <c r="WCU232" s="297" t="s">
        <v>124</v>
      </c>
      <c r="WCV232" s="297" t="s">
        <v>124</v>
      </c>
      <c r="WCW232" s="297" t="s">
        <v>124</v>
      </c>
      <c r="WCX232" s="297" t="s">
        <v>124</v>
      </c>
      <c r="WCY232" s="297" t="s">
        <v>124</v>
      </c>
      <c r="WCZ232" s="297" t="s">
        <v>124</v>
      </c>
      <c r="WDA232" s="297" t="s">
        <v>124</v>
      </c>
      <c r="WDB232" s="297" t="s">
        <v>124</v>
      </c>
      <c r="WDC232" s="297" t="s">
        <v>124</v>
      </c>
      <c r="WDD232" s="297" t="s">
        <v>124</v>
      </c>
      <c r="WDE232" s="297" t="s">
        <v>124</v>
      </c>
      <c r="WDF232" s="297" t="s">
        <v>124</v>
      </c>
      <c r="WDG232" s="297" t="s">
        <v>124</v>
      </c>
      <c r="WDH232" s="297" t="s">
        <v>124</v>
      </c>
      <c r="WDI232" s="297" t="s">
        <v>124</v>
      </c>
      <c r="WDJ232" s="297" t="s">
        <v>124</v>
      </c>
      <c r="WDK232" s="297" t="s">
        <v>124</v>
      </c>
      <c r="WDL232" s="297" t="s">
        <v>124</v>
      </c>
      <c r="WDM232" s="297" t="s">
        <v>124</v>
      </c>
      <c r="WDN232" s="297" t="s">
        <v>124</v>
      </c>
      <c r="WDO232" s="297" t="s">
        <v>124</v>
      </c>
      <c r="WDP232" s="297" t="s">
        <v>124</v>
      </c>
      <c r="WDQ232" s="297" t="s">
        <v>124</v>
      </c>
      <c r="WDR232" s="297" t="s">
        <v>124</v>
      </c>
      <c r="WDS232" s="297" t="s">
        <v>124</v>
      </c>
      <c r="WDT232" s="297" t="s">
        <v>124</v>
      </c>
      <c r="WDU232" s="297" t="s">
        <v>124</v>
      </c>
      <c r="WDV232" s="297" t="s">
        <v>124</v>
      </c>
      <c r="WDW232" s="297" t="s">
        <v>124</v>
      </c>
      <c r="WDX232" s="297" t="s">
        <v>124</v>
      </c>
      <c r="WDY232" s="297" t="s">
        <v>124</v>
      </c>
      <c r="WDZ232" s="297" t="s">
        <v>124</v>
      </c>
      <c r="WEA232" s="297" t="s">
        <v>124</v>
      </c>
      <c r="WEB232" s="297" t="s">
        <v>124</v>
      </c>
      <c r="WEC232" s="297" t="s">
        <v>124</v>
      </c>
      <c r="WED232" s="297" t="s">
        <v>124</v>
      </c>
      <c r="WEE232" s="297" t="s">
        <v>124</v>
      </c>
      <c r="WEF232" s="297" t="s">
        <v>124</v>
      </c>
      <c r="WEG232" s="297" t="s">
        <v>124</v>
      </c>
      <c r="WEH232" s="297" t="s">
        <v>124</v>
      </c>
      <c r="WEI232" s="297" t="s">
        <v>124</v>
      </c>
      <c r="WEJ232" s="297" t="s">
        <v>124</v>
      </c>
      <c r="WEK232" s="297" t="s">
        <v>124</v>
      </c>
      <c r="WEL232" s="297" t="s">
        <v>124</v>
      </c>
      <c r="WEM232" s="297" t="s">
        <v>124</v>
      </c>
      <c r="WEN232" s="297" t="s">
        <v>124</v>
      </c>
      <c r="WEO232" s="297" t="s">
        <v>124</v>
      </c>
      <c r="WEP232" s="297" t="s">
        <v>124</v>
      </c>
      <c r="WEQ232" s="297" t="s">
        <v>124</v>
      </c>
      <c r="WER232" s="297" t="s">
        <v>124</v>
      </c>
      <c r="WES232" s="297" t="s">
        <v>124</v>
      </c>
      <c r="WET232" s="297" t="s">
        <v>124</v>
      </c>
      <c r="WEU232" s="297" t="s">
        <v>124</v>
      </c>
      <c r="WEV232" s="297" t="s">
        <v>124</v>
      </c>
      <c r="WEW232" s="297" t="s">
        <v>124</v>
      </c>
      <c r="WEX232" s="297" t="s">
        <v>124</v>
      </c>
      <c r="WEY232" s="297" t="s">
        <v>124</v>
      </c>
      <c r="WEZ232" s="297" t="s">
        <v>124</v>
      </c>
      <c r="WFA232" s="297" t="s">
        <v>124</v>
      </c>
      <c r="WFB232" s="297" t="s">
        <v>124</v>
      </c>
      <c r="WFC232" s="297" t="s">
        <v>124</v>
      </c>
      <c r="WFD232" s="297" t="s">
        <v>124</v>
      </c>
      <c r="WFE232" s="297" t="s">
        <v>124</v>
      </c>
      <c r="WFF232" s="297" t="s">
        <v>124</v>
      </c>
      <c r="WFG232" s="297" t="s">
        <v>124</v>
      </c>
      <c r="WFH232" s="297" t="s">
        <v>124</v>
      </c>
      <c r="WFI232" s="297" t="s">
        <v>124</v>
      </c>
      <c r="WFJ232" s="297" t="s">
        <v>124</v>
      </c>
      <c r="WFK232" s="297" t="s">
        <v>124</v>
      </c>
      <c r="WFL232" s="297" t="s">
        <v>124</v>
      </c>
      <c r="WFM232" s="297" t="s">
        <v>124</v>
      </c>
      <c r="WFN232" s="297" t="s">
        <v>124</v>
      </c>
      <c r="WFO232" s="297" t="s">
        <v>124</v>
      </c>
      <c r="WFP232" s="297" t="s">
        <v>124</v>
      </c>
      <c r="WFQ232" s="297" t="s">
        <v>124</v>
      </c>
      <c r="WFR232" s="297" t="s">
        <v>124</v>
      </c>
      <c r="WFS232" s="297" t="s">
        <v>124</v>
      </c>
      <c r="WFT232" s="297" t="s">
        <v>124</v>
      </c>
      <c r="WFU232" s="297" t="s">
        <v>124</v>
      </c>
      <c r="WFV232" s="297" t="s">
        <v>124</v>
      </c>
      <c r="WFW232" s="297" t="s">
        <v>124</v>
      </c>
      <c r="WFX232" s="297" t="s">
        <v>124</v>
      </c>
      <c r="WFY232" s="297" t="s">
        <v>124</v>
      </c>
      <c r="WFZ232" s="297" t="s">
        <v>124</v>
      </c>
      <c r="WGA232" s="297" t="s">
        <v>124</v>
      </c>
      <c r="WGB232" s="297" t="s">
        <v>124</v>
      </c>
      <c r="WGC232" s="297" t="s">
        <v>124</v>
      </c>
      <c r="WGD232" s="297" t="s">
        <v>124</v>
      </c>
      <c r="WGE232" s="297" t="s">
        <v>124</v>
      </c>
      <c r="WGF232" s="297" t="s">
        <v>124</v>
      </c>
      <c r="WGG232" s="297" t="s">
        <v>124</v>
      </c>
      <c r="WGH232" s="297" t="s">
        <v>124</v>
      </c>
      <c r="WGI232" s="297" t="s">
        <v>124</v>
      </c>
      <c r="WGJ232" s="297" t="s">
        <v>124</v>
      </c>
      <c r="WGK232" s="297" t="s">
        <v>124</v>
      </c>
      <c r="WGL232" s="297" t="s">
        <v>124</v>
      </c>
      <c r="WGM232" s="297" t="s">
        <v>124</v>
      </c>
      <c r="WGN232" s="297" t="s">
        <v>124</v>
      </c>
      <c r="WGO232" s="297" t="s">
        <v>124</v>
      </c>
      <c r="WGP232" s="297" t="s">
        <v>124</v>
      </c>
      <c r="WGQ232" s="297" t="s">
        <v>124</v>
      </c>
      <c r="WGR232" s="297" t="s">
        <v>124</v>
      </c>
      <c r="WGS232" s="297" t="s">
        <v>124</v>
      </c>
      <c r="WGT232" s="297" t="s">
        <v>124</v>
      </c>
      <c r="WGU232" s="297" t="s">
        <v>124</v>
      </c>
      <c r="WGV232" s="297" t="s">
        <v>124</v>
      </c>
      <c r="WGW232" s="297" t="s">
        <v>124</v>
      </c>
      <c r="WGX232" s="297" t="s">
        <v>124</v>
      </c>
      <c r="WGY232" s="297" t="s">
        <v>124</v>
      </c>
      <c r="WGZ232" s="297" t="s">
        <v>124</v>
      </c>
      <c r="WHA232" s="297" t="s">
        <v>124</v>
      </c>
      <c r="WHB232" s="297" t="s">
        <v>124</v>
      </c>
      <c r="WHC232" s="297" t="s">
        <v>124</v>
      </c>
      <c r="WHD232" s="297" t="s">
        <v>124</v>
      </c>
      <c r="WHE232" s="297" t="s">
        <v>124</v>
      </c>
      <c r="WHF232" s="297" t="s">
        <v>124</v>
      </c>
      <c r="WHG232" s="297" t="s">
        <v>124</v>
      </c>
      <c r="WHH232" s="297" t="s">
        <v>124</v>
      </c>
      <c r="WHI232" s="297" t="s">
        <v>124</v>
      </c>
      <c r="WHJ232" s="297" t="s">
        <v>124</v>
      </c>
      <c r="WHK232" s="297" t="s">
        <v>124</v>
      </c>
      <c r="WHL232" s="297" t="s">
        <v>124</v>
      </c>
      <c r="WHM232" s="297" t="s">
        <v>124</v>
      </c>
      <c r="WHN232" s="297" t="s">
        <v>124</v>
      </c>
      <c r="WHO232" s="297" t="s">
        <v>124</v>
      </c>
      <c r="WHP232" s="297" t="s">
        <v>124</v>
      </c>
      <c r="WHQ232" s="297" t="s">
        <v>124</v>
      </c>
      <c r="WHR232" s="297" t="s">
        <v>124</v>
      </c>
      <c r="WHS232" s="297" t="s">
        <v>124</v>
      </c>
      <c r="WHT232" s="297" t="s">
        <v>124</v>
      </c>
      <c r="WHU232" s="297" t="s">
        <v>124</v>
      </c>
      <c r="WHV232" s="297" t="s">
        <v>124</v>
      </c>
      <c r="WHW232" s="297" t="s">
        <v>124</v>
      </c>
      <c r="WHX232" s="297" t="s">
        <v>124</v>
      </c>
      <c r="WHY232" s="297" t="s">
        <v>124</v>
      </c>
      <c r="WHZ232" s="297" t="s">
        <v>124</v>
      </c>
      <c r="WIA232" s="297" t="s">
        <v>124</v>
      </c>
      <c r="WIB232" s="297" t="s">
        <v>124</v>
      </c>
      <c r="WIC232" s="297" t="s">
        <v>124</v>
      </c>
      <c r="WID232" s="297" t="s">
        <v>124</v>
      </c>
      <c r="WIE232" s="297" t="s">
        <v>124</v>
      </c>
      <c r="WIF232" s="297" t="s">
        <v>124</v>
      </c>
      <c r="WIG232" s="297" t="s">
        <v>124</v>
      </c>
      <c r="WIH232" s="297" t="s">
        <v>124</v>
      </c>
      <c r="WII232" s="297" t="s">
        <v>124</v>
      </c>
      <c r="WIJ232" s="297" t="s">
        <v>124</v>
      </c>
      <c r="WIK232" s="297" t="s">
        <v>124</v>
      </c>
      <c r="WIL232" s="297" t="s">
        <v>124</v>
      </c>
      <c r="WIM232" s="297" t="s">
        <v>124</v>
      </c>
      <c r="WIN232" s="297" t="s">
        <v>124</v>
      </c>
      <c r="WIO232" s="297" t="s">
        <v>124</v>
      </c>
      <c r="WIP232" s="297" t="s">
        <v>124</v>
      </c>
      <c r="WIQ232" s="297" t="s">
        <v>124</v>
      </c>
      <c r="WIR232" s="297" t="s">
        <v>124</v>
      </c>
      <c r="WIS232" s="297" t="s">
        <v>124</v>
      </c>
      <c r="WIT232" s="297" t="s">
        <v>124</v>
      </c>
      <c r="WIU232" s="297" t="s">
        <v>124</v>
      </c>
      <c r="WIV232" s="297" t="s">
        <v>124</v>
      </c>
      <c r="WIW232" s="297" t="s">
        <v>124</v>
      </c>
      <c r="WIX232" s="297" t="s">
        <v>124</v>
      </c>
      <c r="WIY232" s="297" t="s">
        <v>124</v>
      </c>
      <c r="WIZ232" s="297" t="s">
        <v>124</v>
      </c>
      <c r="WJA232" s="297" t="s">
        <v>124</v>
      </c>
      <c r="WJB232" s="297" t="s">
        <v>124</v>
      </c>
      <c r="WJC232" s="297" t="s">
        <v>124</v>
      </c>
      <c r="WJD232" s="297" t="s">
        <v>124</v>
      </c>
      <c r="WJE232" s="297" t="s">
        <v>124</v>
      </c>
      <c r="WJF232" s="297" t="s">
        <v>124</v>
      </c>
      <c r="WJG232" s="297" t="s">
        <v>124</v>
      </c>
      <c r="WJH232" s="297" t="s">
        <v>124</v>
      </c>
      <c r="WJI232" s="297" t="s">
        <v>124</v>
      </c>
      <c r="WJJ232" s="297" t="s">
        <v>124</v>
      </c>
      <c r="WJK232" s="297" t="s">
        <v>124</v>
      </c>
      <c r="WJL232" s="297" t="s">
        <v>124</v>
      </c>
      <c r="WJM232" s="297" t="s">
        <v>124</v>
      </c>
      <c r="WJN232" s="297" t="s">
        <v>124</v>
      </c>
      <c r="WJO232" s="297" t="s">
        <v>124</v>
      </c>
      <c r="WJP232" s="297" t="s">
        <v>124</v>
      </c>
      <c r="WJQ232" s="297" t="s">
        <v>124</v>
      </c>
      <c r="WJR232" s="297" t="s">
        <v>124</v>
      </c>
      <c r="WJS232" s="297" t="s">
        <v>124</v>
      </c>
      <c r="WJT232" s="297" t="s">
        <v>124</v>
      </c>
      <c r="WJU232" s="297" t="s">
        <v>124</v>
      </c>
      <c r="WJV232" s="297" t="s">
        <v>124</v>
      </c>
      <c r="WJW232" s="297" t="s">
        <v>124</v>
      </c>
      <c r="WJX232" s="297" t="s">
        <v>124</v>
      </c>
      <c r="WJY232" s="297" t="s">
        <v>124</v>
      </c>
      <c r="WJZ232" s="297" t="s">
        <v>124</v>
      </c>
      <c r="WKA232" s="297" t="s">
        <v>124</v>
      </c>
      <c r="WKB232" s="297" t="s">
        <v>124</v>
      </c>
      <c r="WKC232" s="297" t="s">
        <v>124</v>
      </c>
      <c r="WKD232" s="297" t="s">
        <v>124</v>
      </c>
      <c r="WKE232" s="297" t="s">
        <v>124</v>
      </c>
      <c r="WKF232" s="297" t="s">
        <v>124</v>
      </c>
      <c r="WKG232" s="297" t="s">
        <v>124</v>
      </c>
      <c r="WKH232" s="297" t="s">
        <v>124</v>
      </c>
      <c r="WKI232" s="297" t="s">
        <v>124</v>
      </c>
      <c r="WKJ232" s="297" t="s">
        <v>124</v>
      </c>
      <c r="WKK232" s="297" t="s">
        <v>124</v>
      </c>
      <c r="WKL232" s="297" t="s">
        <v>124</v>
      </c>
      <c r="WKM232" s="297" t="s">
        <v>124</v>
      </c>
      <c r="WKN232" s="297" t="s">
        <v>124</v>
      </c>
      <c r="WKO232" s="297" t="s">
        <v>124</v>
      </c>
      <c r="WKP232" s="297" t="s">
        <v>124</v>
      </c>
      <c r="WKQ232" s="297" t="s">
        <v>124</v>
      </c>
      <c r="WKR232" s="297" t="s">
        <v>124</v>
      </c>
      <c r="WKS232" s="297" t="s">
        <v>124</v>
      </c>
      <c r="WKT232" s="297" t="s">
        <v>124</v>
      </c>
      <c r="WKU232" s="297" t="s">
        <v>124</v>
      </c>
      <c r="WKV232" s="297" t="s">
        <v>124</v>
      </c>
      <c r="WKW232" s="297" t="s">
        <v>124</v>
      </c>
      <c r="WKX232" s="297" t="s">
        <v>124</v>
      </c>
      <c r="WKY232" s="297" t="s">
        <v>124</v>
      </c>
      <c r="WKZ232" s="297" t="s">
        <v>124</v>
      </c>
      <c r="WLA232" s="297" t="s">
        <v>124</v>
      </c>
      <c r="WLB232" s="297" t="s">
        <v>124</v>
      </c>
      <c r="WLC232" s="297" t="s">
        <v>124</v>
      </c>
      <c r="WLD232" s="297" t="s">
        <v>124</v>
      </c>
      <c r="WLE232" s="297" t="s">
        <v>124</v>
      </c>
      <c r="WLF232" s="297" t="s">
        <v>124</v>
      </c>
      <c r="WLG232" s="297" t="s">
        <v>124</v>
      </c>
      <c r="WLH232" s="297" t="s">
        <v>124</v>
      </c>
      <c r="WLI232" s="297" t="s">
        <v>124</v>
      </c>
      <c r="WLJ232" s="297" t="s">
        <v>124</v>
      </c>
      <c r="WLK232" s="297" t="s">
        <v>124</v>
      </c>
      <c r="WLL232" s="297" t="s">
        <v>124</v>
      </c>
      <c r="WLM232" s="297" t="s">
        <v>124</v>
      </c>
      <c r="WLN232" s="297" t="s">
        <v>124</v>
      </c>
      <c r="WLO232" s="297" t="s">
        <v>124</v>
      </c>
      <c r="WLP232" s="297" t="s">
        <v>124</v>
      </c>
      <c r="WLQ232" s="297" t="s">
        <v>124</v>
      </c>
      <c r="WLR232" s="297" t="s">
        <v>124</v>
      </c>
      <c r="WLS232" s="297" t="s">
        <v>124</v>
      </c>
      <c r="WLT232" s="297" t="s">
        <v>124</v>
      </c>
      <c r="WLU232" s="297" t="s">
        <v>124</v>
      </c>
      <c r="WLV232" s="297" t="s">
        <v>124</v>
      </c>
      <c r="WLW232" s="297" t="s">
        <v>124</v>
      </c>
      <c r="WLX232" s="297" t="s">
        <v>124</v>
      </c>
      <c r="WLY232" s="297" t="s">
        <v>124</v>
      </c>
      <c r="WLZ232" s="297" t="s">
        <v>124</v>
      </c>
      <c r="WMA232" s="297" t="s">
        <v>124</v>
      </c>
      <c r="WMB232" s="297" t="s">
        <v>124</v>
      </c>
      <c r="WMC232" s="297" t="s">
        <v>124</v>
      </c>
      <c r="WMD232" s="297" t="s">
        <v>124</v>
      </c>
      <c r="WME232" s="297" t="s">
        <v>124</v>
      </c>
      <c r="WMF232" s="297" t="s">
        <v>124</v>
      </c>
      <c r="WMG232" s="297" t="s">
        <v>124</v>
      </c>
      <c r="WMH232" s="297" t="s">
        <v>124</v>
      </c>
      <c r="WMI232" s="297" t="s">
        <v>124</v>
      </c>
      <c r="WMJ232" s="297" t="s">
        <v>124</v>
      </c>
      <c r="WMK232" s="297" t="s">
        <v>124</v>
      </c>
      <c r="WML232" s="297" t="s">
        <v>124</v>
      </c>
      <c r="WMM232" s="297" t="s">
        <v>124</v>
      </c>
      <c r="WMN232" s="297" t="s">
        <v>124</v>
      </c>
      <c r="WMO232" s="297" t="s">
        <v>124</v>
      </c>
      <c r="WMP232" s="297" t="s">
        <v>124</v>
      </c>
      <c r="WMQ232" s="297" t="s">
        <v>124</v>
      </c>
      <c r="WMR232" s="297" t="s">
        <v>124</v>
      </c>
      <c r="WMS232" s="297" t="s">
        <v>124</v>
      </c>
      <c r="WMT232" s="297" t="s">
        <v>124</v>
      </c>
      <c r="WMU232" s="297" t="s">
        <v>124</v>
      </c>
      <c r="WMV232" s="297" t="s">
        <v>124</v>
      </c>
      <c r="WMW232" s="297" t="s">
        <v>124</v>
      </c>
      <c r="WMX232" s="297" t="s">
        <v>124</v>
      </c>
      <c r="WMY232" s="297" t="s">
        <v>124</v>
      </c>
      <c r="WMZ232" s="297" t="s">
        <v>124</v>
      </c>
      <c r="WNA232" s="297" t="s">
        <v>124</v>
      </c>
      <c r="WNB232" s="297" t="s">
        <v>124</v>
      </c>
      <c r="WNC232" s="297" t="s">
        <v>124</v>
      </c>
      <c r="WND232" s="297" t="s">
        <v>124</v>
      </c>
      <c r="WNE232" s="297" t="s">
        <v>124</v>
      </c>
      <c r="WNF232" s="297" t="s">
        <v>124</v>
      </c>
      <c r="WNG232" s="297" t="s">
        <v>124</v>
      </c>
      <c r="WNH232" s="297" t="s">
        <v>124</v>
      </c>
      <c r="WNI232" s="297" t="s">
        <v>124</v>
      </c>
      <c r="WNJ232" s="297" t="s">
        <v>124</v>
      </c>
      <c r="WNK232" s="297" t="s">
        <v>124</v>
      </c>
      <c r="WNL232" s="297" t="s">
        <v>124</v>
      </c>
      <c r="WNM232" s="297" t="s">
        <v>124</v>
      </c>
      <c r="WNN232" s="297" t="s">
        <v>124</v>
      </c>
      <c r="WNO232" s="297" t="s">
        <v>124</v>
      </c>
      <c r="WNP232" s="297" t="s">
        <v>124</v>
      </c>
      <c r="WNQ232" s="297" t="s">
        <v>124</v>
      </c>
      <c r="WNR232" s="297" t="s">
        <v>124</v>
      </c>
      <c r="WNS232" s="297" t="s">
        <v>124</v>
      </c>
      <c r="WNT232" s="297" t="s">
        <v>124</v>
      </c>
      <c r="WNU232" s="297" t="s">
        <v>124</v>
      </c>
      <c r="WNV232" s="297" t="s">
        <v>124</v>
      </c>
      <c r="WNW232" s="297" t="s">
        <v>124</v>
      </c>
      <c r="WNX232" s="297" t="s">
        <v>124</v>
      </c>
      <c r="WNY232" s="297" t="s">
        <v>124</v>
      </c>
      <c r="WNZ232" s="297" t="s">
        <v>124</v>
      </c>
      <c r="WOA232" s="297" t="s">
        <v>124</v>
      </c>
      <c r="WOB232" s="297" t="s">
        <v>124</v>
      </c>
      <c r="WOC232" s="297" t="s">
        <v>124</v>
      </c>
      <c r="WOD232" s="297" t="s">
        <v>124</v>
      </c>
      <c r="WOE232" s="297" t="s">
        <v>124</v>
      </c>
      <c r="WOF232" s="297" t="s">
        <v>124</v>
      </c>
      <c r="WOG232" s="297" t="s">
        <v>124</v>
      </c>
      <c r="WOH232" s="297" t="s">
        <v>124</v>
      </c>
      <c r="WOI232" s="297" t="s">
        <v>124</v>
      </c>
      <c r="WOJ232" s="297" t="s">
        <v>124</v>
      </c>
      <c r="WOK232" s="297" t="s">
        <v>124</v>
      </c>
      <c r="WOL232" s="297" t="s">
        <v>124</v>
      </c>
      <c r="WOM232" s="297" t="s">
        <v>124</v>
      </c>
      <c r="WON232" s="297" t="s">
        <v>124</v>
      </c>
      <c r="WOO232" s="297" t="s">
        <v>124</v>
      </c>
      <c r="WOP232" s="297" t="s">
        <v>124</v>
      </c>
      <c r="WOQ232" s="297" t="s">
        <v>124</v>
      </c>
      <c r="WOR232" s="297" t="s">
        <v>124</v>
      </c>
      <c r="WOS232" s="297" t="s">
        <v>124</v>
      </c>
      <c r="WOT232" s="297" t="s">
        <v>124</v>
      </c>
      <c r="WOU232" s="297" t="s">
        <v>124</v>
      </c>
      <c r="WOV232" s="297" t="s">
        <v>124</v>
      </c>
      <c r="WOW232" s="297" t="s">
        <v>124</v>
      </c>
      <c r="WOX232" s="297" t="s">
        <v>124</v>
      </c>
      <c r="WOY232" s="297" t="s">
        <v>124</v>
      </c>
      <c r="WOZ232" s="297" t="s">
        <v>124</v>
      </c>
      <c r="WPA232" s="297" t="s">
        <v>124</v>
      </c>
      <c r="WPB232" s="297" t="s">
        <v>124</v>
      </c>
      <c r="WPC232" s="297" t="s">
        <v>124</v>
      </c>
      <c r="WPD232" s="297" t="s">
        <v>124</v>
      </c>
      <c r="WPE232" s="297" t="s">
        <v>124</v>
      </c>
      <c r="WPF232" s="297" t="s">
        <v>124</v>
      </c>
      <c r="WPG232" s="297" t="s">
        <v>124</v>
      </c>
      <c r="WPH232" s="297" t="s">
        <v>124</v>
      </c>
      <c r="WPI232" s="297" t="s">
        <v>124</v>
      </c>
      <c r="WPJ232" s="297" t="s">
        <v>124</v>
      </c>
      <c r="WPK232" s="297" t="s">
        <v>124</v>
      </c>
      <c r="WPL232" s="297" t="s">
        <v>124</v>
      </c>
      <c r="WPM232" s="297" t="s">
        <v>124</v>
      </c>
      <c r="WPN232" s="297" t="s">
        <v>124</v>
      </c>
      <c r="WPO232" s="297" t="s">
        <v>124</v>
      </c>
      <c r="WPP232" s="297" t="s">
        <v>124</v>
      </c>
      <c r="WPQ232" s="297" t="s">
        <v>124</v>
      </c>
      <c r="WPR232" s="297" t="s">
        <v>124</v>
      </c>
      <c r="WPS232" s="297" t="s">
        <v>124</v>
      </c>
      <c r="WPT232" s="297" t="s">
        <v>124</v>
      </c>
      <c r="WPU232" s="297" t="s">
        <v>124</v>
      </c>
      <c r="WPV232" s="297" t="s">
        <v>124</v>
      </c>
      <c r="WPW232" s="297" t="s">
        <v>124</v>
      </c>
      <c r="WPX232" s="297" t="s">
        <v>124</v>
      </c>
      <c r="WPY232" s="297" t="s">
        <v>124</v>
      </c>
      <c r="WPZ232" s="297" t="s">
        <v>124</v>
      </c>
      <c r="WQA232" s="297" t="s">
        <v>124</v>
      </c>
      <c r="WQB232" s="297" t="s">
        <v>124</v>
      </c>
      <c r="WQC232" s="297" t="s">
        <v>124</v>
      </c>
      <c r="WQD232" s="297" t="s">
        <v>124</v>
      </c>
      <c r="WQE232" s="297" t="s">
        <v>124</v>
      </c>
      <c r="WQF232" s="297" t="s">
        <v>124</v>
      </c>
      <c r="WQG232" s="297" t="s">
        <v>124</v>
      </c>
      <c r="WQH232" s="297" t="s">
        <v>124</v>
      </c>
      <c r="WQI232" s="297" t="s">
        <v>124</v>
      </c>
      <c r="WQJ232" s="297" t="s">
        <v>124</v>
      </c>
      <c r="WQK232" s="297" t="s">
        <v>124</v>
      </c>
      <c r="WQL232" s="297" t="s">
        <v>124</v>
      </c>
      <c r="WQM232" s="297" t="s">
        <v>124</v>
      </c>
      <c r="WQN232" s="297" t="s">
        <v>124</v>
      </c>
      <c r="WQO232" s="297" t="s">
        <v>124</v>
      </c>
      <c r="WQP232" s="297" t="s">
        <v>124</v>
      </c>
      <c r="WQQ232" s="297" t="s">
        <v>124</v>
      </c>
      <c r="WQR232" s="297" t="s">
        <v>124</v>
      </c>
      <c r="WQS232" s="297" t="s">
        <v>124</v>
      </c>
      <c r="WQT232" s="297" t="s">
        <v>124</v>
      </c>
      <c r="WQU232" s="297" t="s">
        <v>124</v>
      </c>
      <c r="WQV232" s="297" t="s">
        <v>124</v>
      </c>
      <c r="WQW232" s="297" t="s">
        <v>124</v>
      </c>
      <c r="WQX232" s="297" t="s">
        <v>124</v>
      </c>
      <c r="WQY232" s="297" t="s">
        <v>124</v>
      </c>
      <c r="WQZ232" s="297" t="s">
        <v>124</v>
      </c>
      <c r="WRA232" s="297" t="s">
        <v>124</v>
      </c>
      <c r="WRB232" s="297" t="s">
        <v>124</v>
      </c>
      <c r="WRC232" s="297" t="s">
        <v>124</v>
      </c>
      <c r="WRD232" s="297" t="s">
        <v>124</v>
      </c>
      <c r="WRE232" s="297" t="s">
        <v>124</v>
      </c>
      <c r="WRF232" s="297" t="s">
        <v>124</v>
      </c>
      <c r="WRG232" s="297" t="s">
        <v>124</v>
      </c>
      <c r="WRH232" s="297" t="s">
        <v>124</v>
      </c>
      <c r="WRI232" s="297" t="s">
        <v>124</v>
      </c>
      <c r="WRJ232" s="297" t="s">
        <v>124</v>
      </c>
      <c r="WRK232" s="297" t="s">
        <v>124</v>
      </c>
      <c r="WRL232" s="297" t="s">
        <v>124</v>
      </c>
      <c r="WRM232" s="297" t="s">
        <v>124</v>
      </c>
      <c r="WRN232" s="297" t="s">
        <v>124</v>
      </c>
      <c r="WRO232" s="297" t="s">
        <v>124</v>
      </c>
      <c r="WRP232" s="297" t="s">
        <v>124</v>
      </c>
      <c r="WRQ232" s="297" t="s">
        <v>124</v>
      </c>
      <c r="WRR232" s="297" t="s">
        <v>124</v>
      </c>
      <c r="WRS232" s="297" t="s">
        <v>124</v>
      </c>
      <c r="WRT232" s="297" t="s">
        <v>124</v>
      </c>
      <c r="WRU232" s="297" t="s">
        <v>124</v>
      </c>
      <c r="WRV232" s="297" t="s">
        <v>124</v>
      </c>
      <c r="WRW232" s="297" t="s">
        <v>124</v>
      </c>
      <c r="WRX232" s="297" t="s">
        <v>124</v>
      </c>
      <c r="WRY232" s="297" t="s">
        <v>124</v>
      </c>
      <c r="WRZ232" s="297" t="s">
        <v>124</v>
      </c>
      <c r="WSA232" s="297" t="s">
        <v>124</v>
      </c>
      <c r="WSB232" s="297" t="s">
        <v>124</v>
      </c>
      <c r="WSC232" s="297" t="s">
        <v>124</v>
      </c>
      <c r="WSD232" s="297" t="s">
        <v>124</v>
      </c>
      <c r="WSE232" s="297" t="s">
        <v>124</v>
      </c>
      <c r="WSF232" s="297" t="s">
        <v>124</v>
      </c>
      <c r="WSG232" s="297" t="s">
        <v>124</v>
      </c>
      <c r="WSH232" s="297" t="s">
        <v>124</v>
      </c>
      <c r="WSI232" s="297" t="s">
        <v>124</v>
      </c>
      <c r="WSJ232" s="297" t="s">
        <v>124</v>
      </c>
      <c r="WSK232" s="297" t="s">
        <v>124</v>
      </c>
      <c r="WSL232" s="297" t="s">
        <v>124</v>
      </c>
      <c r="WSM232" s="297" t="s">
        <v>124</v>
      </c>
      <c r="WSN232" s="297" t="s">
        <v>124</v>
      </c>
      <c r="WSO232" s="297" t="s">
        <v>124</v>
      </c>
      <c r="WSP232" s="297" t="s">
        <v>124</v>
      </c>
      <c r="WSQ232" s="297" t="s">
        <v>124</v>
      </c>
      <c r="WSR232" s="297" t="s">
        <v>124</v>
      </c>
      <c r="WSS232" s="297" t="s">
        <v>124</v>
      </c>
      <c r="WST232" s="297" t="s">
        <v>124</v>
      </c>
      <c r="WSU232" s="297" t="s">
        <v>124</v>
      </c>
      <c r="WSV232" s="297" t="s">
        <v>124</v>
      </c>
      <c r="WSW232" s="297" t="s">
        <v>124</v>
      </c>
      <c r="WSX232" s="297" t="s">
        <v>124</v>
      </c>
      <c r="WSY232" s="297" t="s">
        <v>124</v>
      </c>
      <c r="WSZ232" s="297" t="s">
        <v>124</v>
      </c>
      <c r="WTA232" s="297" t="s">
        <v>124</v>
      </c>
      <c r="WTB232" s="297" t="s">
        <v>124</v>
      </c>
      <c r="WTC232" s="297" t="s">
        <v>124</v>
      </c>
      <c r="WTD232" s="297" t="s">
        <v>124</v>
      </c>
      <c r="WTE232" s="297" t="s">
        <v>124</v>
      </c>
      <c r="WTF232" s="297" t="s">
        <v>124</v>
      </c>
      <c r="WTG232" s="297" t="s">
        <v>124</v>
      </c>
      <c r="WTH232" s="297" t="s">
        <v>124</v>
      </c>
      <c r="WTI232" s="297" t="s">
        <v>124</v>
      </c>
      <c r="WTJ232" s="297" t="s">
        <v>124</v>
      </c>
      <c r="WTK232" s="297" t="s">
        <v>124</v>
      </c>
      <c r="WTL232" s="297" t="s">
        <v>124</v>
      </c>
      <c r="WTM232" s="297" t="s">
        <v>124</v>
      </c>
      <c r="WTN232" s="297" t="s">
        <v>124</v>
      </c>
      <c r="WTO232" s="297" t="s">
        <v>124</v>
      </c>
      <c r="WTP232" s="297" t="s">
        <v>124</v>
      </c>
      <c r="WTQ232" s="297" t="s">
        <v>124</v>
      </c>
      <c r="WTR232" s="297" t="s">
        <v>124</v>
      </c>
      <c r="WTS232" s="297" t="s">
        <v>124</v>
      </c>
      <c r="WTT232" s="297" t="s">
        <v>124</v>
      </c>
      <c r="WTU232" s="297" t="s">
        <v>124</v>
      </c>
      <c r="WTV232" s="297" t="s">
        <v>124</v>
      </c>
      <c r="WTW232" s="297" t="s">
        <v>124</v>
      </c>
      <c r="WTX232" s="297" t="s">
        <v>124</v>
      </c>
      <c r="WTY232" s="297" t="s">
        <v>124</v>
      </c>
      <c r="WTZ232" s="297" t="s">
        <v>124</v>
      </c>
      <c r="WUA232" s="297" t="s">
        <v>124</v>
      </c>
      <c r="WUB232" s="297" t="s">
        <v>124</v>
      </c>
      <c r="WUC232" s="297" t="s">
        <v>124</v>
      </c>
      <c r="WUD232" s="297" t="s">
        <v>124</v>
      </c>
      <c r="WUE232" s="297" t="s">
        <v>124</v>
      </c>
      <c r="WUF232" s="297" t="s">
        <v>124</v>
      </c>
      <c r="WUG232" s="297" t="s">
        <v>124</v>
      </c>
      <c r="WUH232" s="297" t="s">
        <v>124</v>
      </c>
      <c r="WUI232" s="297" t="s">
        <v>124</v>
      </c>
      <c r="WUJ232" s="297" t="s">
        <v>124</v>
      </c>
      <c r="WUK232" s="297" t="s">
        <v>124</v>
      </c>
      <c r="WUL232" s="297" t="s">
        <v>124</v>
      </c>
      <c r="WUM232" s="297" t="s">
        <v>124</v>
      </c>
      <c r="WUN232" s="297" t="s">
        <v>124</v>
      </c>
      <c r="WUO232" s="297" t="s">
        <v>124</v>
      </c>
      <c r="WUP232" s="297" t="s">
        <v>124</v>
      </c>
      <c r="WUQ232" s="297" t="s">
        <v>124</v>
      </c>
      <c r="WUR232" s="297" t="s">
        <v>124</v>
      </c>
      <c r="WUS232" s="297" t="s">
        <v>124</v>
      </c>
      <c r="WUT232" s="297" t="s">
        <v>124</v>
      </c>
      <c r="WUU232" s="297" t="s">
        <v>124</v>
      </c>
      <c r="WUV232" s="297" t="s">
        <v>124</v>
      </c>
      <c r="WUW232" s="297" t="s">
        <v>124</v>
      </c>
      <c r="WUX232" s="297" t="s">
        <v>124</v>
      </c>
      <c r="WUY232" s="297" t="s">
        <v>124</v>
      </c>
      <c r="WUZ232" s="297" t="s">
        <v>124</v>
      </c>
      <c r="WVA232" s="297" t="s">
        <v>124</v>
      </c>
      <c r="WVB232" s="297" t="s">
        <v>124</v>
      </c>
      <c r="WVC232" s="297" t="s">
        <v>124</v>
      </c>
      <c r="WVD232" s="297" t="s">
        <v>124</v>
      </c>
      <c r="WVE232" s="297" t="s">
        <v>124</v>
      </c>
      <c r="WVF232" s="297" t="s">
        <v>124</v>
      </c>
      <c r="WVG232" s="297" t="s">
        <v>124</v>
      </c>
      <c r="WVH232" s="297" t="s">
        <v>124</v>
      </c>
      <c r="WVI232" s="297" t="s">
        <v>124</v>
      </c>
      <c r="WVJ232" s="297" t="s">
        <v>124</v>
      </c>
      <c r="WVK232" s="297" t="s">
        <v>124</v>
      </c>
      <c r="WVL232" s="297" t="s">
        <v>124</v>
      </c>
      <c r="WVM232" s="297" t="s">
        <v>124</v>
      </c>
      <c r="WVN232" s="297" t="s">
        <v>124</v>
      </c>
      <c r="WVO232" s="297" t="s">
        <v>124</v>
      </c>
      <c r="WVP232" s="297" t="s">
        <v>124</v>
      </c>
      <c r="WVQ232" s="297" t="s">
        <v>124</v>
      </c>
      <c r="WVR232" s="297" t="s">
        <v>124</v>
      </c>
      <c r="WVS232" s="297" t="s">
        <v>124</v>
      </c>
      <c r="WVT232" s="297" t="s">
        <v>124</v>
      </c>
      <c r="WVU232" s="297" t="s">
        <v>124</v>
      </c>
      <c r="WVV232" s="297" t="s">
        <v>124</v>
      </c>
      <c r="WVW232" s="297" t="s">
        <v>124</v>
      </c>
      <c r="WVX232" s="297" t="s">
        <v>124</v>
      </c>
      <c r="WVY232" s="297" t="s">
        <v>124</v>
      </c>
      <c r="WVZ232" s="297" t="s">
        <v>124</v>
      </c>
      <c r="WWA232" s="297" t="s">
        <v>124</v>
      </c>
      <c r="WWB232" s="297" t="s">
        <v>124</v>
      </c>
      <c r="WWC232" s="297" t="s">
        <v>124</v>
      </c>
      <c r="WWD232" s="297" t="s">
        <v>124</v>
      </c>
      <c r="WWE232" s="297" t="s">
        <v>124</v>
      </c>
      <c r="WWF232" s="297" t="s">
        <v>124</v>
      </c>
      <c r="WWG232" s="297" t="s">
        <v>124</v>
      </c>
      <c r="WWH232" s="297" t="s">
        <v>124</v>
      </c>
      <c r="WWI232" s="297" t="s">
        <v>124</v>
      </c>
      <c r="WWJ232" s="297" t="s">
        <v>124</v>
      </c>
      <c r="WWK232" s="297" t="s">
        <v>124</v>
      </c>
      <c r="WWL232" s="297" t="s">
        <v>124</v>
      </c>
      <c r="WWM232" s="297" t="s">
        <v>124</v>
      </c>
      <c r="WWN232" s="297" t="s">
        <v>124</v>
      </c>
      <c r="WWO232" s="297" t="s">
        <v>124</v>
      </c>
      <c r="WWP232" s="297" t="s">
        <v>124</v>
      </c>
      <c r="WWQ232" s="297" t="s">
        <v>124</v>
      </c>
      <c r="WWR232" s="297" t="s">
        <v>124</v>
      </c>
      <c r="WWS232" s="297" t="s">
        <v>124</v>
      </c>
      <c r="WWT232" s="297" t="s">
        <v>124</v>
      </c>
      <c r="WWU232" s="297" t="s">
        <v>124</v>
      </c>
      <c r="WWV232" s="297" t="s">
        <v>124</v>
      </c>
      <c r="WWW232" s="297" t="s">
        <v>124</v>
      </c>
      <c r="WWX232" s="297" t="s">
        <v>124</v>
      </c>
      <c r="WWY232" s="297" t="s">
        <v>124</v>
      </c>
      <c r="WWZ232" s="297" t="s">
        <v>124</v>
      </c>
      <c r="WXA232" s="297" t="s">
        <v>124</v>
      </c>
      <c r="WXB232" s="297" t="s">
        <v>124</v>
      </c>
      <c r="WXC232" s="297" t="s">
        <v>124</v>
      </c>
      <c r="WXD232" s="297" t="s">
        <v>124</v>
      </c>
      <c r="WXE232" s="297" t="s">
        <v>124</v>
      </c>
      <c r="WXF232" s="297" t="s">
        <v>124</v>
      </c>
      <c r="WXG232" s="297" t="s">
        <v>124</v>
      </c>
      <c r="WXH232" s="297" t="s">
        <v>124</v>
      </c>
      <c r="WXI232" s="297" t="s">
        <v>124</v>
      </c>
      <c r="WXJ232" s="297" t="s">
        <v>124</v>
      </c>
      <c r="WXK232" s="297" t="s">
        <v>124</v>
      </c>
      <c r="WXL232" s="297" t="s">
        <v>124</v>
      </c>
      <c r="WXM232" s="297" t="s">
        <v>124</v>
      </c>
      <c r="WXN232" s="297" t="s">
        <v>124</v>
      </c>
      <c r="WXO232" s="297" t="s">
        <v>124</v>
      </c>
      <c r="WXP232" s="297" t="s">
        <v>124</v>
      </c>
      <c r="WXQ232" s="297" t="s">
        <v>124</v>
      </c>
      <c r="WXR232" s="297" t="s">
        <v>124</v>
      </c>
      <c r="WXS232" s="297" t="s">
        <v>124</v>
      </c>
      <c r="WXT232" s="297" t="s">
        <v>124</v>
      </c>
      <c r="WXU232" s="297" t="s">
        <v>124</v>
      </c>
      <c r="WXV232" s="297" t="s">
        <v>124</v>
      </c>
      <c r="WXW232" s="297" t="s">
        <v>124</v>
      </c>
      <c r="WXX232" s="297" t="s">
        <v>124</v>
      </c>
      <c r="WXY232" s="297" t="s">
        <v>124</v>
      </c>
      <c r="WXZ232" s="297" t="s">
        <v>124</v>
      </c>
      <c r="WYA232" s="297" t="s">
        <v>124</v>
      </c>
      <c r="WYB232" s="297" t="s">
        <v>124</v>
      </c>
      <c r="WYC232" s="297" t="s">
        <v>124</v>
      </c>
      <c r="WYD232" s="297" t="s">
        <v>124</v>
      </c>
      <c r="WYE232" s="297" t="s">
        <v>124</v>
      </c>
      <c r="WYF232" s="297" t="s">
        <v>124</v>
      </c>
      <c r="WYG232" s="297" t="s">
        <v>124</v>
      </c>
      <c r="WYH232" s="297" t="s">
        <v>124</v>
      </c>
      <c r="WYI232" s="297" t="s">
        <v>124</v>
      </c>
      <c r="WYJ232" s="297" t="s">
        <v>124</v>
      </c>
      <c r="WYK232" s="297" t="s">
        <v>124</v>
      </c>
      <c r="WYL232" s="297" t="s">
        <v>124</v>
      </c>
      <c r="WYM232" s="297" t="s">
        <v>124</v>
      </c>
      <c r="WYN232" s="297" t="s">
        <v>124</v>
      </c>
      <c r="WYO232" s="297" t="s">
        <v>124</v>
      </c>
      <c r="WYP232" s="297" t="s">
        <v>124</v>
      </c>
      <c r="WYQ232" s="297" t="s">
        <v>124</v>
      </c>
      <c r="WYR232" s="297" t="s">
        <v>124</v>
      </c>
      <c r="WYS232" s="297" t="s">
        <v>124</v>
      </c>
      <c r="WYT232" s="297" t="s">
        <v>124</v>
      </c>
      <c r="WYU232" s="297" t="s">
        <v>124</v>
      </c>
      <c r="WYV232" s="297" t="s">
        <v>124</v>
      </c>
      <c r="WYW232" s="297" t="s">
        <v>124</v>
      </c>
      <c r="WYX232" s="297" t="s">
        <v>124</v>
      </c>
      <c r="WYY232" s="297" t="s">
        <v>124</v>
      </c>
      <c r="WYZ232" s="297" t="s">
        <v>124</v>
      </c>
      <c r="WZA232" s="297" t="s">
        <v>124</v>
      </c>
      <c r="WZB232" s="297" t="s">
        <v>124</v>
      </c>
      <c r="WZC232" s="297" t="s">
        <v>124</v>
      </c>
      <c r="WZD232" s="297" t="s">
        <v>124</v>
      </c>
      <c r="WZE232" s="297" t="s">
        <v>124</v>
      </c>
      <c r="WZF232" s="297" t="s">
        <v>124</v>
      </c>
      <c r="WZG232" s="297" t="s">
        <v>124</v>
      </c>
      <c r="WZH232" s="297" t="s">
        <v>124</v>
      </c>
      <c r="WZI232" s="297" t="s">
        <v>124</v>
      </c>
      <c r="WZJ232" s="297" t="s">
        <v>124</v>
      </c>
      <c r="WZK232" s="297" t="s">
        <v>124</v>
      </c>
      <c r="WZL232" s="297" t="s">
        <v>124</v>
      </c>
      <c r="WZM232" s="297" t="s">
        <v>124</v>
      </c>
      <c r="WZN232" s="297" t="s">
        <v>124</v>
      </c>
      <c r="WZO232" s="297" t="s">
        <v>124</v>
      </c>
      <c r="WZP232" s="297" t="s">
        <v>124</v>
      </c>
      <c r="WZQ232" s="297" t="s">
        <v>124</v>
      </c>
      <c r="WZR232" s="297" t="s">
        <v>124</v>
      </c>
      <c r="WZS232" s="297" t="s">
        <v>124</v>
      </c>
      <c r="WZT232" s="297" t="s">
        <v>124</v>
      </c>
      <c r="WZU232" s="297" t="s">
        <v>124</v>
      </c>
      <c r="WZV232" s="297" t="s">
        <v>124</v>
      </c>
      <c r="WZW232" s="297" t="s">
        <v>124</v>
      </c>
      <c r="WZX232" s="297" t="s">
        <v>124</v>
      </c>
      <c r="WZY232" s="297" t="s">
        <v>124</v>
      </c>
      <c r="WZZ232" s="297" t="s">
        <v>124</v>
      </c>
      <c r="XAA232" s="297" t="s">
        <v>124</v>
      </c>
      <c r="XAB232" s="297" t="s">
        <v>124</v>
      </c>
      <c r="XAC232" s="297" t="s">
        <v>124</v>
      </c>
      <c r="XAD232" s="297" t="s">
        <v>124</v>
      </c>
      <c r="XAE232" s="297" t="s">
        <v>124</v>
      </c>
      <c r="XAF232" s="297" t="s">
        <v>124</v>
      </c>
      <c r="XAG232" s="297" t="s">
        <v>124</v>
      </c>
      <c r="XAH232" s="297" t="s">
        <v>124</v>
      </c>
      <c r="XAI232" s="297" t="s">
        <v>124</v>
      </c>
      <c r="XAJ232" s="297" t="s">
        <v>124</v>
      </c>
      <c r="XAK232" s="297" t="s">
        <v>124</v>
      </c>
      <c r="XAL232" s="297" t="s">
        <v>124</v>
      </c>
      <c r="XAM232" s="297" t="s">
        <v>124</v>
      </c>
      <c r="XAN232" s="297" t="s">
        <v>124</v>
      </c>
      <c r="XAO232" s="297" t="s">
        <v>124</v>
      </c>
      <c r="XAP232" s="297" t="s">
        <v>124</v>
      </c>
      <c r="XAQ232" s="297" t="s">
        <v>124</v>
      </c>
      <c r="XAR232" s="297" t="s">
        <v>124</v>
      </c>
      <c r="XAS232" s="297" t="s">
        <v>124</v>
      </c>
      <c r="XAT232" s="297" t="s">
        <v>124</v>
      </c>
      <c r="XAU232" s="297" t="s">
        <v>124</v>
      </c>
      <c r="XAV232" s="297" t="s">
        <v>124</v>
      </c>
      <c r="XAW232" s="297" t="s">
        <v>124</v>
      </c>
      <c r="XAX232" s="297" t="s">
        <v>124</v>
      </c>
      <c r="XAY232" s="297" t="s">
        <v>124</v>
      </c>
      <c r="XAZ232" s="297" t="s">
        <v>124</v>
      </c>
      <c r="XBA232" s="297" t="s">
        <v>124</v>
      </c>
      <c r="XBB232" s="297" t="s">
        <v>124</v>
      </c>
      <c r="XBC232" s="297" t="s">
        <v>124</v>
      </c>
      <c r="XBD232" s="297" t="s">
        <v>124</v>
      </c>
      <c r="XBE232" s="297" t="s">
        <v>124</v>
      </c>
      <c r="XBF232" s="297" t="s">
        <v>124</v>
      </c>
      <c r="XBG232" s="297" t="s">
        <v>124</v>
      </c>
      <c r="XBH232" s="297" t="s">
        <v>124</v>
      </c>
      <c r="XBI232" s="297" t="s">
        <v>124</v>
      </c>
      <c r="XBJ232" s="297" t="s">
        <v>124</v>
      </c>
      <c r="XBK232" s="297" t="s">
        <v>124</v>
      </c>
      <c r="XBL232" s="297" t="s">
        <v>124</v>
      </c>
      <c r="XBM232" s="297" t="s">
        <v>124</v>
      </c>
      <c r="XBN232" s="297" t="s">
        <v>124</v>
      </c>
      <c r="XBO232" s="297" t="s">
        <v>124</v>
      </c>
      <c r="XBP232" s="297" t="s">
        <v>124</v>
      </c>
      <c r="XBQ232" s="297" t="s">
        <v>124</v>
      </c>
      <c r="XBR232" s="297" t="s">
        <v>124</v>
      </c>
      <c r="XBS232" s="297" t="s">
        <v>124</v>
      </c>
      <c r="XBT232" s="297" t="s">
        <v>124</v>
      </c>
      <c r="XBU232" s="297" t="s">
        <v>124</v>
      </c>
      <c r="XBV232" s="297" t="s">
        <v>124</v>
      </c>
      <c r="XBW232" s="297" t="s">
        <v>124</v>
      </c>
      <c r="XBX232" s="297" t="s">
        <v>124</v>
      </c>
      <c r="XBY232" s="297" t="s">
        <v>124</v>
      </c>
      <c r="XBZ232" s="297" t="s">
        <v>124</v>
      </c>
      <c r="XCA232" s="297" t="s">
        <v>124</v>
      </c>
      <c r="XCB232" s="297" t="s">
        <v>124</v>
      </c>
      <c r="XCC232" s="297" t="s">
        <v>124</v>
      </c>
      <c r="XCD232" s="297" t="s">
        <v>124</v>
      </c>
      <c r="XCE232" s="297" t="s">
        <v>124</v>
      </c>
      <c r="XCF232" s="297" t="s">
        <v>124</v>
      </c>
      <c r="XCG232" s="297" t="s">
        <v>124</v>
      </c>
      <c r="XCH232" s="297" t="s">
        <v>124</v>
      </c>
      <c r="XCI232" s="297" t="s">
        <v>124</v>
      </c>
      <c r="XCJ232" s="297" t="s">
        <v>124</v>
      </c>
      <c r="XCK232" s="297" t="s">
        <v>124</v>
      </c>
      <c r="XCL232" s="297" t="s">
        <v>124</v>
      </c>
      <c r="XCM232" s="297" t="s">
        <v>124</v>
      </c>
      <c r="XCN232" s="297" t="s">
        <v>124</v>
      </c>
      <c r="XCO232" s="297" t="s">
        <v>124</v>
      </c>
      <c r="XCP232" s="297" t="s">
        <v>124</v>
      </c>
      <c r="XCQ232" s="297" t="s">
        <v>124</v>
      </c>
      <c r="XCR232" s="297" t="s">
        <v>124</v>
      </c>
      <c r="XCS232" s="297" t="s">
        <v>124</v>
      </c>
      <c r="XCT232" s="297" t="s">
        <v>124</v>
      </c>
      <c r="XCU232" s="297" t="s">
        <v>124</v>
      </c>
      <c r="XCV232" s="297" t="s">
        <v>124</v>
      </c>
      <c r="XCW232" s="297" t="s">
        <v>124</v>
      </c>
      <c r="XCX232" s="297" t="s">
        <v>124</v>
      </c>
      <c r="XCY232" s="297" t="s">
        <v>124</v>
      </c>
      <c r="XCZ232" s="297" t="s">
        <v>124</v>
      </c>
      <c r="XDA232" s="297" t="s">
        <v>124</v>
      </c>
      <c r="XDB232" s="297" t="s">
        <v>124</v>
      </c>
      <c r="XDC232" s="297" t="s">
        <v>124</v>
      </c>
      <c r="XDD232" s="297" t="s">
        <v>124</v>
      </c>
      <c r="XDE232" s="297" t="s">
        <v>124</v>
      </c>
      <c r="XDF232" s="297" t="s">
        <v>124</v>
      </c>
      <c r="XDG232" s="297" t="s">
        <v>124</v>
      </c>
      <c r="XDH232" s="297" t="s">
        <v>124</v>
      </c>
      <c r="XDI232" s="297" t="s">
        <v>124</v>
      </c>
      <c r="XDJ232" s="297" t="s">
        <v>124</v>
      </c>
      <c r="XDK232" s="297" t="s">
        <v>124</v>
      </c>
      <c r="XDL232" s="297" t="s">
        <v>124</v>
      </c>
      <c r="XDM232" s="297" t="s">
        <v>124</v>
      </c>
      <c r="XDN232" s="297" t="s">
        <v>124</v>
      </c>
      <c r="XDO232" s="297" t="s">
        <v>124</v>
      </c>
      <c r="XDP232" s="297" t="s">
        <v>124</v>
      </c>
      <c r="XDQ232" s="297" t="s">
        <v>124</v>
      </c>
      <c r="XDR232" s="297" t="s">
        <v>124</v>
      </c>
      <c r="XDS232" s="297" t="s">
        <v>124</v>
      </c>
      <c r="XDT232" s="297" t="s">
        <v>124</v>
      </c>
      <c r="XDU232" s="297" t="s">
        <v>124</v>
      </c>
      <c r="XDV232" s="297" t="s">
        <v>124</v>
      </c>
      <c r="XDW232" s="297" t="s">
        <v>124</v>
      </c>
      <c r="XDX232" s="297" t="s">
        <v>124</v>
      </c>
      <c r="XDY232" s="297" t="s">
        <v>124</v>
      </c>
      <c r="XDZ232" s="297" t="s">
        <v>124</v>
      </c>
      <c r="XEA232" s="297" t="s">
        <v>124</v>
      </c>
      <c r="XEB232" s="297" t="s">
        <v>124</v>
      </c>
      <c r="XEC232" s="297" t="s">
        <v>124</v>
      </c>
      <c r="XED232" s="297" t="s">
        <v>124</v>
      </c>
      <c r="XEE232" s="297" t="s">
        <v>124</v>
      </c>
      <c r="XEF232" s="297" t="s">
        <v>124</v>
      </c>
      <c r="XEG232" s="297" t="s">
        <v>124</v>
      </c>
      <c r="XEH232" s="297" t="s">
        <v>124</v>
      </c>
      <c r="XEI232" s="297" t="s">
        <v>124</v>
      </c>
      <c r="XEJ232" s="297" t="s">
        <v>124</v>
      </c>
      <c r="XEK232" s="297" t="s">
        <v>124</v>
      </c>
      <c r="XEL232" s="297" t="s">
        <v>124</v>
      </c>
      <c r="XEM232" s="297" t="s">
        <v>124</v>
      </c>
      <c r="XEN232" s="297" t="s">
        <v>124</v>
      </c>
      <c r="XEO232" s="297" t="s">
        <v>124</v>
      </c>
      <c r="XEP232" s="297" t="s">
        <v>124</v>
      </c>
      <c r="XEQ232" s="297" t="s">
        <v>124</v>
      </c>
      <c r="XER232" s="297" t="s">
        <v>124</v>
      </c>
      <c r="XES232" s="297" t="s">
        <v>124</v>
      </c>
      <c r="XET232" s="297" t="s">
        <v>124</v>
      </c>
      <c r="XEU232" s="297" t="s">
        <v>124</v>
      </c>
      <c r="XEV232" s="297" t="s">
        <v>124</v>
      </c>
      <c r="XEW232" s="297" t="s">
        <v>124</v>
      </c>
      <c r="XEX232" s="297" t="s">
        <v>124</v>
      </c>
      <c r="XEY232" s="297" t="s">
        <v>124</v>
      </c>
      <c r="XEZ232" s="297" t="s">
        <v>124</v>
      </c>
      <c r="XFA232" s="297" t="s">
        <v>124</v>
      </c>
      <c r="XFB232" s="297" t="s">
        <v>124</v>
      </c>
      <c r="XFC232" s="297" t="s">
        <v>124</v>
      </c>
    </row>
    <row r="233" spans="1:16383" s="175" customFormat="1" ht="27" customHeight="1">
      <c r="A233" s="298"/>
      <c r="B233" s="299"/>
      <c r="C233" s="299"/>
      <c r="D233" s="299"/>
      <c r="E233" s="299"/>
      <c r="F233" s="299"/>
      <c r="G233" s="299"/>
      <c r="H233" s="299"/>
      <c r="I233" s="299"/>
      <c r="J233" s="299"/>
      <c r="K233" s="299"/>
      <c r="L233" s="299"/>
      <c r="M233" s="299"/>
      <c r="N233" s="299"/>
      <c r="O233" s="299"/>
      <c r="P233" s="299"/>
      <c r="Q233" s="299"/>
      <c r="R233" s="299"/>
      <c r="S233" s="299"/>
      <c r="T233" s="300">
        <f>SUM(T232)</f>
        <v>1417</v>
      </c>
    </row>
    <row r="234" spans="1:16383" s="175" customFormat="1" ht="27" customHeight="1">
      <c r="A234" s="298"/>
      <c r="B234" s="299"/>
      <c r="C234" s="299"/>
      <c r="D234" s="299"/>
      <c r="E234" s="299"/>
      <c r="F234" s="299"/>
      <c r="G234" s="299"/>
      <c r="H234" s="299"/>
      <c r="I234" s="299"/>
      <c r="J234" s="299"/>
      <c r="K234" s="299"/>
      <c r="L234" s="299"/>
      <c r="M234" s="299"/>
      <c r="N234" s="299"/>
      <c r="O234" s="299"/>
      <c r="P234" s="299"/>
      <c r="Q234" s="299"/>
      <c r="R234" s="299"/>
      <c r="S234" s="299"/>
      <c r="T234" s="299"/>
    </row>
    <row r="235" spans="1:16383" s="175" customFormat="1" ht="27" customHeight="1">
      <c r="A235" s="298"/>
      <c r="B235" s="299"/>
      <c r="C235" s="299"/>
      <c r="D235" s="299"/>
      <c r="E235" s="299"/>
      <c r="F235" s="299"/>
      <c r="G235" s="299"/>
      <c r="H235" s="299"/>
      <c r="I235" s="299"/>
      <c r="J235" s="299"/>
      <c r="K235" s="299"/>
      <c r="L235" s="299"/>
      <c r="M235" s="299"/>
      <c r="N235" s="299"/>
      <c r="O235" s="299"/>
      <c r="P235" s="299"/>
      <c r="Q235" s="299"/>
      <c r="R235" s="299"/>
      <c r="S235" s="299"/>
      <c r="T235" s="299"/>
    </row>
    <row r="236" spans="1:16383" s="98" customFormat="1" ht="20" customHeight="1">
      <c r="A236" s="301" t="s">
        <v>136</v>
      </c>
      <c r="B236" s="302"/>
      <c r="C236" s="302"/>
      <c r="D236" s="302"/>
      <c r="E236" s="302"/>
      <c r="F236" s="302"/>
      <c r="G236" s="302"/>
      <c r="H236" s="302"/>
      <c r="I236" s="302"/>
      <c r="J236" s="302"/>
      <c r="K236" s="302"/>
      <c r="L236" s="302"/>
      <c r="M236" s="302"/>
      <c r="N236" s="302"/>
      <c r="O236" s="302"/>
      <c r="P236" s="302"/>
      <c r="Q236" s="302"/>
      <c r="R236" s="303"/>
      <c r="S236" s="141"/>
    </row>
    <row r="237" spans="1:16383" s="98" customFormat="1" ht="20" customHeight="1">
      <c r="A237" s="304" t="s">
        <v>68</v>
      </c>
      <c r="B237" s="305"/>
      <c r="C237" s="305"/>
      <c r="D237" s="305"/>
      <c r="E237" s="305"/>
      <c r="F237" s="305"/>
      <c r="G237" s="305"/>
      <c r="H237" s="305"/>
      <c r="I237" s="305"/>
      <c r="J237" s="305"/>
      <c r="K237" s="305"/>
      <c r="L237" s="305"/>
      <c r="M237" s="305"/>
      <c r="N237" s="305"/>
      <c r="O237" s="305"/>
      <c r="P237" s="305"/>
      <c r="Q237" s="305"/>
      <c r="R237" s="306"/>
      <c r="S237" s="141"/>
    </row>
    <row r="238" spans="1:16383" s="98" customFormat="1" ht="20" customHeight="1">
      <c r="A238" s="101" t="s">
        <v>48</v>
      </c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4"/>
      <c r="R238" s="160" t="s">
        <v>69</v>
      </c>
      <c r="S238" s="141"/>
    </row>
    <row r="239" spans="1:16383" s="98" customFormat="1" ht="20" customHeight="1">
      <c r="A239" s="304"/>
      <c r="B239" s="305"/>
      <c r="C239" s="305"/>
      <c r="D239" s="305"/>
      <c r="E239" s="305"/>
      <c r="F239" s="305"/>
      <c r="G239" s="305"/>
      <c r="H239" s="306"/>
      <c r="I239" s="102" t="s">
        <v>10</v>
      </c>
      <c r="J239" s="102" t="s">
        <v>53</v>
      </c>
      <c r="K239" s="102" t="s">
        <v>54</v>
      </c>
      <c r="L239" s="102" t="s">
        <v>55</v>
      </c>
      <c r="M239" s="102" t="s">
        <v>56</v>
      </c>
      <c r="N239" s="102" t="s">
        <v>70</v>
      </c>
      <c r="O239" s="102" t="s">
        <v>71</v>
      </c>
      <c r="P239" s="102" t="s">
        <v>72</v>
      </c>
      <c r="Q239" s="102" t="s">
        <v>73</v>
      </c>
      <c r="R239" s="160"/>
      <c r="S239" s="141"/>
    </row>
    <row r="240" spans="1:16383" s="98" customFormat="1" ht="20" customHeight="1">
      <c r="A240" s="307" t="s">
        <v>28</v>
      </c>
      <c r="B240" s="308"/>
      <c r="C240" s="308"/>
      <c r="D240" s="308"/>
      <c r="E240" s="308"/>
      <c r="F240" s="308"/>
      <c r="G240" s="308"/>
      <c r="H240" s="309"/>
      <c r="I240" s="107">
        <f>10-3-1+78-40-5-1</f>
        <v>38</v>
      </c>
      <c r="J240" s="107">
        <f>0+1-1+2-1+199-60-1-2-1</f>
        <v>136</v>
      </c>
      <c r="K240" s="107">
        <f>-4+4+2-2+220-60-7-1-1-1</f>
        <v>150</v>
      </c>
      <c r="L240" s="107">
        <f>1-1+2-3+4-3+4-4+217-60-6-3-5-1-2-1</f>
        <v>139</v>
      </c>
      <c r="M240" s="118">
        <f>-1+3-1-1+2-2+118-6-30-5-2-5-1</f>
        <v>69</v>
      </c>
      <c r="N240" s="118">
        <f>1+2+2-3+63-7-20-1</f>
        <v>37</v>
      </c>
      <c r="O240" s="118">
        <f>20-2-2-3-1-1-4-2-4-1+1-1+35-5-10-2-1</f>
        <v>17</v>
      </c>
      <c r="P240" s="107"/>
      <c r="Q240" s="107"/>
      <c r="R240" s="310">
        <f>SUM(I240:Q240)</f>
        <v>586</v>
      </c>
      <c r="S240" s="141"/>
    </row>
    <row r="241" spans="1:20" s="98" customFormat="1" ht="20" customHeight="1">
      <c r="A241" s="307" t="s">
        <v>20</v>
      </c>
      <c r="B241" s="308"/>
      <c r="C241" s="308"/>
      <c r="D241" s="308"/>
      <c r="E241" s="308"/>
      <c r="F241" s="308"/>
      <c r="G241" s="308"/>
      <c r="H241" s="309"/>
      <c r="I241" s="107">
        <f>41-1-1-1-1-1+1-37+37-1-1-10+29-25-1-1</f>
        <v>27</v>
      </c>
      <c r="J241" s="107">
        <f>60-1-1-5-3+4-1-1-1-1-1-1-5-1-2-1-39+42-1-10+52-25-2-2-1-6-1-2</f>
        <v>44</v>
      </c>
      <c r="K241" s="107">
        <f>131-12-10-11-12+3-1-1-1-1-1-1-1-1-1-1-1-3-5-10-1-1-3-1-3-2-2-4-1-4-38+46-1-1-8-1-1-1-1-4-18+1+18-5+81-12+1-5-1-4-8-1-2-5-2-1-1-1-19+1-1-1-1-4-1</f>
        <v>37</v>
      </c>
      <c r="L241" s="107">
        <f>130-9-10-13-1-1-1-3-8-1-5-1-1-4-4-5-10-4-1-5-5-2-4-14-14-4+10-1-3-1-1-1-3+3-1-1-1+94-1-1-9-22-5-1-2-30-2-5-2-1-1-10-2</f>
        <v>0</v>
      </c>
      <c r="M241" s="107">
        <f>64-3-5-3-1-1-1-1-1-1-1-1-2-2-1-1-1-3-6-1-2-2-1-3-2-1-2-1-14+10-1-1-1-1-3-2+2-3+58-10-5-1-10-1-1-1-10-1-1-1-1-3</f>
        <v>12</v>
      </c>
      <c r="N241" s="107">
        <f>32-1+4-3-1-1-1-1-1-1-1-2-6-1-1-2-1-12+9-1-2-1-3-1-1+30-1+1-5-1-1-1-3-10-9</f>
        <v>0</v>
      </c>
      <c r="O241" s="107">
        <f>20-1-2-1-3-2-1-1-9+3-1-1+19-10-1+9-1</f>
        <v>17</v>
      </c>
      <c r="P241" s="107"/>
      <c r="Q241" s="107"/>
      <c r="R241" s="310">
        <f>SUM(I241:Q241)</f>
        <v>137</v>
      </c>
      <c r="S241" s="141"/>
    </row>
    <row r="242" spans="1:20" s="98" customFormat="1" ht="19.5" customHeight="1">
      <c r="A242" s="307" t="s">
        <v>33</v>
      </c>
      <c r="B242" s="308"/>
      <c r="C242" s="308"/>
      <c r="D242" s="308"/>
      <c r="E242" s="308"/>
      <c r="F242" s="308"/>
      <c r="G242" s="308"/>
      <c r="H242" s="309"/>
      <c r="I242" s="118">
        <f>49-20-2-1</f>
        <v>26</v>
      </c>
      <c r="J242" s="118">
        <f>81-30-2-1</f>
        <v>48</v>
      </c>
      <c r="K242" s="107">
        <f>68-2-2-1-10-2-1-1-2-1-1-15-3-1-1-1-1+45-2-66+106-1-1+8-13-1-1-30-25-2-5+25-1-1-1-1-1-1-1-1-1</f>
        <v>51</v>
      </c>
      <c r="L242" s="107">
        <f>134-2-2-1-10-2-1-1-1-1-2-1-1-2-1-1-2-3-2+1+40-2-4-2-4-127+83+4+2+3-1-1-7-1-30-2-5-1-2-1-1-2-1</f>
        <v>37</v>
      </c>
      <c r="M242" s="107">
        <f>66-2-2-1-1-10-10-2-1-3-1-1-1-31+36+1-1-1-35+20-20</f>
        <v>0</v>
      </c>
      <c r="N242" s="107">
        <f>34-2-2-1-2-1-1-1-1-1-1-2-2-1-16+18-2-1+19-15-1-1</f>
        <v>17</v>
      </c>
      <c r="O242" s="107">
        <f>20-2-2-1-2-2-1-1-2-1-6+5-1+18-10-2</f>
        <v>10</v>
      </c>
      <c r="P242" s="107"/>
      <c r="Q242" s="107"/>
      <c r="R242" s="310">
        <f>SUM(I242:Q242)</f>
        <v>189</v>
      </c>
      <c r="S242" s="311"/>
    </row>
    <row r="243" spans="1:20" s="98" customFormat="1" ht="19.5" customHeight="1">
      <c r="A243" s="299"/>
      <c r="B243" s="299"/>
      <c r="C243" s="299"/>
      <c r="D243" s="299"/>
      <c r="E243" s="299"/>
      <c r="F243" s="299"/>
      <c r="G243" s="299"/>
      <c r="H243" s="299"/>
      <c r="I243" s="125"/>
      <c r="J243" s="125"/>
      <c r="K243" s="125"/>
      <c r="L243" s="125"/>
      <c r="M243" s="125"/>
      <c r="N243" s="125"/>
      <c r="O243" s="125"/>
      <c r="P243" s="125"/>
      <c r="Q243" s="125"/>
      <c r="R243" s="312">
        <f>SUM(R240:R242)</f>
        <v>912</v>
      </c>
      <c r="S243" s="311"/>
    </row>
    <row r="244" spans="1:20" s="98" customFormat="1" ht="19.5" customHeight="1">
      <c r="A244" s="299"/>
      <c r="B244" s="299"/>
      <c r="C244" s="299"/>
      <c r="D244" s="299"/>
      <c r="E244" s="299"/>
      <c r="F244" s="299"/>
      <c r="G244" s="299"/>
      <c r="H244" s="299"/>
      <c r="I244" s="125"/>
      <c r="J244" s="125"/>
      <c r="K244" s="125"/>
      <c r="L244" s="125"/>
      <c r="M244" s="125"/>
      <c r="N244" s="125"/>
      <c r="O244" s="125"/>
      <c r="P244" s="125"/>
      <c r="Q244" s="125"/>
      <c r="R244" s="313"/>
      <c r="S244" s="311"/>
    </row>
    <row r="245" spans="1:20" s="98" customFormat="1" ht="20" customHeight="1">
      <c r="A245" s="314" t="s">
        <v>137</v>
      </c>
      <c r="B245" s="314"/>
      <c r="C245" s="314"/>
      <c r="D245" s="314"/>
      <c r="E245" s="314"/>
      <c r="F245" s="314"/>
      <c r="G245" s="314"/>
      <c r="H245" s="314"/>
      <c r="I245" s="314"/>
      <c r="J245" s="314"/>
      <c r="K245" s="314"/>
      <c r="L245" s="314"/>
      <c r="M245" s="314"/>
      <c r="N245" s="314"/>
      <c r="O245" s="314"/>
      <c r="P245" s="314"/>
      <c r="Q245" s="314"/>
      <c r="R245" s="314"/>
      <c r="S245" s="314"/>
      <c r="T245" s="315"/>
    </row>
    <row r="246" spans="1:20" s="98" customFormat="1" ht="20" customHeight="1">
      <c r="A246" s="260" t="s">
        <v>83</v>
      </c>
      <c r="B246" s="101" t="s">
        <v>3</v>
      </c>
      <c r="C246" s="183"/>
      <c r="D246" s="183"/>
      <c r="E246" s="183"/>
      <c r="F246" s="183"/>
      <c r="G246" s="183"/>
      <c r="H246" s="183"/>
      <c r="I246" s="183"/>
      <c r="J246" s="184"/>
      <c r="K246" s="101" t="s">
        <v>4</v>
      </c>
      <c r="L246" s="183"/>
      <c r="M246" s="183"/>
      <c r="N246" s="183"/>
      <c r="O246" s="183"/>
      <c r="P246" s="183"/>
      <c r="Q246" s="183"/>
      <c r="R246" s="183"/>
      <c r="S246" s="183"/>
      <c r="T246" s="184"/>
    </row>
    <row r="247" spans="1:20" s="98" customFormat="1" ht="18.75" customHeight="1">
      <c r="A247" s="260" t="s">
        <v>52</v>
      </c>
      <c r="B247" s="104" t="s">
        <v>10</v>
      </c>
      <c r="C247" s="104" t="s">
        <v>53</v>
      </c>
      <c r="D247" s="104" t="s">
        <v>54</v>
      </c>
      <c r="E247" s="104" t="s">
        <v>55</v>
      </c>
      <c r="F247" s="104" t="s">
        <v>56</v>
      </c>
      <c r="G247" s="104" t="s">
        <v>70</v>
      </c>
      <c r="H247" s="104" t="s">
        <v>16</v>
      </c>
      <c r="I247" s="104" t="s">
        <v>17</v>
      </c>
      <c r="J247" s="104" t="s">
        <v>18</v>
      </c>
      <c r="K247" s="104" t="s">
        <v>10</v>
      </c>
      <c r="L247" s="104" t="s">
        <v>53</v>
      </c>
      <c r="M247" s="104" t="s">
        <v>54</v>
      </c>
      <c r="N247" s="104" t="s">
        <v>55</v>
      </c>
      <c r="O247" s="104" t="s">
        <v>56</v>
      </c>
      <c r="P247" s="104" t="s">
        <v>15</v>
      </c>
      <c r="Q247" s="104" t="s">
        <v>16</v>
      </c>
      <c r="R247" s="104" t="s">
        <v>17</v>
      </c>
      <c r="S247" s="104" t="s">
        <v>18</v>
      </c>
      <c r="T247" s="102" t="s">
        <v>84</v>
      </c>
    </row>
    <row r="248" spans="1:20" s="98" customFormat="1" ht="20" customHeight="1">
      <c r="A248" s="260" t="s">
        <v>94</v>
      </c>
      <c r="B248" s="276">
        <f>2-1</f>
        <v>1</v>
      </c>
      <c r="C248" s="276">
        <f>3-1</f>
        <v>2</v>
      </c>
      <c r="D248" s="276">
        <f>5-2</f>
        <v>3</v>
      </c>
      <c r="E248" s="276">
        <f>5-1-1-1</f>
        <v>2</v>
      </c>
      <c r="F248" s="276">
        <f>2+1-2</f>
        <v>1</v>
      </c>
      <c r="G248" s="276">
        <f>1</f>
        <v>1</v>
      </c>
      <c r="H248" s="276">
        <f>1</f>
        <v>1</v>
      </c>
      <c r="I248" s="276">
        <f>1</f>
        <v>1</v>
      </c>
      <c r="J248" s="276">
        <f>1</f>
        <v>1</v>
      </c>
      <c r="K248" s="276">
        <f>4</f>
        <v>4</v>
      </c>
      <c r="L248" s="276">
        <f>6-1</f>
        <v>5</v>
      </c>
      <c r="M248" s="118">
        <f>7-1-1-5+1-1</f>
        <v>0</v>
      </c>
      <c r="N248" s="118"/>
      <c r="O248" s="118"/>
      <c r="P248" s="276">
        <f>3-1-2</f>
        <v>0</v>
      </c>
      <c r="Q248" s="276">
        <f>2</f>
        <v>2</v>
      </c>
      <c r="R248" s="276">
        <f>1</f>
        <v>1</v>
      </c>
      <c r="S248" s="276">
        <f>1</f>
        <v>1</v>
      </c>
      <c r="T248" s="290">
        <f>SUM(B248:S248)</f>
        <v>26</v>
      </c>
    </row>
    <row r="249" spans="1:20">
      <c r="T249"/>
    </row>
    <row r="250" spans="1:20">
      <c r="T250"/>
    </row>
    <row r="251" spans="1:20" s="98" customFormat="1" ht="21">
      <c r="A251" s="316" t="s">
        <v>138</v>
      </c>
      <c r="B251" s="317"/>
      <c r="C251" s="317"/>
      <c r="D251" s="317"/>
      <c r="E251" s="317"/>
      <c r="F251" s="317"/>
      <c r="G251" s="317"/>
      <c r="H251" s="317"/>
      <c r="I251" s="317"/>
      <c r="J251" s="317"/>
      <c r="K251" s="317"/>
      <c r="L251" s="318"/>
    </row>
    <row r="252" spans="1:20" s="98" customFormat="1" ht="21">
      <c r="A252" s="101" t="s">
        <v>139</v>
      </c>
      <c r="B252" s="184"/>
      <c r="C252" s="101" t="s">
        <v>140</v>
      </c>
      <c r="D252" s="183"/>
      <c r="E252" s="183"/>
      <c r="F252" s="183"/>
      <c r="G252" s="183"/>
      <c r="H252" s="183"/>
      <c r="I252" s="183"/>
      <c r="J252" s="183"/>
      <c r="K252" s="184"/>
      <c r="L252" s="104" t="s">
        <v>69</v>
      </c>
    </row>
    <row r="253" spans="1:20" s="98" customFormat="1" ht="21">
      <c r="A253" s="319" t="s">
        <v>141</v>
      </c>
      <c r="B253" s="320"/>
      <c r="C253" s="101">
        <f>50-1-1-1-1-4-4-1-1-1-1-1-5+1-3-4-1-12-2-1-2-1+100-3-15-1-1-2-1-1-75+70-12-1-61+56-1-1-1-20-9-1-3-4-1</f>
        <v>15</v>
      </c>
      <c r="D253" s="183"/>
      <c r="E253" s="183"/>
      <c r="F253" s="183"/>
      <c r="G253" s="183"/>
      <c r="H253" s="183"/>
      <c r="I253" s="183"/>
      <c r="J253" s="183"/>
      <c r="K253" s="184"/>
      <c r="L253" s="107">
        <f>SUM(C253:J253)</f>
        <v>15</v>
      </c>
    </row>
    <row r="254" spans="1:20" s="98" customFormat="1" ht="21">
      <c r="A254" s="321" t="s">
        <v>142</v>
      </c>
      <c r="B254" s="322"/>
      <c r="C254" s="101">
        <f>50-1-1-1-4-1-1-4-1-1-1-1-2+1-1-3-1-1-11-1-2-1-1-1-1-1-1-1-1-1-3+100-15-1-1-40-40-1+100-1-1-1-1-1-1-96+45-25-20</f>
        <v>0</v>
      </c>
      <c r="D254" s="183"/>
      <c r="E254" s="183"/>
      <c r="F254" s="183"/>
      <c r="G254" s="183"/>
      <c r="H254" s="183"/>
      <c r="I254" s="183"/>
      <c r="J254" s="183"/>
      <c r="K254" s="184"/>
      <c r="L254" s="107">
        <f>SUM(C254:J254)</f>
        <v>0</v>
      </c>
    </row>
    <row r="255" spans="1:20" s="98" customFormat="1" ht="21">
      <c r="A255" s="323"/>
      <c r="B255" s="323"/>
      <c r="C255" s="141"/>
      <c r="E255" s="141"/>
      <c r="F255" s="141"/>
      <c r="G255" s="141"/>
      <c r="H255" s="141"/>
      <c r="I255" s="141"/>
      <c r="J255" s="141"/>
      <c r="L255" s="324">
        <f>SUM(L253:L254)</f>
        <v>15</v>
      </c>
    </row>
    <row r="256" spans="1:20" s="98" customFormat="1" ht="21">
      <c r="A256" s="325"/>
    </row>
    <row r="257" spans="1:12" s="98" customFormat="1" ht="21">
      <c r="A257" s="325"/>
    </row>
    <row r="258" spans="1:12" s="98" customFormat="1" ht="21">
      <c r="A258" s="316" t="s">
        <v>143</v>
      </c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  <c r="L258" s="318"/>
    </row>
    <row r="259" spans="1:12" s="98" customFormat="1" ht="21">
      <c r="A259" s="101" t="s">
        <v>139</v>
      </c>
      <c r="B259" s="184"/>
      <c r="C259" s="101" t="s">
        <v>140</v>
      </c>
      <c r="D259" s="183"/>
      <c r="E259" s="183"/>
      <c r="F259" s="183"/>
      <c r="G259" s="183"/>
      <c r="H259" s="183"/>
      <c r="I259" s="183"/>
      <c r="J259" s="183"/>
      <c r="K259" s="184"/>
      <c r="L259" s="104" t="s">
        <v>69</v>
      </c>
    </row>
    <row r="260" spans="1:12" s="98" customFormat="1" ht="21">
      <c r="A260" s="319" t="s">
        <v>144</v>
      </c>
      <c r="B260" s="320"/>
      <c r="C260" s="101">
        <f>10-1-2-1-1-1-4+20-1-1-2-1-15+25-6-1-1+20-37+50-10+30-5-1-1-10-1-1</f>
        <v>51</v>
      </c>
      <c r="D260" s="183"/>
      <c r="E260" s="183"/>
      <c r="F260" s="183"/>
      <c r="G260" s="183"/>
      <c r="H260" s="183"/>
      <c r="I260" s="183"/>
      <c r="J260" s="183"/>
      <c r="K260" s="184"/>
      <c r="L260" s="107">
        <f>SUM(C260)</f>
        <v>51</v>
      </c>
    </row>
    <row r="261" spans="1:12" s="98" customFormat="1" ht="21">
      <c r="A261" s="319" t="s">
        <v>145</v>
      </c>
      <c r="B261" s="320"/>
      <c r="C261" s="101">
        <f>10-1-2-1-2-1-1+20-1-1-1+30-30-1+50-9+9+21-5-21+1-1-3-2</f>
        <v>58</v>
      </c>
      <c r="D261" s="183"/>
      <c r="E261" s="183"/>
      <c r="F261" s="183"/>
      <c r="G261" s="183"/>
      <c r="H261" s="183"/>
      <c r="I261" s="183"/>
      <c r="J261" s="183"/>
      <c r="K261" s="184"/>
      <c r="L261" s="107">
        <f t="shared" ref="L261:L270" si="3">SUM(C261)</f>
        <v>58</v>
      </c>
    </row>
    <row r="262" spans="1:12" s="98" customFormat="1" ht="21" customHeight="1">
      <c r="A262" s="319" t="s">
        <v>146</v>
      </c>
      <c r="B262" s="320"/>
      <c r="C262" s="101">
        <f>24-6-1-2+30-5-35</f>
        <v>5</v>
      </c>
      <c r="D262" s="183"/>
      <c r="E262" s="183"/>
      <c r="F262" s="183"/>
      <c r="G262" s="183"/>
      <c r="H262" s="183"/>
      <c r="I262" s="183"/>
      <c r="J262" s="183"/>
      <c r="K262" s="184"/>
      <c r="L262" s="107">
        <v>5</v>
      </c>
    </row>
    <row r="263" spans="1:12" s="98" customFormat="1" ht="21" customHeight="1">
      <c r="A263" s="319" t="s">
        <v>147</v>
      </c>
      <c r="B263" s="320"/>
      <c r="C263" s="101">
        <f>10-1-1-2-2-2-1+20-1-1-1-2-2-14+15-1+20-3+20-5-1</f>
        <v>45</v>
      </c>
      <c r="D263" s="183"/>
      <c r="E263" s="183"/>
      <c r="F263" s="183"/>
      <c r="G263" s="183"/>
      <c r="H263" s="183"/>
      <c r="I263" s="183"/>
      <c r="J263" s="183"/>
      <c r="K263" s="184"/>
      <c r="L263" s="107">
        <f t="shared" si="3"/>
        <v>45</v>
      </c>
    </row>
    <row r="264" spans="1:12" s="98" customFormat="1" ht="21">
      <c r="A264" s="319" t="s">
        <v>22</v>
      </c>
      <c r="B264" s="320"/>
      <c r="C264" s="101">
        <f>10-1-1-2-2-1-1+20-1-1-1-1-18+18-10+30-5</f>
        <v>33</v>
      </c>
      <c r="D264" s="183"/>
      <c r="E264" s="183"/>
      <c r="F264" s="183"/>
      <c r="G264" s="183"/>
      <c r="H264" s="183"/>
      <c r="I264" s="183"/>
      <c r="J264" s="183"/>
      <c r="K264" s="184"/>
      <c r="L264" s="107">
        <f t="shared" si="3"/>
        <v>33</v>
      </c>
    </row>
    <row r="265" spans="1:12" s="98" customFormat="1" ht="21">
      <c r="A265" s="319" t="s">
        <v>28</v>
      </c>
      <c r="B265" s="320"/>
      <c r="C265" s="101">
        <f>1-1+15-1+20-1+15-5-4-9-1-1-5-12+1-3</f>
        <v>9</v>
      </c>
      <c r="D265" s="183"/>
      <c r="E265" s="183"/>
      <c r="F265" s="183"/>
      <c r="G265" s="183"/>
      <c r="H265" s="183"/>
      <c r="I265" s="183"/>
      <c r="J265" s="183"/>
      <c r="K265" s="184"/>
      <c r="L265" s="107">
        <f t="shared" si="3"/>
        <v>9</v>
      </c>
    </row>
    <row r="266" spans="1:12" s="98" customFormat="1" ht="21">
      <c r="A266" s="319" t="s">
        <v>94</v>
      </c>
      <c r="B266" s="320"/>
      <c r="C266" s="101">
        <f>10-1-1-1-1-2-2-1+20-1-20+22+15-5</f>
        <v>32</v>
      </c>
      <c r="D266" s="183"/>
      <c r="E266" s="183"/>
      <c r="F266" s="183"/>
      <c r="G266" s="183"/>
      <c r="H266" s="183"/>
      <c r="I266" s="183"/>
      <c r="J266" s="183"/>
      <c r="K266" s="184"/>
      <c r="L266" s="107">
        <f t="shared" si="3"/>
        <v>32</v>
      </c>
    </row>
    <row r="267" spans="1:12" s="98" customFormat="1" ht="21">
      <c r="A267" s="319" t="s">
        <v>26</v>
      </c>
      <c r="B267" s="320"/>
      <c r="C267" s="101">
        <f>10-1-1-1-2-1-1-1+50-30-1-1-20+15+15-5-2-3</f>
        <v>20</v>
      </c>
      <c r="D267" s="183"/>
      <c r="E267" s="183"/>
      <c r="F267" s="183"/>
      <c r="G267" s="183"/>
      <c r="H267" s="183"/>
      <c r="I267" s="183"/>
      <c r="J267" s="183"/>
      <c r="K267" s="184"/>
      <c r="L267" s="107">
        <f t="shared" si="3"/>
        <v>20</v>
      </c>
    </row>
    <row r="268" spans="1:12" s="98" customFormat="1" ht="21">
      <c r="A268" s="319" t="s">
        <v>23</v>
      </c>
      <c r="B268" s="320"/>
      <c r="C268" s="101">
        <f>10-1-2-2-2-1-1-1+20-1-1-1-1-6-10+11-4-1-1+20+15-4-5-1-4-2-20</f>
        <v>4</v>
      </c>
      <c r="D268" s="183"/>
      <c r="E268" s="183"/>
      <c r="F268" s="183"/>
      <c r="G268" s="183"/>
      <c r="H268" s="183"/>
      <c r="I268" s="183"/>
      <c r="J268" s="183"/>
      <c r="K268" s="184"/>
      <c r="L268" s="107">
        <f t="shared" si="3"/>
        <v>4</v>
      </c>
    </row>
    <row r="269" spans="1:12" s="98" customFormat="1" ht="21">
      <c r="A269" s="319" t="s">
        <v>20</v>
      </c>
      <c r="B269" s="320"/>
      <c r="C269" s="101">
        <f>10-1-1-1-2-1-2-1+1+20-1-21+18-1-1-1-1-14+20-4-1-1-5+30-9-30+80-30+9-5-1-1+1+1+21-20</f>
        <v>55</v>
      </c>
      <c r="D269" s="183"/>
      <c r="E269" s="183"/>
      <c r="F269" s="183"/>
      <c r="G269" s="183"/>
      <c r="H269" s="183"/>
      <c r="I269" s="183"/>
      <c r="J269" s="183"/>
      <c r="K269" s="184"/>
      <c r="L269" s="107">
        <f t="shared" si="3"/>
        <v>55</v>
      </c>
    </row>
    <row r="270" spans="1:12" s="98" customFormat="1" ht="21">
      <c r="A270" s="319" t="s">
        <v>62</v>
      </c>
      <c r="B270" s="320"/>
      <c r="C270" s="101">
        <v>7</v>
      </c>
      <c r="D270" s="183"/>
      <c r="E270" s="183"/>
      <c r="F270" s="183"/>
      <c r="G270" s="183"/>
      <c r="H270" s="183"/>
      <c r="I270" s="183"/>
      <c r="J270" s="183"/>
      <c r="K270" s="184"/>
      <c r="L270" s="107">
        <f t="shared" si="3"/>
        <v>7</v>
      </c>
    </row>
    <row r="271" spans="1:12" s="98" customFormat="1" ht="21">
      <c r="A271" s="319" t="s">
        <v>19</v>
      </c>
      <c r="B271" s="320"/>
      <c r="C271" s="101">
        <f>10-1-2-2-1-3-1+20-1-1-5-1-1-1-3-1-6+31-1-1+20+1-25+25-5-1-15-1-1-1-2</f>
        <v>24</v>
      </c>
      <c r="D271" s="183"/>
      <c r="E271" s="183"/>
      <c r="F271" s="183"/>
      <c r="G271" s="183"/>
      <c r="H271" s="183"/>
      <c r="I271" s="183"/>
      <c r="J271" s="183"/>
      <c r="K271" s="184"/>
      <c r="L271" s="107">
        <f>SUM(L260:L270)</f>
        <v>319</v>
      </c>
    </row>
    <row r="272" spans="1:12" ht="21">
      <c r="A272" s="325"/>
      <c r="B272" s="98"/>
      <c r="C272" s="98"/>
      <c r="D272" s="98"/>
      <c r="E272" s="98"/>
      <c r="F272" s="98"/>
      <c r="G272" s="98"/>
      <c r="H272" s="98"/>
      <c r="I272" s="98"/>
      <c r="J272" s="98"/>
      <c r="K272" s="98"/>
      <c r="L272" s="290">
        <f>SUM(L261:L271)</f>
        <v>587</v>
      </c>
    </row>
    <row r="273" spans="1:24" s="141" customFormat="1" ht="19.5" customHeight="1">
      <c r="A273" s="326" t="s">
        <v>148</v>
      </c>
      <c r="B273" s="327"/>
      <c r="C273" s="327"/>
      <c r="D273" s="327"/>
      <c r="E273" s="327"/>
      <c r="F273" s="327"/>
      <c r="G273" s="327"/>
      <c r="H273" s="327"/>
      <c r="I273" s="327"/>
      <c r="J273" s="327"/>
      <c r="K273" s="327"/>
      <c r="L273" s="327"/>
      <c r="M273" s="327"/>
      <c r="N273" s="327"/>
      <c r="O273" s="327"/>
      <c r="P273" s="327"/>
      <c r="Q273" s="327"/>
      <c r="R273" s="327"/>
      <c r="S273" s="327"/>
      <c r="T273" s="327"/>
      <c r="U273" s="328"/>
    </row>
    <row r="274" spans="1:24" s="141" customFormat="1" ht="19.5" customHeight="1">
      <c r="A274" s="329"/>
      <c r="B274" s="330"/>
      <c r="C274" s="330"/>
      <c r="D274" s="330"/>
      <c r="E274" s="330"/>
      <c r="F274" s="330"/>
      <c r="G274" s="330"/>
      <c r="H274" s="330"/>
      <c r="I274" s="330"/>
      <c r="J274" s="330"/>
      <c r="K274" s="330"/>
      <c r="L274" s="330"/>
      <c r="M274" s="330"/>
      <c r="N274" s="330"/>
      <c r="O274" s="330"/>
      <c r="P274" s="330"/>
      <c r="Q274" s="330"/>
      <c r="R274" s="330"/>
      <c r="S274" s="330"/>
      <c r="T274" s="330"/>
      <c r="U274" s="328"/>
    </row>
    <row r="275" spans="1:24" s="141" customFormat="1" ht="19.5" customHeight="1">
      <c r="A275" s="100"/>
      <c r="B275" s="304" t="s">
        <v>3</v>
      </c>
      <c r="C275" s="305"/>
      <c r="D275" s="305"/>
      <c r="E275" s="305"/>
      <c r="F275" s="305"/>
      <c r="G275" s="305"/>
      <c r="H275" s="305"/>
      <c r="I275" s="306"/>
      <c r="J275" s="304" t="s">
        <v>149</v>
      </c>
      <c r="K275" s="305"/>
      <c r="L275" s="305"/>
      <c r="M275" s="305"/>
      <c r="N275" s="305"/>
      <c r="O275" s="305"/>
      <c r="P275" s="305"/>
      <c r="Q275" s="305"/>
      <c r="R275" s="305"/>
      <c r="S275" s="306"/>
      <c r="T275" s="200" t="s">
        <v>57</v>
      </c>
      <c r="U275" s="201"/>
    </row>
    <row r="276" spans="1:24" s="141" customFormat="1" ht="19.5" customHeight="1">
      <c r="A276" s="100" t="s">
        <v>150</v>
      </c>
      <c r="B276" s="102">
        <v>5</v>
      </c>
      <c r="C276" s="102">
        <v>7</v>
      </c>
      <c r="D276" s="102">
        <v>9</v>
      </c>
      <c r="E276" s="102">
        <v>11</v>
      </c>
      <c r="F276" s="102">
        <v>13</v>
      </c>
      <c r="G276" s="102">
        <v>15</v>
      </c>
      <c r="H276" s="102">
        <v>17</v>
      </c>
      <c r="I276" s="102">
        <v>19</v>
      </c>
      <c r="J276" s="102">
        <v>28</v>
      </c>
      <c r="K276" s="102">
        <v>30</v>
      </c>
      <c r="L276" s="102">
        <v>32</v>
      </c>
      <c r="M276" s="102">
        <v>34</v>
      </c>
      <c r="N276" s="102">
        <v>36</v>
      </c>
      <c r="O276" s="102">
        <v>38</v>
      </c>
      <c r="P276" s="102">
        <v>40</v>
      </c>
      <c r="Q276" s="102">
        <v>42</v>
      </c>
      <c r="R276" s="102">
        <v>44</v>
      </c>
      <c r="S276" s="102">
        <v>46</v>
      </c>
      <c r="T276" s="205"/>
      <c r="U276" s="206"/>
    </row>
    <row r="277" spans="1:24" s="141" customFormat="1" ht="19.5" customHeight="1">
      <c r="A277" s="331" t="s">
        <v>151</v>
      </c>
      <c r="B277" s="332"/>
      <c r="C277" s="332">
        <f>1-1</f>
        <v>0</v>
      </c>
      <c r="D277" s="332"/>
      <c r="E277" s="332"/>
      <c r="F277" s="332"/>
      <c r="G277" s="332"/>
      <c r="H277" s="332"/>
      <c r="I277" s="332"/>
      <c r="J277" s="332"/>
      <c r="K277" s="332"/>
      <c r="L277" s="332"/>
      <c r="M277" s="332"/>
      <c r="N277" s="332"/>
      <c r="O277" s="332"/>
      <c r="P277" s="332"/>
      <c r="Q277" s="332"/>
      <c r="R277" s="332"/>
      <c r="S277" s="332"/>
      <c r="T277" s="333">
        <f>SUM(B277:R278)</f>
        <v>0</v>
      </c>
      <c r="U277" s="334"/>
    </row>
    <row r="278" spans="1:24" s="141" customFormat="1" ht="19.5" customHeight="1">
      <c r="A278" s="335"/>
      <c r="B278" s="336"/>
      <c r="C278" s="336"/>
      <c r="D278" s="336"/>
      <c r="E278" s="336"/>
      <c r="F278" s="336"/>
      <c r="G278" s="336"/>
      <c r="H278" s="336"/>
      <c r="I278" s="336"/>
      <c r="J278" s="336"/>
      <c r="K278" s="336"/>
      <c r="L278" s="336"/>
      <c r="M278" s="336"/>
      <c r="N278" s="336"/>
      <c r="O278" s="336"/>
      <c r="P278" s="336"/>
      <c r="Q278" s="336"/>
      <c r="R278" s="336"/>
      <c r="S278" s="336"/>
      <c r="T278" s="337"/>
      <c r="U278" s="338"/>
    </row>
    <row r="279" spans="1:24" s="141" customFormat="1" ht="71" customHeight="1" thickBot="1">
      <c r="A279" s="299"/>
      <c r="B279" s="299"/>
      <c r="C279" s="299"/>
      <c r="D279" s="299"/>
      <c r="E279" s="299"/>
      <c r="F279" s="299"/>
      <c r="G279" s="299"/>
      <c r="H279" s="299"/>
      <c r="I279" s="125"/>
      <c r="J279" s="125"/>
      <c r="K279" s="125"/>
      <c r="L279" s="125"/>
      <c r="M279" s="125"/>
      <c r="N279" s="125"/>
      <c r="O279" s="125"/>
      <c r="P279" s="125"/>
      <c r="Q279" s="125"/>
      <c r="R279" s="339"/>
      <c r="S279" s="311"/>
    </row>
    <row r="280" spans="1:24" s="98" customFormat="1" ht="19.5" customHeight="1">
      <c r="A280" s="340" t="s">
        <v>152</v>
      </c>
      <c r="B280" s="340"/>
      <c r="C280" s="340"/>
      <c r="D280" s="340"/>
      <c r="E280" s="340"/>
      <c r="F280" s="340"/>
      <c r="G280" s="340"/>
      <c r="H280" s="340"/>
      <c r="I280" s="340"/>
      <c r="J280" s="340"/>
      <c r="K280" s="340"/>
      <c r="L280" s="340"/>
      <c r="M280" s="340"/>
      <c r="N280" s="340"/>
      <c r="O280" s="340"/>
      <c r="P280" s="340"/>
      <c r="Q280" s="340"/>
      <c r="R280" s="340"/>
      <c r="S280" s="340"/>
      <c r="T280" s="340"/>
      <c r="U280" s="341"/>
    </row>
    <row r="281" spans="1:24" s="98" customFormat="1" ht="58.5" customHeight="1" thickBot="1">
      <c r="A281" s="342"/>
      <c r="B281" s="342"/>
      <c r="C281" s="342"/>
      <c r="D281" s="342"/>
      <c r="E281" s="342"/>
      <c r="F281" s="342"/>
      <c r="G281" s="342"/>
      <c r="H281" s="342"/>
      <c r="I281" s="342"/>
      <c r="J281" s="342"/>
      <c r="K281" s="342"/>
      <c r="L281" s="342"/>
      <c r="M281" s="342"/>
      <c r="N281" s="342"/>
      <c r="O281" s="342"/>
      <c r="P281" s="342"/>
      <c r="Q281" s="342"/>
      <c r="R281" s="342"/>
      <c r="S281" s="342"/>
      <c r="T281" s="342"/>
      <c r="U281" s="343"/>
    </row>
    <row r="282" spans="1:24" s="98" customFormat="1" ht="20" customHeight="1">
      <c r="A282" s="140"/>
      <c r="B282" s="141"/>
      <c r="C282" s="141"/>
      <c r="D282" s="141"/>
      <c r="E282" s="141"/>
      <c r="F282" s="141"/>
      <c r="G282" s="141"/>
      <c r="H282" s="141"/>
      <c r="I282" s="141"/>
      <c r="J282" s="141"/>
      <c r="K282" s="141"/>
      <c r="L282" s="141"/>
      <c r="M282" s="141"/>
      <c r="N282" s="141"/>
      <c r="O282" s="141"/>
      <c r="P282" s="141"/>
      <c r="Q282" s="141"/>
      <c r="R282" s="141"/>
      <c r="S282" s="141"/>
      <c r="T282" s="141"/>
      <c r="U282" s="141"/>
    </row>
    <row r="283" spans="1:24" s="98" customFormat="1" ht="20" customHeight="1">
      <c r="A283" s="140"/>
      <c r="B283" s="141"/>
      <c r="C283" s="141"/>
      <c r="D283" s="141"/>
      <c r="E283" s="141"/>
      <c r="F283" s="141"/>
      <c r="G283" s="141"/>
      <c r="H283" s="141"/>
      <c r="I283" s="141"/>
      <c r="J283" s="141"/>
      <c r="K283" s="141"/>
      <c r="L283" s="141"/>
      <c r="M283" s="141"/>
      <c r="N283" s="141"/>
      <c r="O283" s="141"/>
      <c r="P283" s="141"/>
      <c r="Q283" s="141"/>
      <c r="R283" s="141"/>
      <c r="S283" s="141"/>
    </row>
    <row r="284" spans="1:24" s="98" customFormat="1" ht="33.75" customHeight="1">
      <c r="A284" s="344"/>
      <c r="B284" s="345"/>
      <c r="C284" s="345"/>
      <c r="D284" s="345"/>
      <c r="E284" s="346" t="s">
        <v>153</v>
      </c>
      <c r="F284" s="347"/>
      <c r="G284" s="347"/>
      <c r="H284" s="347"/>
      <c r="I284" s="347"/>
      <c r="J284" s="347"/>
      <c r="K284" s="347"/>
      <c r="L284" s="347"/>
      <c r="M284" s="347"/>
      <c r="N284" s="347"/>
      <c r="O284" s="347"/>
      <c r="P284" s="347"/>
      <c r="Q284" s="347"/>
      <c r="R284" s="348"/>
      <c r="S284" s="141"/>
    </row>
    <row r="285" spans="1:24" s="98" customFormat="1" ht="20" customHeight="1">
      <c r="A285" s="349"/>
      <c r="B285" s="141"/>
      <c r="C285" s="141"/>
      <c r="D285" s="141"/>
      <c r="E285" s="197" t="s">
        <v>77</v>
      </c>
      <c r="F285" s="198"/>
      <c r="G285" s="199"/>
      <c r="H285" s="104"/>
      <c r="I285" s="104"/>
      <c r="J285" s="104"/>
      <c r="K285" s="104"/>
      <c r="L285" s="104"/>
      <c r="M285" s="104"/>
      <c r="N285" s="104"/>
      <c r="O285" s="104"/>
      <c r="P285" s="104"/>
      <c r="Q285" s="197" t="s">
        <v>69</v>
      </c>
      <c r="R285" s="199"/>
      <c r="U285" s="141"/>
    </row>
    <row r="286" spans="1:24" s="98" customFormat="1" ht="20" customHeight="1">
      <c r="A286" s="349"/>
      <c r="B286" s="141"/>
      <c r="C286" s="141"/>
      <c r="D286" s="141"/>
      <c r="E286" s="202"/>
      <c r="F286" s="203"/>
      <c r="G286" s="204"/>
      <c r="H286" s="104" t="s">
        <v>10</v>
      </c>
      <c r="I286" s="104" t="s">
        <v>53</v>
      </c>
      <c r="J286" s="104" t="s">
        <v>54</v>
      </c>
      <c r="K286" s="104" t="s">
        <v>55</v>
      </c>
      <c r="L286" s="104" t="s">
        <v>56</v>
      </c>
      <c r="M286" s="104" t="s">
        <v>15</v>
      </c>
      <c r="N286" s="104" t="s">
        <v>16</v>
      </c>
      <c r="O286" s="104" t="s">
        <v>17</v>
      </c>
      <c r="P286" s="104" t="s">
        <v>18</v>
      </c>
      <c r="Q286" s="202"/>
      <c r="R286" s="204"/>
      <c r="W286" s="141"/>
    </row>
    <row r="287" spans="1:24" s="98" customFormat="1" ht="30.75" customHeight="1">
      <c r="A287" s="350"/>
      <c r="B287" s="125"/>
      <c r="C287" s="125"/>
      <c r="D287" s="125"/>
      <c r="E287" s="351" t="s">
        <v>19</v>
      </c>
      <c r="F287" s="352"/>
      <c r="G287" s="353"/>
      <c r="H287" s="107">
        <f>63+3-2-1-63+65-4-1-1-2-10-2-1</f>
        <v>44</v>
      </c>
      <c r="I287" s="107">
        <f>7-1-1+5-5-2-3+29+3+3-1+30-10-9-4-1-1-1-1+1-1-2-6-1-2-1-1-4-20+14-1-4+37-3-1</f>
        <v>42</v>
      </c>
      <c r="J287" s="107">
        <f>0+1+1+37-29-8-2+14-1-8-1+122-9-1-1-1-1</f>
        <v>113</v>
      </c>
      <c r="K287" s="107">
        <f>4+1-5+1+2+27-19-5-1-2-3+1-1+15-12-2+20-1-4+123-1-5-1-1-1</f>
        <v>130</v>
      </c>
      <c r="L287" s="107">
        <f>0+10+6-1+8-4-2-1-6-2-1-2+1-1-2-3+15-10+65-1</f>
        <v>69</v>
      </c>
      <c r="M287" s="107">
        <f>6-5-1+1-1+1-1+22-18+17-4</f>
        <v>17</v>
      </c>
      <c r="N287" s="107">
        <f>13-6-1-6+17-1-1+1-1-1+5</f>
        <v>19</v>
      </c>
      <c r="O287" s="107">
        <f>10-1-9+9+1+5</f>
        <v>15</v>
      </c>
      <c r="P287" s="107">
        <f>10-1+1-10+10-1+5</f>
        <v>14</v>
      </c>
      <c r="Q287" s="210">
        <f>SUM(H287:P287)</f>
        <v>463</v>
      </c>
      <c r="R287" s="211"/>
      <c r="S287" s="247"/>
      <c r="T287" s="247"/>
      <c r="U287" s="247"/>
      <c r="V287" s="247"/>
      <c r="W287" s="354"/>
      <c r="X287" s="141"/>
    </row>
    <row r="288" spans="1:24" s="98" customFormat="1" ht="29.25" customHeight="1">
      <c r="A288" s="350"/>
      <c r="B288" s="125"/>
      <c r="C288" s="125"/>
      <c r="D288" s="125"/>
      <c r="E288" s="351" t="s">
        <v>24</v>
      </c>
      <c r="F288" s="352"/>
      <c r="G288" s="353"/>
      <c r="H288" s="107">
        <f>3+2-5+5-1-1</f>
        <v>3</v>
      </c>
      <c r="I288" s="107">
        <f>3-3+3-1-1</f>
        <v>1</v>
      </c>
      <c r="J288" s="107">
        <f>3-3+3-1-1-1</f>
        <v>0</v>
      </c>
      <c r="K288" s="107">
        <f>26-26+26-6-1+1+1-1-1-1-2</f>
        <v>16</v>
      </c>
      <c r="L288" s="107">
        <f>28-28+28+1-1-1</f>
        <v>27</v>
      </c>
      <c r="M288" s="107">
        <f>7+7-14+15</f>
        <v>15</v>
      </c>
      <c r="N288" s="107">
        <f>9-9+9</f>
        <v>9</v>
      </c>
      <c r="O288" s="107">
        <f>0</f>
        <v>0</v>
      </c>
      <c r="P288" s="107">
        <f>0</f>
        <v>0</v>
      </c>
      <c r="Q288" s="210">
        <f>SUM(H288:P288)</f>
        <v>71</v>
      </c>
      <c r="R288" s="211"/>
      <c r="S288" s="247" t="s">
        <v>154</v>
      </c>
      <c r="T288" s="247">
        <v>51</v>
      </c>
      <c r="U288" s="355"/>
      <c r="V288" s="247"/>
      <c r="W288" s="354"/>
      <c r="X288" s="141"/>
    </row>
    <row r="289" spans="1:24" s="98" customFormat="1" ht="35.25" customHeight="1" thickBot="1">
      <c r="A289" s="350"/>
      <c r="B289" s="125"/>
      <c r="C289" s="125"/>
      <c r="D289" s="125"/>
      <c r="E289" s="351" t="s">
        <v>23</v>
      </c>
      <c r="F289" s="352"/>
      <c r="G289" s="353"/>
      <c r="H289" s="107">
        <f>0</f>
        <v>0</v>
      </c>
      <c r="I289" s="107">
        <f>1-1</f>
        <v>0</v>
      </c>
      <c r="J289" s="107">
        <f>2-2</f>
        <v>0</v>
      </c>
      <c r="K289" s="107">
        <f>1-1+1-1</f>
        <v>0</v>
      </c>
      <c r="L289" s="107">
        <f>14-1-1-1</f>
        <v>11</v>
      </c>
      <c r="M289" s="107">
        <f>2-2</f>
        <v>0</v>
      </c>
      <c r="N289" s="107">
        <f>17-2-1</f>
        <v>14</v>
      </c>
      <c r="O289" s="107">
        <f>0</f>
        <v>0</v>
      </c>
      <c r="P289" s="107">
        <f>0</f>
        <v>0</v>
      </c>
      <c r="Q289" s="356">
        <f>SUM(H289:P289)</f>
        <v>25</v>
      </c>
      <c r="R289" s="357"/>
      <c r="S289" s="247" t="s">
        <v>154</v>
      </c>
      <c r="T289" s="247">
        <v>2</v>
      </c>
      <c r="U289" s="247"/>
      <c r="V289" s="247"/>
      <c r="W289" s="354"/>
      <c r="X289" s="141"/>
    </row>
    <row r="290" spans="1:24" s="98" customFormat="1" ht="32.25" customHeight="1" thickBot="1">
      <c r="A290" s="140"/>
      <c r="B290" s="141"/>
      <c r="C290" s="141"/>
      <c r="D290" s="141"/>
      <c r="E290" s="141"/>
      <c r="F290" s="141"/>
      <c r="G290" s="141"/>
      <c r="H290" s="141"/>
      <c r="I290" s="141"/>
      <c r="K290" s="247"/>
      <c r="L290" s="247"/>
      <c r="M290" s="247"/>
      <c r="N290" s="247"/>
      <c r="O290" s="247"/>
      <c r="P290" s="247"/>
      <c r="Q290" s="358">
        <f>SUM(Q287:Q289)</f>
        <v>559</v>
      </c>
      <c r="R290" s="359"/>
      <c r="U290" s="141"/>
    </row>
    <row r="291" spans="1:24" s="98" customFormat="1" ht="15.75" customHeight="1">
      <c r="A291" s="140"/>
      <c r="B291" s="141"/>
      <c r="C291" s="141"/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141"/>
      <c r="R291" s="141"/>
      <c r="S291" s="141"/>
      <c r="T291" s="141"/>
      <c r="U291" s="141" t="s">
        <v>155</v>
      </c>
    </row>
    <row r="292" spans="1:24" s="98" customFormat="1" ht="15.75" customHeight="1">
      <c r="A292" s="140"/>
      <c r="B292" s="141"/>
      <c r="C292" s="141"/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Q292" s="141"/>
      <c r="R292" s="141"/>
      <c r="S292" s="141"/>
      <c r="T292" s="141"/>
      <c r="U292" s="141"/>
    </row>
    <row r="293" spans="1:24" s="98" customFormat="1" ht="20" customHeight="1">
      <c r="A293" s="360" t="s">
        <v>156</v>
      </c>
      <c r="B293" s="361"/>
      <c r="C293" s="361"/>
      <c r="D293" s="361"/>
      <c r="E293" s="361"/>
      <c r="F293" s="361"/>
      <c r="G293" s="361"/>
      <c r="H293" s="361"/>
      <c r="I293" s="361"/>
      <c r="J293" s="361"/>
      <c r="K293" s="361"/>
      <c r="L293" s="361"/>
      <c r="M293" s="361"/>
      <c r="N293" s="361"/>
      <c r="O293" s="361"/>
      <c r="P293" s="361"/>
      <c r="Q293" s="361"/>
      <c r="R293" s="362"/>
      <c r="S293" s="363"/>
      <c r="T293" s="364"/>
      <c r="U293" s="141"/>
    </row>
    <row r="294" spans="1:24" s="98" customFormat="1" ht="20" customHeight="1">
      <c r="A294" s="365" t="s">
        <v>5</v>
      </c>
      <c r="B294" s="304" t="s">
        <v>48</v>
      </c>
      <c r="C294" s="305"/>
      <c r="D294" s="305"/>
      <c r="E294" s="305"/>
      <c r="F294" s="305"/>
      <c r="G294" s="305"/>
      <c r="H294" s="305"/>
      <c r="I294" s="305"/>
      <c r="J294" s="305"/>
      <c r="K294" s="305"/>
      <c r="L294" s="305"/>
      <c r="M294" s="305"/>
      <c r="N294" s="305"/>
      <c r="O294" s="305"/>
      <c r="P294" s="305"/>
      <c r="Q294" s="305"/>
      <c r="R294" s="306"/>
      <c r="S294" s="141"/>
    </row>
    <row r="295" spans="1:24" s="98" customFormat="1" ht="20" customHeight="1">
      <c r="A295" s="366" t="s">
        <v>20</v>
      </c>
      <c r="B295" s="304">
        <f>207-207+200-1-10-1-1-1-6-1-1-4-3-1-10-2-1-25-1-2-2-4-1-6-10-1-1-1-2-52-1-2+209-3+2+252-1+27-2</f>
        <v>530</v>
      </c>
      <c r="C295" s="305"/>
      <c r="D295" s="305"/>
      <c r="E295" s="305"/>
      <c r="F295" s="305"/>
      <c r="G295" s="305"/>
      <c r="H295" s="305"/>
      <c r="I295" s="305"/>
      <c r="J295" s="305"/>
      <c r="K295" s="305"/>
      <c r="L295" s="305"/>
      <c r="M295" s="305"/>
      <c r="N295" s="305"/>
      <c r="O295" s="305"/>
      <c r="P295" s="305"/>
      <c r="Q295" s="306"/>
      <c r="R295" s="367">
        <f>SUM(B295)</f>
        <v>530</v>
      </c>
      <c r="S295" s="141"/>
    </row>
    <row r="296" spans="1:24" s="98" customFormat="1" ht="20" customHeight="1">
      <c r="A296" s="366" t="s">
        <v>19</v>
      </c>
      <c r="B296" s="304">
        <f>23-23+80-5-26-5-6-2-2-13-11-1-1-8+35-31-1-10+141-1-3-1+19+122-3+121-8+3+42-1-2</f>
        <v>422</v>
      </c>
      <c r="C296" s="305"/>
      <c r="D296" s="305"/>
      <c r="E296" s="305"/>
      <c r="F296" s="305"/>
      <c r="G296" s="305"/>
      <c r="H296" s="305"/>
      <c r="I296" s="305"/>
      <c r="J296" s="305"/>
      <c r="K296" s="305"/>
      <c r="L296" s="305"/>
      <c r="M296" s="305"/>
      <c r="N296" s="305"/>
      <c r="O296" s="305"/>
      <c r="P296" s="305"/>
      <c r="Q296" s="306"/>
      <c r="R296" s="367">
        <f>SUM(B296)</f>
        <v>422</v>
      </c>
      <c r="S296" s="141"/>
    </row>
    <row r="297" spans="1:24" s="98" customFormat="1" ht="20" customHeight="1" thickBot="1">
      <c r="A297" s="366" t="s">
        <v>145</v>
      </c>
      <c r="B297" s="200">
        <f>80-80+79-1-4-1-1-30-1-6-1-10-1-2-2-3-1-3-4-1-1-1-2-1-2</f>
        <v>0</v>
      </c>
      <c r="C297" s="368"/>
      <c r="D297" s="368"/>
      <c r="E297" s="368"/>
      <c r="F297" s="368"/>
      <c r="G297" s="368"/>
      <c r="H297" s="368"/>
      <c r="I297" s="368"/>
      <c r="J297" s="368"/>
      <c r="K297" s="368"/>
      <c r="L297" s="368"/>
      <c r="M297" s="368"/>
      <c r="N297" s="368"/>
      <c r="O297" s="368"/>
      <c r="P297" s="368"/>
      <c r="Q297" s="201"/>
      <c r="R297" s="369">
        <f>SUM(B297)</f>
        <v>0</v>
      </c>
      <c r="S297" s="141"/>
    </row>
    <row r="298" spans="1:24" s="98" customFormat="1" ht="20" customHeight="1" thickBot="1">
      <c r="A298" s="140"/>
      <c r="B298" s="141"/>
      <c r="C298" s="141"/>
      <c r="D298" s="141"/>
      <c r="E298" s="141"/>
      <c r="F298" s="141"/>
      <c r="G298" s="141"/>
      <c r="H298" s="141"/>
      <c r="I298" s="141"/>
      <c r="J298" s="141"/>
      <c r="K298" s="141"/>
      <c r="L298" s="141"/>
      <c r="M298" s="141"/>
      <c r="N298" s="141"/>
      <c r="O298" s="141"/>
      <c r="P298" s="141"/>
      <c r="Q298" s="370">
        <f>SUM(R295:R297)</f>
        <v>952</v>
      </c>
      <c r="R298" s="371"/>
      <c r="S298" s="141"/>
    </row>
    <row r="299" spans="1:24" s="98" customFormat="1" ht="20" customHeight="1">
      <c r="A299" s="140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41"/>
      <c r="R299" s="141"/>
      <c r="S299" s="141"/>
    </row>
    <row r="300" spans="1:24" s="98" customFormat="1" ht="20" customHeight="1">
      <c r="A300" s="140"/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41"/>
      <c r="R300" s="141"/>
      <c r="S300" s="141"/>
      <c r="T300" s="141"/>
      <c r="U300" s="141"/>
    </row>
    <row r="301" spans="1:24" s="98" customFormat="1" ht="20" customHeight="1">
      <c r="A301" s="372" t="s">
        <v>157</v>
      </c>
      <c r="B301" s="373"/>
      <c r="C301" s="373"/>
      <c r="D301" s="373"/>
      <c r="E301" s="373"/>
      <c r="F301" s="373"/>
      <c r="G301" s="373"/>
      <c r="H301" s="373"/>
      <c r="I301" s="373"/>
      <c r="J301" s="373"/>
      <c r="K301" s="373"/>
      <c r="L301" s="373"/>
      <c r="M301" s="373"/>
      <c r="N301" s="373"/>
      <c r="O301" s="373"/>
      <c r="P301" s="373"/>
      <c r="Q301" s="373"/>
      <c r="R301" s="373"/>
      <c r="S301" s="373"/>
      <c r="T301" s="373"/>
      <c r="U301" s="141"/>
    </row>
    <row r="302" spans="1:24" s="98" customFormat="1" ht="20" customHeight="1">
      <c r="A302" s="260" t="s">
        <v>90</v>
      </c>
      <c r="B302" s="374" t="s">
        <v>158</v>
      </c>
      <c r="C302" s="375"/>
      <c r="D302" s="375"/>
      <c r="E302" s="375"/>
      <c r="F302" s="375"/>
      <c r="G302" s="375"/>
      <c r="H302" s="375"/>
      <c r="I302" s="375"/>
      <c r="J302" s="376"/>
      <c r="K302" s="374" t="s">
        <v>159</v>
      </c>
      <c r="L302" s="375"/>
      <c r="M302" s="375"/>
      <c r="N302" s="375"/>
      <c r="O302" s="375"/>
      <c r="P302" s="375"/>
      <c r="Q302" s="375"/>
      <c r="R302" s="376"/>
      <c r="S302" s="304" t="s">
        <v>57</v>
      </c>
      <c r="T302" s="306"/>
      <c r="U302" s="141"/>
    </row>
    <row r="303" spans="1:24" s="98" customFormat="1" ht="27" customHeight="1">
      <c r="A303" s="366" t="s">
        <v>61</v>
      </c>
      <c r="B303" s="377">
        <f>53+82+108+31+132+5-10-2-399+114-30-1-40-1-1-1+2-1-1-5-5-2-2-6-19-1+43-4-4-1-4-4-3-1-2-1-12-7+60-1+50-1+50-1-33-15</f>
        <v>109</v>
      </c>
      <c r="C303" s="378"/>
      <c r="D303" s="378"/>
      <c r="E303" s="378"/>
      <c r="F303" s="378"/>
      <c r="G303" s="378"/>
      <c r="H303" s="378"/>
      <c r="I303" s="378"/>
      <c r="J303" s="379"/>
      <c r="K303" s="377">
        <f>15-10-2-2-1+391+180-82-7-80-10-3-1-12-101-1-4</f>
        <v>270</v>
      </c>
      <c r="L303" s="378"/>
      <c r="M303" s="378"/>
      <c r="N303" s="378"/>
      <c r="O303" s="378"/>
      <c r="P303" s="378"/>
      <c r="Q303" s="378"/>
      <c r="R303" s="379"/>
      <c r="S303" s="380">
        <f>SUM(B303:R303)</f>
        <v>379</v>
      </c>
      <c r="T303" s="381"/>
      <c r="U303" s="141"/>
    </row>
    <row r="304" spans="1:24" s="98" customFormat="1" ht="20" customHeight="1">
      <c r="A304" s="366" t="s">
        <v>24</v>
      </c>
      <c r="B304" s="377">
        <f>31+5+214-250+30-1</f>
        <v>29</v>
      </c>
      <c r="C304" s="378"/>
      <c r="D304" s="378"/>
      <c r="E304" s="378"/>
      <c r="F304" s="378"/>
      <c r="G304" s="378"/>
      <c r="H304" s="378"/>
      <c r="I304" s="378"/>
      <c r="J304" s="379"/>
      <c r="K304" s="377">
        <f>489+5-2-1-1-1-55-3-1-1-1-1-1-3-1-422+389-1-1-1</f>
        <v>386</v>
      </c>
      <c r="L304" s="378"/>
      <c r="M304" s="378"/>
      <c r="N304" s="378"/>
      <c r="O304" s="378"/>
      <c r="P304" s="378"/>
      <c r="Q304" s="378"/>
      <c r="R304" s="379"/>
      <c r="S304" s="380">
        <f>SUM(B304:R304)</f>
        <v>415</v>
      </c>
      <c r="T304" s="381"/>
      <c r="U304" s="141"/>
    </row>
    <row r="305" spans="1:23" s="98" customFormat="1" ht="20" customHeight="1">
      <c r="A305" s="140"/>
      <c r="B305" s="141"/>
      <c r="C305" s="141"/>
      <c r="D305" s="141"/>
      <c r="E305" s="141"/>
      <c r="F305" s="141"/>
      <c r="G305" s="141"/>
      <c r="H305" s="141"/>
      <c r="I305" s="141"/>
      <c r="J305" s="141"/>
      <c r="K305" s="141"/>
      <c r="L305" s="141"/>
      <c r="M305" s="141"/>
      <c r="N305" s="141"/>
      <c r="O305" s="141"/>
      <c r="P305" s="141"/>
      <c r="Q305" s="141"/>
      <c r="R305" s="141"/>
      <c r="S305" s="382">
        <f>SUM(S303:S304)</f>
        <v>794</v>
      </c>
      <c r="T305" s="383"/>
      <c r="U305" s="141"/>
    </row>
    <row r="308" spans="1:23" ht="15.75" customHeight="1" thickBot="1"/>
    <row r="309" spans="1:23" ht="15" customHeight="1">
      <c r="A309" s="340" t="s">
        <v>160</v>
      </c>
      <c r="B309" s="340"/>
      <c r="C309" s="340"/>
      <c r="D309" s="340"/>
      <c r="E309" s="340"/>
      <c r="F309" s="340"/>
      <c r="G309" s="340"/>
      <c r="H309" s="340"/>
      <c r="I309" s="340"/>
      <c r="J309" s="340"/>
      <c r="K309" s="340"/>
      <c r="L309" s="340"/>
      <c r="M309" s="340"/>
      <c r="N309" s="340"/>
      <c r="O309" s="340"/>
      <c r="P309" s="340"/>
      <c r="Q309" s="340"/>
      <c r="R309" s="340"/>
      <c r="S309" s="340"/>
      <c r="T309" s="340"/>
      <c r="U309" s="341"/>
    </row>
    <row r="310" spans="1:23" ht="32" customHeight="1" thickBot="1">
      <c r="A310" s="342"/>
      <c r="B310" s="342"/>
      <c r="C310" s="342"/>
      <c r="D310" s="342"/>
      <c r="E310" s="342"/>
      <c r="F310" s="342"/>
      <c r="G310" s="342"/>
      <c r="H310" s="342"/>
      <c r="I310" s="342"/>
      <c r="J310" s="342"/>
      <c r="K310" s="342"/>
      <c r="L310" s="342"/>
      <c r="M310" s="342"/>
      <c r="N310" s="342"/>
      <c r="O310" s="342"/>
      <c r="P310" s="342"/>
      <c r="Q310" s="342"/>
      <c r="R310" s="342"/>
      <c r="S310" s="342"/>
      <c r="T310" s="342"/>
      <c r="U310" s="343"/>
    </row>
    <row r="312" spans="1:23" s="98" customFormat="1" ht="20" customHeight="1">
      <c r="A312" s="384" t="s">
        <v>161</v>
      </c>
      <c r="B312" s="385"/>
      <c r="C312" s="385"/>
      <c r="D312" s="385"/>
      <c r="E312" s="385"/>
      <c r="F312" s="385"/>
      <c r="G312" s="385"/>
      <c r="H312" s="385"/>
      <c r="I312" s="385"/>
      <c r="J312" s="385"/>
      <c r="K312" s="385"/>
      <c r="L312" s="385"/>
      <c r="M312" s="385"/>
      <c r="N312" s="385"/>
      <c r="O312" s="385"/>
      <c r="P312" s="385"/>
      <c r="Q312" s="385"/>
      <c r="R312" s="385"/>
      <c r="S312" s="385"/>
      <c r="T312" s="385"/>
      <c r="U312" s="385"/>
    </row>
    <row r="313" spans="1:23" s="98" customFormat="1" ht="20" customHeight="1">
      <c r="A313" s="386"/>
      <c r="B313" s="387"/>
      <c r="C313" s="387"/>
      <c r="D313" s="387"/>
      <c r="E313" s="387"/>
      <c r="F313" s="387"/>
      <c r="G313" s="387"/>
      <c r="H313" s="387"/>
      <c r="I313" s="387"/>
      <c r="J313" s="387"/>
      <c r="K313" s="387"/>
      <c r="L313" s="387"/>
      <c r="M313" s="387"/>
      <c r="N313" s="387"/>
      <c r="O313" s="387"/>
      <c r="P313" s="387"/>
      <c r="Q313" s="387"/>
      <c r="R313" s="387"/>
      <c r="S313" s="387"/>
      <c r="T313" s="387"/>
      <c r="U313" s="387"/>
    </row>
    <row r="314" spans="1:23" s="98" customFormat="1" ht="20" customHeight="1">
      <c r="A314" s="100"/>
      <c r="B314" s="304" t="s">
        <v>3</v>
      </c>
      <c r="C314" s="305"/>
      <c r="D314" s="305"/>
      <c r="E314" s="305"/>
      <c r="F314" s="305"/>
      <c r="G314" s="305"/>
      <c r="H314" s="305"/>
      <c r="I314" s="306"/>
      <c r="J314" s="304" t="s">
        <v>149</v>
      </c>
      <c r="K314" s="305"/>
      <c r="L314" s="305"/>
      <c r="M314" s="305"/>
      <c r="N314" s="305"/>
      <c r="O314" s="305"/>
      <c r="P314" s="305"/>
      <c r="Q314" s="305"/>
      <c r="R314" s="305"/>
      <c r="S314" s="306"/>
      <c r="V314" s="200" t="s">
        <v>57</v>
      </c>
      <c r="W314" s="201"/>
    </row>
    <row r="315" spans="1:23" s="98" customFormat="1" ht="20" customHeight="1">
      <c r="A315" s="100" t="s">
        <v>150</v>
      </c>
      <c r="B315" s="102">
        <v>5</v>
      </c>
      <c r="C315" s="102">
        <v>7</v>
      </c>
      <c r="D315" s="102">
        <v>9</v>
      </c>
      <c r="E315" s="102">
        <v>11</v>
      </c>
      <c r="F315" s="102">
        <v>13</v>
      </c>
      <c r="G315" s="102">
        <v>15</v>
      </c>
      <c r="H315" s="102">
        <v>17</v>
      </c>
      <c r="I315" s="102">
        <v>19</v>
      </c>
      <c r="J315" s="102">
        <v>28</v>
      </c>
      <c r="K315" s="102">
        <v>30</v>
      </c>
      <c r="L315" s="102">
        <v>32</v>
      </c>
      <c r="M315" s="102">
        <v>34</v>
      </c>
      <c r="N315" s="102">
        <v>36</v>
      </c>
      <c r="O315" s="102">
        <v>38</v>
      </c>
      <c r="P315" s="102"/>
      <c r="Q315" s="102">
        <v>40</v>
      </c>
      <c r="R315" s="102">
        <v>42</v>
      </c>
      <c r="S315" s="102">
        <v>44</v>
      </c>
      <c r="T315" s="102">
        <v>46</v>
      </c>
      <c r="V315" s="205"/>
      <c r="W315" s="206"/>
    </row>
    <row r="316" spans="1:23" s="98" customFormat="1" ht="20" customHeight="1">
      <c r="A316" s="331" t="s">
        <v>151</v>
      </c>
      <c r="B316" s="332">
        <f>118-2-3-2-1+40-2-1</f>
        <v>147</v>
      </c>
      <c r="C316" s="332">
        <f>166-1-1+1-1-1+1-1-2+20-1-1-3</f>
        <v>176</v>
      </c>
      <c r="D316" s="332">
        <f>83-6-1-1+1-1-2-3+109-1-1-1+1-3+3-1-2</f>
        <v>174</v>
      </c>
      <c r="E316" s="332">
        <f>147-1-14-1+1-1-1</f>
        <v>130</v>
      </c>
      <c r="F316" s="332">
        <f>96-3-2-1-1-1+1-1</f>
        <v>88</v>
      </c>
      <c r="G316" s="332">
        <f>83-1+2-1-1</f>
        <v>82</v>
      </c>
      <c r="H316" s="332">
        <f>62-1-4-1</f>
        <v>56</v>
      </c>
      <c r="I316" s="332">
        <f>92-4-41-3-1-3+3</f>
        <v>43</v>
      </c>
      <c r="J316" s="332">
        <f>234-5-1-100-1+1+1-1-3-1+1-4-1-1-8</f>
        <v>111</v>
      </c>
      <c r="K316" s="332">
        <f>180-1-28+50-28-2-1-1-1-1-1-6+1+1-6-1-1-1-3-5+45-1-4-1-3-3+1-1-17-2-6-1</f>
        <v>152</v>
      </c>
      <c r="L316" s="388">
        <f>0+5-5+45-23-1-1-5-2-1-1-7+1-2+1-1-3+280-3-17-4-2-3-3-2-1-2-14-5-1-3-1-3-1-46-9</f>
        <v>160</v>
      </c>
      <c r="M316" s="332">
        <f>235-3-14-4-4-1-1-1-4-6-5-12-1-4-3-2-1-5-1-2-5-4-6-5-12-1-1-1-9-30-1</f>
        <v>86</v>
      </c>
      <c r="N316" s="332">
        <f>50-1-2-12-1-1-1-1-1+1-6-1-2-1-1-6-1-1-3+3-1-3-2-1-3-1+210-6-23-6-3-1-3-1-2-2-1-2-1-3-3-1-1-2</f>
        <v>150</v>
      </c>
      <c r="O316" s="332">
        <f>0+2+3-1-1+1-1-1-1-1+1-1+135-6-14-2-3-6-4+3-1-6-2-1-1+1-32-6</f>
        <v>55</v>
      </c>
      <c r="P316" s="332"/>
      <c r="Q316" s="332">
        <f>21-2-1+1-1-1-3+3-4-3+65-11-1-1-8-3-3</f>
        <v>48</v>
      </c>
      <c r="R316" s="389">
        <f>22-1-12-1-1+1-2-1+1+44-2-1-1-6</f>
        <v>40</v>
      </c>
      <c r="S316" s="389">
        <f>30-6-1+1-1-1-1-1</f>
        <v>20</v>
      </c>
      <c r="T316" s="389">
        <f>14-1+1-1-1-1</f>
        <v>11</v>
      </c>
      <c r="V316" s="200">
        <f>+B316+C316+D316+E316+F316+G316+H316+I316+J316+K316+L316+M316+N316+O316+Q316+R316+S316+T316</f>
        <v>1729</v>
      </c>
      <c r="W316" s="201"/>
    </row>
    <row r="317" spans="1:23" s="98" customFormat="1" ht="20" customHeight="1">
      <c r="A317" s="335"/>
      <c r="B317" s="390"/>
      <c r="C317" s="390"/>
      <c r="D317" s="390"/>
      <c r="E317" s="390"/>
      <c r="F317" s="390"/>
      <c r="G317" s="390"/>
      <c r="H317" s="390"/>
      <c r="I317" s="390"/>
      <c r="J317" s="390"/>
      <c r="K317" s="390"/>
      <c r="L317" s="391"/>
      <c r="M317" s="390"/>
      <c r="N317" s="390"/>
      <c r="O317" s="390"/>
      <c r="P317" s="390"/>
      <c r="Q317" s="390"/>
      <c r="R317" s="392"/>
      <c r="S317" s="392"/>
      <c r="T317" s="392"/>
      <c r="V317" s="205"/>
      <c r="W317" s="206"/>
    </row>
    <row r="318" spans="1:23" ht="51">
      <c r="A318" s="393" t="s">
        <v>162</v>
      </c>
      <c r="B318" s="394"/>
      <c r="C318" s="394"/>
      <c r="D318" s="394"/>
      <c r="E318" s="394"/>
      <c r="F318" s="394"/>
      <c r="G318" s="394"/>
      <c r="H318" s="394"/>
      <c r="I318" s="394"/>
      <c r="J318" s="394"/>
      <c r="K318" s="394"/>
      <c r="L318" s="394"/>
      <c r="M318" s="395">
        <f>25-1</f>
        <v>24</v>
      </c>
      <c r="N318" s="394"/>
      <c r="O318" s="394"/>
      <c r="P318" s="394"/>
      <c r="Q318" s="394"/>
      <c r="R318" s="394"/>
      <c r="S318" s="394"/>
      <c r="T318" s="394"/>
    </row>
    <row r="319" spans="1:23" ht="16">
      <c r="A319" s="396"/>
    </row>
    <row r="320" spans="1:23" ht="15.75" customHeight="1" thickBot="1">
      <c r="A320" s="397"/>
    </row>
    <row r="321" spans="1:21" ht="15" customHeight="1">
      <c r="A321" s="340" t="s">
        <v>163</v>
      </c>
      <c r="B321" s="340"/>
      <c r="C321" s="340"/>
      <c r="D321" s="340"/>
      <c r="E321" s="340"/>
      <c r="F321" s="340"/>
      <c r="G321" s="340"/>
      <c r="H321" s="340"/>
      <c r="I321" s="340"/>
      <c r="J321" s="340"/>
      <c r="K321" s="340"/>
      <c r="L321" s="340"/>
      <c r="M321" s="340"/>
      <c r="N321" s="340"/>
      <c r="O321" s="340"/>
      <c r="P321" s="340"/>
      <c r="Q321" s="340"/>
      <c r="R321" s="340"/>
      <c r="S321" s="340"/>
      <c r="T321" s="340"/>
      <c r="U321" s="341"/>
    </row>
    <row r="322" spans="1:21" ht="47.5" customHeight="1" thickBot="1">
      <c r="A322" s="342"/>
      <c r="B322" s="342"/>
      <c r="C322" s="342"/>
      <c r="D322" s="342"/>
      <c r="E322" s="342"/>
      <c r="F322" s="342"/>
      <c r="G322" s="342"/>
      <c r="H322" s="342"/>
      <c r="I322" s="342"/>
      <c r="J322" s="342"/>
      <c r="K322" s="342"/>
      <c r="L322" s="342"/>
      <c r="M322" s="342"/>
      <c r="N322" s="342"/>
      <c r="O322" s="342"/>
      <c r="P322" s="342"/>
      <c r="Q322" s="342"/>
      <c r="R322" s="342"/>
      <c r="S322" s="342"/>
      <c r="T322" s="342"/>
      <c r="U322" s="343"/>
    </row>
    <row r="324" spans="1:21" s="98" customFormat="1" ht="20" customHeight="1">
      <c r="A324" s="398" t="s">
        <v>164</v>
      </c>
      <c r="B324" s="399"/>
      <c r="C324" s="399"/>
      <c r="D324" s="399"/>
      <c r="E324" s="399"/>
      <c r="F324" s="399"/>
      <c r="G324" s="399"/>
      <c r="H324" s="399"/>
      <c r="I324" s="399"/>
      <c r="J324" s="399"/>
      <c r="K324" s="399"/>
      <c r="L324" s="399"/>
      <c r="M324" s="191"/>
      <c r="N324" s="191"/>
      <c r="O324" s="191"/>
      <c r="P324" s="191"/>
      <c r="Q324" s="191"/>
      <c r="R324" s="191"/>
      <c r="S324" s="142"/>
      <c r="T324" s="142"/>
      <c r="U324" s="191"/>
    </row>
    <row r="325" spans="1:21" s="98" customFormat="1" ht="20" customHeight="1">
      <c r="A325" s="173" t="s">
        <v>90</v>
      </c>
      <c r="B325" s="400" t="s">
        <v>10</v>
      </c>
      <c r="C325" s="400" t="s">
        <v>11</v>
      </c>
      <c r="D325" s="400" t="s">
        <v>12</v>
      </c>
      <c r="E325" s="400" t="s">
        <v>13</v>
      </c>
      <c r="F325" s="400" t="s">
        <v>14</v>
      </c>
      <c r="G325" s="400" t="s">
        <v>15</v>
      </c>
      <c r="H325" s="400" t="s">
        <v>16</v>
      </c>
      <c r="I325" s="400" t="s">
        <v>17</v>
      </c>
      <c r="J325" s="400" t="s">
        <v>18</v>
      </c>
      <c r="K325" s="401" t="s">
        <v>69</v>
      </c>
      <c r="L325" s="402"/>
      <c r="M325" s="141"/>
      <c r="N325" s="141"/>
      <c r="O325" s="141"/>
      <c r="P325" s="141"/>
      <c r="Q325" s="141"/>
      <c r="R325" s="141"/>
      <c r="S325" s="141"/>
      <c r="T325" s="141"/>
      <c r="U325" s="141"/>
    </row>
    <row r="326" spans="1:21" s="98" customFormat="1" ht="20" customHeight="1">
      <c r="A326" s="195"/>
      <c r="B326" s="403"/>
      <c r="C326" s="403"/>
      <c r="D326" s="403"/>
      <c r="E326" s="403"/>
      <c r="F326" s="403"/>
      <c r="G326" s="403"/>
      <c r="H326" s="403"/>
      <c r="I326" s="403"/>
      <c r="J326" s="403"/>
      <c r="K326" s="404"/>
      <c r="L326" s="405"/>
      <c r="M326" s="141"/>
      <c r="N326" s="141"/>
      <c r="O326" s="141"/>
      <c r="P326" s="141"/>
      <c r="Q326" s="141"/>
      <c r="R326" s="141"/>
      <c r="S326" s="141"/>
      <c r="T326" s="141"/>
      <c r="U326" s="141"/>
    </row>
    <row r="327" spans="1:21" s="98" customFormat="1" ht="20" customHeight="1">
      <c r="A327" s="117" t="s">
        <v>94</v>
      </c>
      <c r="B327" s="107">
        <f>55</f>
        <v>55</v>
      </c>
      <c r="C327" s="107">
        <f>105-2-5+1-1-1</f>
        <v>97</v>
      </c>
      <c r="D327" s="107">
        <f>158-3+1-1</f>
        <v>155</v>
      </c>
      <c r="E327" s="107"/>
      <c r="F327" s="107">
        <f>95-1-5-1</f>
        <v>88</v>
      </c>
      <c r="G327" s="107">
        <f>111</f>
        <v>111</v>
      </c>
      <c r="H327" s="107">
        <f>14</f>
        <v>14</v>
      </c>
      <c r="I327" s="107"/>
      <c r="J327" s="107"/>
      <c r="K327" s="210">
        <f>B327+C327+D327+E327+F327+G327+H327</f>
        <v>520</v>
      </c>
      <c r="L327" s="211"/>
      <c r="M327" s="141"/>
      <c r="N327" s="141"/>
      <c r="O327" s="141"/>
      <c r="P327" s="141"/>
      <c r="Q327" s="141"/>
      <c r="R327" s="141"/>
      <c r="S327" s="141"/>
      <c r="T327" s="141"/>
      <c r="U327" s="141"/>
    </row>
    <row r="328" spans="1:21" s="98" customFormat="1" ht="20" customHeight="1">
      <c r="A328" s="117" t="s">
        <v>33</v>
      </c>
      <c r="B328" s="107"/>
      <c r="C328" s="107"/>
      <c r="D328" s="107"/>
      <c r="E328" s="107">
        <v>2</v>
      </c>
      <c r="F328" s="107"/>
      <c r="G328" s="107"/>
      <c r="H328" s="107"/>
      <c r="I328" s="107"/>
      <c r="J328" s="107"/>
      <c r="K328" s="210">
        <f>B328+C328+D328+E328+F328+G328+H328</f>
        <v>2</v>
      </c>
      <c r="L328" s="211"/>
      <c r="M328" s="141"/>
      <c r="N328" s="141"/>
      <c r="O328" s="141"/>
      <c r="P328" s="141"/>
      <c r="Q328" s="141"/>
      <c r="R328" s="141"/>
      <c r="S328" s="141"/>
      <c r="T328" s="141"/>
      <c r="U328" s="141"/>
    </row>
    <row r="329" spans="1:21" s="98" customFormat="1" ht="20" customHeight="1">
      <c r="A329" s="117" t="s">
        <v>23</v>
      </c>
      <c r="B329" s="107"/>
      <c r="C329" s="107"/>
      <c r="D329" s="107">
        <f>10</f>
        <v>10</v>
      </c>
      <c r="E329" s="107"/>
      <c r="F329" s="107"/>
      <c r="G329" s="107"/>
      <c r="H329" s="107"/>
      <c r="I329" s="107"/>
      <c r="J329" s="107"/>
      <c r="K329" s="210">
        <f>B329+C329+D329+E329+F329+G329+H329</f>
        <v>10</v>
      </c>
      <c r="L329" s="211"/>
      <c r="M329" s="141"/>
      <c r="N329" s="141"/>
      <c r="O329" s="141"/>
      <c r="P329" s="141"/>
      <c r="Q329" s="141"/>
      <c r="R329" s="141"/>
      <c r="S329" s="141"/>
      <c r="T329" s="141"/>
      <c r="U329" s="141"/>
    </row>
    <row r="330" spans="1:21" s="98" customFormat="1" ht="20" customHeight="1">
      <c r="A330" s="117" t="s">
        <v>165</v>
      </c>
      <c r="B330" s="107"/>
      <c r="C330" s="107"/>
      <c r="D330" s="107"/>
      <c r="E330" s="107"/>
      <c r="F330" s="107"/>
      <c r="G330" s="107"/>
      <c r="H330" s="107"/>
      <c r="I330" s="107"/>
      <c r="J330" s="107"/>
      <c r="K330" s="210"/>
      <c r="L330" s="211"/>
      <c r="M330" s="141"/>
      <c r="N330" s="141"/>
      <c r="O330" s="141"/>
      <c r="P330" s="141"/>
      <c r="Q330" s="141"/>
      <c r="R330" s="141"/>
      <c r="S330" s="141"/>
      <c r="T330" s="141"/>
      <c r="U330" s="141"/>
    </row>
    <row r="331" spans="1:21" s="98" customFormat="1" ht="20" customHeight="1">
      <c r="A331" s="117" t="s">
        <v>62</v>
      </c>
      <c r="B331" s="107">
        <f>5+1+1</f>
        <v>7</v>
      </c>
      <c r="C331" s="107"/>
      <c r="D331" s="107"/>
      <c r="E331" s="107"/>
      <c r="F331" s="107"/>
      <c r="G331" s="107"/>
      <c r="H331" s="107"/>
      <c r="I331" s="107"/>
      <c r="J331" s="107"/>
      <c r="K331" s="210">
        <f>B331+C331+D331+E331+F331+G331+H331</f>
        <v>7</v>
      </c>
      <c r="L331" s="211"/>
      <c r="M331" s="141"/>
      <c r="N331" s="141"/>
      <c r="O331" s="141"/>
      <c r="P331" s="141"/>
      <c r="Q331" s="141"/>
      <c r="R331" s="141"/>
      <c r="S331" s="141"/>
      <c r="T331" s="141"/>
      <c r="U331" s="141"/>
    </row>
    <row r="332" spans="1:21" s="98" customFormat="1" ht="20" customHeight="1">
      <c r="A332" s="117" t="s">
        <v>166</v>
      </c>
      <c r="B332" s="107"/>
      <c r="C332" s="107"/>
      <c r="D332" s="107"/>
      <c r="E332" s="107">
        <f>77-1</f>
        <v>76</v>
      </c>
      <c r="F332" s="107">
        <v>0</v>
      </c>
      <c r="G332" s="107">
        <v>0</v>
      </c>
      <c r="H332" s="107"/>
      <c r="I332" s="107"/>
      <c r="J332" s="107"/>
      <c r="K332" s="210">
        <f>B332+C332+D332+E332+F332+G332+H332</f>
        <v>76</v>
      </c>
      <c r="L332" s="211"/>
      <c r="M332" s="141"/>
      <c r="N332" s="141"/>
      <c r="O332" s="141"/>
      <c r="P332" s="141"/>
      <c r="Q332" s="141"/>
      <c r="R332" s="141"/>
      <c r="S332" s="141"/>
      <c r="T332" s="141"/>
      <c r="U332" s="141"/>
    </row>
    <row r="333" spans="1:21" s="98" customFormat="1" ht="20" customHeight="1">
      <c r="A333" s="140"/>
      <c r="B333" s="141"/>
      <c r="C333" s="141"/>
      <c r="D333" s="141"/>
      <c r="E333" s="141"/>
      <c r="F333" s="141"/>
      <c r="G333" s="141"/>
      <c r="H333" s="141"/>
      <c r="I333" s="141"/>
      <c r="J333" s="141"/>
      <c r="K333" s="406">
        <f>SUM(K327:K332)</f>
        <v>615</v>
      </c>
      <c r="L333" s="407"/>
      <c r="M333" s="141"/>
      <c r="N333" s="141"/>
      <c r="O333" s="141"/>
      <c r="P333" s="141"/>
      <c r="Q333" s="141"/>
      <c r="R333" s="141"/>
      <c r="S333" s="141"/>
      <c r="T333" s="141"/>
      <c r="U333" s="141"/>
    </row>
    <row r="334" spans="1:21" s="98" customFormat="1" ht="24.75" hidden="1" customHeight="1">
      <c r="A334" s="100" t="s">
        <v>22</v>
      </c>
      <c r="B334" s="210"/>
      <c r="C334" s="408"/>
      <c r="D334" s="408"/>
      <c r="E334" s="408"/>
      <c r="F334" s="408"/>
      <c r="G334" s="408"/>
      <c r="H334" s="408"/>
      <c r="I334" s="408"/>
      <c r="J334" s="408"/>
      <c r="K334" s="408"/>
      <c r="L334" s="408"/>
      <c r="M334" s="408"/>
      <c r="N334" s="408"/>
      <c r="O334" s="408"/>
      <c r="P334" s="408"/>
      <c r="Q334" s="408"/>
      <c r="R334" s="211"/>
      <c r="S334" s="409" t="e">
        <f>SUM(#REF!)</f>
        <v>#REF!</v>
      </c>
      <c r="T334" s="339"/>
      <c r="U334" s="141"/>
    </row>
    <row r="335" spans="1:21" s="98" customFormat="1" ht="24.75" hidden="1" customHeight="1">
      <c r="A335" s="100" t="s">
        <v>166</v>
      </c>
      <c r="B335" s="210"/>
      <c r="C335" s="408"/>
      <c r="D335" s="408"/>
      <c r="E335" s="408"/>
      <c r="F335" s="408"/>
      <c r="G335" s="408"/>
      <c r="H335" s="408"/>
      <c r="I335" s="408"/>
      <c r="J335" s="408"/>
      <c r="K335" s="408"/>
      <c r="L335" s="408"/>
      <c r="M335" s="408"/>
      <c r="N335" s="408"/>
      <c r="O335" s="408"/>
      <c r="P335" s="408"/>
      <c r="Q335" s="408"/>
      <c r="R335" s="211"/>
      <c r="S335" s="409" t="e">
        <f>SUM(#REF!)</f>
        <v>#REF!</v>
      </c>
      <c r="T335" s="339"/>
      <c r="U335" s="141"/>
    </row>
    <row r="336" spans="1:21" s="98" customFormat="1" ht="24.75" hidden="1" customHeight="1">
      <c r="A336" s="100" t="s">
        <v>61</v>
      </c>
      <c r="B336" s="210"/>
      <c r="C336" s="408"/>
      <c r="D336" s="408"/>
      <c r="E336" s="408"/>
      <c r="F336" s="408"/>
      <c r="G336" s="408"/>
      <c r="H336" s="408"/>
      <c r="I336" s="408"/>
      <c r="J336" s="408"/>
      <c r="K336" s="408"/>
      <c r="L336" s="408"/>
      <c r="M336" s="408"/>
      <c r="N336" s="408"/>
      <c r="O336" s="408"/>
      <c r="P336" s="408"/>
      <c r="Q336" s="408"/>
      <c r="R336" s="211"/>
      <c r="S336" s="409" t="e">
        <f>SUM(#REF!)</f>
        <v>#REF!</v>
      </c>
      <c r="T336" s="339"/>
      <c r="U336" s="141"/>
    </row>
    <row r="337" spans="1:21" s="98" customFormat="1" ht="24.75" hidden="1" customHeight="1">
      <c r="A337" s="100" t="s">
        <v>167</v>
      </c>
      <c r="B337" s="210"/>
      <c r="C337" s="408"/>
      <c r="D337" s="408"/>
      <c r="E337" s="408"/>
      <c r="F337" s="408"/>
      <c r="G337" s="408"/>
      <c r="H337" s="408"/>
      <c r="I337" s="408"/>
      <c r="J337" s="408"/>
      <c r="K337" s="408"/>
      <c r="L337" s="408"/>
      <c r="M337" s="408"/>
      <c r="N337" s="408"/>
      <c r="O337" s="408"/>
      <c r="P337" s="408"/>
      <c r="Q337" s="408"/>
      <c r="R337" s="211"/>
      <c r="S337" s="410" t="e">
        <f>SUM(#REF!)</f>
        <v>#REF!</v>
      </c>
      <c r="T337" s="339"/>
      <c r="U337" s="141"/>
    </row>
    <row r="338" spans="1:21" s="98" customFormat="1" ht="24.75" hidden="1" customHeight="1">
      <c r="A338" s="100" t="s">
        <v>168</v>
      </c>
      <c r="B338" s="210"/>
      <c r="C338" s="408"/>
      <c r="D338" s="408"/>
      <c r="E338" s="408"/>
      <c r="F338" s="408"/>
      <c r="G338" s="408"/>
      <c r="H338" s="408"/>
      <c r="I338" s="408"/>
      <c r="J338" s="408"/>
      <c r="K338" s="408"/>
      <c r="L338" s="408"/>
      <c r="M338" s="408"/>
      <c r="N338" s="408"/>
      <c r="O338" s="408"/>
      <c r="P338" s="408"/>
      <c r="Q338" s="408"/>
      <c r="R338" s="211"/>
      <c r="S338" s="410" t="e">
        <f>SUM(#REF!)</f>
        <v>#REF!</v>
      </c>
      <c r="T338" s="339"/>
      <c r="U338" s="141"/>
    </row>
    <row r="339" spans="1:21" s="98" customFormat="1" ht="27" hidden="1" customHeight="1">
      <c r="A339" s="140"/>
      <c r="B339" s="141"/>
      <c r="C339" s="141"/>
      <c r="D339" s="141"/>
      <c r="E339" s="141"/>
      <c r="F339" s="141"/>
      <c r="G339" s="141"/>
      <c r="H339" s="141"/>
      <c r="I339" s="141"/>
      <c r="J339" s="141"/>
      <c r="K339" s="141"/>
      <c r="L339" s="411" t="e">
        <f>SUM(#REF!)</f>
        <v>#REF!</v>
      </c>
      <c r="M339" s="141"/>
      <c r="N339" s="141"/>
      <c r="O339" s="141"/>
      <c r="P339" s="141"/>
      <c r="Q339" s="141"/>
      <c r="R339" s="141"/>
      <c r="S339" s="412" t="e">
        <f>SUM(S327:S338)</f>
        <v>#REF!</v>
      </c>
      <c r="T339" s="413"/>
      <c r="U339" s="141"/>
    </row>
    <row r="340" spans="1:21" s="98" customFormat="1" ht="21" hidden="1" customHeight="1">
      <c r="A340" s="140"/>
      <c r="B340" s="141"/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 t="s">
        <v>59</v>
      </c>
      <c r="T340" s="141"/>
      <c r="U340" s="141"/>
    </row>
    <row r="341" spans="1:21" s="98" customFormat="1" ht="20" hidden="1" customHeight="1">
      <c r="A341" s="414" t="s">
        <v>169</v>
      </c>
      <c r="B341" s="415"/>
      <c r="C341" s="415"/>
      <c r="D341" s="415"/>
      <c r="E341" s="415"/>
      <c r="F341" s="415"/>
      <c r="G341" s="415"/>
      <c r="H341" s="415"/>
      <c r="I341" s="415"/>
      <c r="J341" s="415"/>
      <c r="K341" s="415"/>
      <c r="L341" s="415"/>
      <c r="M341" s="141"/>
      <c r="N341" s="141"/>
      <c r="O341" s="141"/>
      <c r="P341" s="141"/>
      <c r="Q341" s="141"/>
      <c r="R341" s="141"/>
      <c r="S341" s="141"/>
      <c r="T341" s="141"/>
      <c r="U341" s="141"/>
    </row>
    <row r="342" spans="1:21" s="98" customFormat="1" ht="20" hidden="1" customHeight="1">
      <c r="A342" s="416"/>
      <c r="B342" s="203"/>
      <c r="C342" s="203"/>
      <c r="D342" s="203"/>
      <c r="E342" s="203"/>
      <c r="F342" s="203"/>
      <c r="G342" s="203"/>
      <c r="H342" s="203"/>
      <c r="I342" s="203"/>
      <c r="J342" s="203"/>
      <c r="K342" s="203"/>
      <c r="L342" s="203"/>
      <c r="M342" s="141"/>
      <c r="N342" s="141"/>
      <c r="O342" s="141"/>
      <c r="P342" s="141"/>
      <c r="Q342" s="141"/>
      <c r="R342" s="141"/>
      <c r="S342" s="141"/>
      <c r="T342" s="141"/>
      <c r="U342" s="141"/>
    </row>
    <row r="343" spans="1:21" s="98" customFormat="1" ht="20" hidden="1" customHeight="1">
      <c r="A343" s="304" t="s">
        <v>170</v>
      </c>
      <c r="B343" s="306"/>
      <c r="C343" s="304" t="s">
        <v>171</v>
      </c>
      <c r="D343" s="305"/>
      <c r="E343" s="305"/>
      <c r="F343" s="305"/>
      <c r="G343" s="305"/>
      <c r="H343" s="305"/>
      <c r="I343" s="305"/>
      <c r="J343" s="305"/>
      <c r="K343" s="305"/>
      <c r="L343" s="306"/>
      <c r="M343" s="141"/>
      <c r="N343" s="141"/>
      <c r="O343" s="141"/>
      <c r="P343" s="141"/>
      <c r="Q343" s="141"/>
      <c r="R343" s="141"/>
      <c r="S343" s="141"/>
      <c r="T343" s="141"/>
      <c r="U343" s="141"/>
    </row>
    <row r="344" spans="1:21" s="98" customFormat="1" ht="19.5" hidden="1" customHeight="1">
      <c r="A344" s="304"/>
      <c r="B344" s="306"/>
      <c r="C344" s="102" t="s">
        <v>10</v>
      </c>
      <c r="D344" s="102" t="s">
        <v>11</v>
      </c>
      <c r="E344" s="102" t="s">
        <v>54</v>
      </c>
      <c r="F344" s="102" t="s">
        <v>172</v>
      </c>
      <c r="G344" s="102" t="s">
        <v>56</v>
      </c>
      <c r="H344" s="102" t="s">
        <v>173</v>
      </c>
      <c r="I344" s="102" t="s">
        <v>71</v>
      </c>
      <c r="J344" s="102" t="s">
        <v>72</v>
      </c>
      <c r="K344" s="102" t="s">
        <v>73</v>
      </c>
      <c r="L344" s="102" t="s">
        <v>174</v>
      </c>
      <c r="M344" s="141"/>
      <c r="N344" s="141"/>
      <c r="O344" s="141"/>
      <c r="P344" s="141"/>
      <c r="Q344" s="141"/>
      <c r="R344" s="141"/>
      <c r="S344" s="141"/>
      <c r="T344" s="141"/>
      <c r="U344" s="141"/>
    </row>
    <row r="345" spans="1:21" s="98" customFormat="1" ht="24.75" hidden="1" customHeight="1">
      <c r="A345" s="100" t="s">
        <v>33</v>
      </c>
      <c r="B345" s="210"/>
      <c r="C345" s="408"/>
      <c r="D345" s="408"/>
      <c r="E345" s="408"/>
      <c r="F345" s="408"/>
      <c r="G345" s="408"/>
      <c r="H345" s="408"/>
      <c r="I345" s="408"/>
      <c r="J345" s="408"/>
      <c r="K345" s="408"/>
      <c r="L345" s="408"/>
      <c r="M345" s="408"/>
      <c r="N345" s="408"/>
      <c r="O345" s="408"/>
      <c r="P345" s="408"/>
      <c r="Q345" s="408"/>
      <c r="R345" s="211"/>
      <c r="S345" s="409" t="e">
        <f>SUM(#REF!)</f>
        <v>#REF!</v>
      </c>
      <c r="T345" s="339"/>
      <c r="U345" s="141"/>
    </row>
    <row r="346" spans="1:21" s="98" customFormat="1" ht="24.75" hidden="1" customHeight="1">
      <c r="A346" s="100" t="s">
        <v>22</v>
      </c>
      <c r="B346" s="210"/>
      <c r="C346" s="408"/>
      <c r="D346" s="408"/>
      <c r="E346" s="408"/>
      <c r="F346" s="408"/>
      <c r="G346" s="408"/>
      <c r="H346" s="408"/>
      <c r="I346" s="408"/>
      <c r="J346" s="408"/>
      <c r="K346" s="408"/>
      <c r="L346" s="408"/>
      <c r="M346" s="408"/>
      <c r="N346" s="408"/>
      <c r="O346" s="408"/>
      <c r="P346" s="408"/>
      <c r="Q346" s="408"/>
      <c r="R346" s="211"/>
      <c r="S346" s="409" t="e">
        <f>SUM(#REF!)</f>
        <v>#REF!</v>
      </c>
      <c r="T346" s="339"/>
      <c r="U346" s="141"/>
    </row>
    <row r="347" spans="1:21" s="98" customFormat="1" ht="24.75" hidden="1" customHeight="1">
      <c r="A347" s="100" t="s">
        <v>166</v>
      </c>
      <c r="B347" s="210"/>
      <c r="C347" s="408"/>
      <c r="D347" s="408"/>
      <c r="E347" s="408"/>
      <c r="F347" s="408"/>
      <c r="G347" s="408"/>
      <c r="H347" s="408"/>
      <c r="I347" s="408"/>
      <c r="J347" s="408"/>
      <c r="K347" s="408"/>
      <c r="L347" s="408"/>
      <c r="M347" s="408"/>
      <c r="N347" s="408"/>
      <c r="O347" s="408"/>
      <c r="P347" s="408"/>
      <c r="Q347" s="408"/>
      <c r="R347" s="211"/>
      <c r="S347" s="409" t="e">
        <f>SUM(#REF!)</f>
        <v>#REF!</v>
      </c>
      <c r="T347" s="339"/>
      <c r="U347" s="141"/>
    </row>
    <row r="348" spans="1:21" s="98" customFormat="1" ht="24.75" hidden="1" customHeight="1">
      <c r="A348" s="100" t="s">
        <v>61</v>
      </c>
      <c r="B348" s="210"/>
      <c r="C348" s="408"/>
      <c r="D348" s="408"/>
      <c r="E348" s="408"/>
      <c r="F348" s="408"/>
      <c r="G348" s="408"/>
      <c r="H348" s="408"/>
      <c r="I348" s="408"/>
      <c r="J348" s="408"/>
      <c r="K348" s="408"/>
      <c r="L348" s="408"/>
      <c r="M348" s="408"/>
      <c r="N348" s="408"/>
      <c r="O348" s="408"/>
      <c r="P348" s="408"/>
      <c r="Q348" s="408"/>
      <c r="R348" s="211"/>
      <c r="S348" s="409" t="e">
        <f>SUM(#REF!)</f>
        <v>#REF!</v>
      </c>
      <c r="T348" s="339"/>
      <c r="U348" s="141"/>
    </row>
    <row r="349" spans="1:21" s="98" customFormat="1" ht="24.75" hidden="1" customHeight="1">
      <c r="A349" s="100" t="s">
        <v>167</v>
      </c>
      <c r="B349" s="210"/>
      <c r="C349" s="408"/>
      <c r="D349" s="408"/>
      <c r="E349" s="408"/>
      <c r="F349" s="408"/>
      <c r="G349" s="408"/>
      <c r="H349" s="408"/>
      <c r="I349" s="408"/>
      <c r="J349" s="408"/>
      <c r="K349" s="408"/>
      <c r="L349" s="408"/>
      <c r="M349" s="408"/>
      <c r="N349" s="408"/>
      <c r="O349" s="408"/>
      <c r="P349" s="408"/>
      <c r="Q349" s="408"/>
      <c r="R349" s="211"/>
      <c r="S349" s="410" t="e">
        <f>SUM(#REF!)</f>
        <v>#REF!</v>
      </c>
      <c r="T349" s="339"/>
      <c r="U349" s="141"/>
    </row>
    <row r="350" spans="1:21" s="98" customFormat="1" ht="24.75" hidden="1" customHeight="1">
      <c r="A350" s="100" t="s">
        <v>168</v>
      </c>
      <c r="B350" s="210"/>
      <c r="C350" s="408"/>
      <c r="D350" s="408"/>
      <c r="E350" s="408"/>
      <c r="F350" s="408"/>
      <c r="G350" s="408"/>
      <c r="H350" s="408"/>
      <c r="I350" s="408"/>
      <c r="J350" s="408"/>
      <c r="K350" s="408"/>
      <c r="L350" s="408"/>
      <c r="M350" s="408"/>
      <c r="N350" s="408"/>
      <c r="O350" s="408"/>
      <c r="P350" s="408"/>
      <c r="Q350" s="408"/>
      <c r="R350" s="211"/>
      <c r="S350" s="410" t="e">
        <f>SUM(#REF!)</f>
        <v>#REF!</v>
      </c>
      <c r="T350" s="339"/>
      <c r="U350" s="141"/>
    </row>
    <row r="351" spans="1:21" s="98" customFormat="1" ht="27" hidden="1" customHeight="1">
      <c r="A351" s="140"/>
      <c r="B351" s="141"/>
      <c r="C351" s="141"/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Q351" s="141"/>
      <c r="R351" s="141"/>
      <c r="S351" s="412" t="e">
        <f>SUM(S340:S350)</f>
        <v>#REF!</v>
      </c>
      <c r="T351" s="413"/>
      <c r="U351" s="141"/>
    </row>
    <row r="352" spans="1:21" s="98" customFormat="1" ht="21" hidden="1" customHeight="1">
      <c r="A352" s="140"/>
      <c r="B352" s="141"/>
      <c r="C352" s="141"/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Q352" s="141"/>
      <c r="R352" s="141"/>
      <c r="S352" s="141" t="s">
        <v>59</v>
      </c>
      <c r="T352" s="141"/>
      <c r="U352" s="141"/>
    </row>
    <row r="353" spans="1:24" s="98" customFormat="1" ht="20" hidden="1" customHeight="1">
      <c r="A353" s="416" t="s">
        <v>169</v>
      </c>
      <c r="B353" s="203"/>
      <c r="C353" s="203"/>
      <c r="D353" s="203"/>
      <c r="E353" s="203"/>
      <c r="F353" s="203"/>
      <c r="G353" s="203"/>
      <c r="H353" s="203"/>
      <c r="I353" s="203"/>
      <c r="J353" s="203"/>
      <c r="K353" s="203"/>
      <c r="L353" s="203"/>
      <c r="M353" s="141"/>
      <c r="N353" s="141"/>
      <c r="O353" s="141"/>
      <c r="P353" s="141"/>
      <c r="Q353" s="141"/>
      <c r="R353" s="141"/>
      <c r="S353" s="141"/>
      <c r="T353" s="141"/>
      <c r="U353" s="141"/>
    </row>
    <row r="354" spans="1:24" s="98" customFormat="1" ht="21" hidden="1" customHeight="1">
      <c r="A354" s="304" t="s">
        <v>175</v>
      </c>
      <c r="B354" s="306"/>
      <c r="C354" s="102"/>
      <c r="D354" s="102">
        <f>8-3</f>
        <v>5</v>
      </c>
      <c r="E354" s="102">
        <f>8-1-2</f>
        <v>5</v>
      </c>
      <c r="F354" s="102">
        <f>6-2</f>
        <v>4</v>
      </c>
      <c r="G354" s="102">
        <v>6</v>
      </c>
      <c r="H354" s="102">
        <v>10</v>
      </c>
      <c r="I354" s="102">
        <f>10-1</f>
        <v>9</v>
      </c>
      <c r="J354" s="102"/>
      <c r="K354" s="102"/>
      <c r="L354" s="102" t="s">
        <v>174</v>
      </c>
      <c r="M354" s="141"/>
      <c r="N354" s="141"/>
      <c r="O354" s="141"/>
      <c r="P354" s="141"/>
      <c r="Q354" s="141"/>
      <c r="R354" s="141"/>
      <c r="S354" s="141"/>
      <c r="T354" s="141"/>
      <c r="U354" s="141"/>
    </row>
    <row r="355" spans="1:24" s="98" customFormat="1" ht="21">
      <c r="A355" s="325"/>
    </row>
    <row r="356" spans="1:24" s="98" customFormat="1" ht="21" customHeight="1">
      <c r="A356" s="417" t="s">
        <v>169</v>
      </c>
      <c r="B356" s="418"/>
      <c r="C356" s="418"/>
      <c r="D356" s="418"/>
      <c r="E356" s="418"/>
      <c r="F356" s="418"/>
      <c r="G356" s="418"/>
      <c r="H356" s="418"/>
      <c r="I356" s="418"/>
      <c r="J356" s="418"/>
      <c r="K356" s="418"/>
      <c r="L356" s="418"/>
      <c r="M356" s="418"/>
      <c r="N356" s="141"/>
    </row>
    <row r="357" spans="1:24" s="98" customFormat="1" ht="11" customHeight="1">
      <c r="A357" s="419"/>
      <c r="B357" s="420"/>
      <c r="C357" s="420"/>
      <c r="D357" s="420"/>
      <c r="E357" s="420"/>
      <c r="F357" s="420"/>
      <c r="G357" s="420"/>
      <c r="H357" s="420"/>
      <c r="I357" s="420"/>
      <c r="J357" s="420"/>
      <c r="K357" s="420"/>
      <c r="L357" s="420"/>
      <c r="M357" s="420"/>
      <c r="N357" s="141"/>
      <c r="O357" s="191"/>
      <c r="P357" s="191"/>
      <c r="Q357" s="191"/>
      <c r="R357" s="191"/>
    </row>
    <row r="358" spans="1:24" s="98" customFormat="1" ht="21">
      <c r="A358" s="304"/>
      <c r="B358" s="305"/>
      <c r="C358" s="306"/>
      <c r="D358" s="304" t="s">
        <v>171</v>
      </c>
      <c r="E358" s="305"/>
      <c r="F358" s="305"/>
      <c r="G358" s="305"/>
      <c r="H358" s="305"/>
      <c r="I358" s="305"/>
      <c r="J358" s="305"/>
      <c r="K358" s="305"/>
      <c r="L358" s="305"/>
      <c r="M358" s="306"/>
      <c r="N358" s="141"/>
      <c r="O358" s="191"/>
      <c r="P358" s="191"/>
      <c r="Q358" s="191"/>
      <c r="R358" s="191"/>
    </row>
    <row r="359" spans="1:24" s="98" customFormat="1" ht="21" customHeight="1">
      <c r="A359" s="421" t="s">
        <v>90</v>
      </c>
      <c r="B359" s="422"/>
      <c r="C359" s="423"/>
      <c r="D359" s="424" t="s">
        <v>10</v>
      </c>
      <c r="E359" s="424" t="s">
        <v>11</v>
      </c>
      <c r="F359" s="424" t="s">
        <v>54</v>
      </c>
      <c r="G359" s="424" t="s">
        <v>172</v>
      </c>
      <c r="H359" s="424" t="s">
        <v>56</v>
      </c>
      <c r="I359" s="424" t="s">
        <v>173</v>
      </c>
      <c r="J359" s="424" t="s">
        <v>71</v>
      </c>
      <c r="K359" s="424" t="s">
        <v>72</v>
      </c>
      <c r="L359" s="424" t="s">
        <v>73</v>
      </c>
      <c r="M359" s="424" t="s">
        <v>57</v>
      </c>
      <c r="N359" s="141"/>
      <c r="O359" s="141"/>
      <c r="P359" s="141"/>
      <c r="Q359" s="141"/>
      <c r="R359" s="141"/>
    </row>
    <row r="360" spans="1:24" s="98" customFormat="1" ht="21">
      <c r="A360" s="304" t="s">
        <v>33</v>
      </c>
      <c r="B360" s="305"/>
      <c r="C360" s="306"/>
      <c r="D360" s="160"/>
      <c r="E360" s="102"/>
      <c r="F360" s="102">
        <f>100</f>
        <v>100</v>
      </c>
      <c r="G360" s="102"/>
      <c r="H360" s="102"/>
      <c r="I360" s="102"/>
      <c r="J360" s="160"/>
      <c r="K360" s="160"/>
      <c r="L360" s="160"/>
      <c r="M360" s="102">
        <f>SUM(D360:K360)</f>
        <v>100</v>
      </c>
      <c r="N360" s="141"/>
      <c r="O360" s="141"/>
      <c r="P360" s="141"/>
      <c r="Q360" s="141"/>
      <c r="R360" s="141"/>
    </row>
    <row r="361" spans="1:24" s="98" customFormat="1" ht="21">
      <c r="A361" s="304" t="s">
        <v>20</v>
      </c>
      <c r="B361" s="305"/>
      <c r="C361" s="306"/>
      <c r="D361" s="102">
        <f>39-4</f>
        <v>35</v>
      </c>
      <c r="E361" s="102">
        <f>86-1-5-50</f>
        <v>30</v>
      </c>
      <c r="F361" s="102">
        <f>85-7-10-1-50-2-1-1-1-6-1</f>
        <v>5</v>
      </c>
      <c r="G361" s="102">
        <f>91-8-2-5-50-1-11-2-1-1</f>
        <v>10</v>
      </c>
      <c r="H361" s="102">
        <f>5-1-2-1-1</f>
        <v>0</v>
      </c>
      <c r="I361" s="102">
        <f>9-1-1-1-3</f>
        <v>3</v>
      </c>
      <c r="J361" s="102">
        <f>3-1-2</f>
        <v>0</v>
      </c>
      <c r="K361" s="102"/>
      <c r="L361" s="102"/>
      <c r="M361" s="102">
        <f>SUM(D361:K361)</f>
        <v>83</v>
      </c>
      <c r="N361" s="141"/>
      <c r="O361" s="141"/>
      <c r="P361" s="141"/>
      <c r="Q361" s="141"/>
      <c r="R361" s="141"/>
    </row>
    <row r="362" spans="1:24" s="98" customFormat="1" ht="21">
      <c r="A362" s="304" t="s">
        <v>62</v>
      </c>
      <c r="B362" s="305"/>
      <c r="C362" s="306"/>
      <c r="D362" s="160"/>
      <c r="E362" s="102">
        <f>100</f>
        <v>100</v>
      </c>
      <c r="F362" s="160"/>
      <c r="G362" s="102">
        <f>6</f>
        <v>6</v>
      </c>
      <c r="H362" s="160"/>
      <c r="I362" s="160"/>
      <c r="J362" s="160"/>
      <c r="K362" s="160"/>
      <c r="L362" s="160"/>
      <c r="M362" s="102">
        <f t="shared" ref="M362:M368" si="4">SUM(D362:L362)</f>
        <v>106</v>
      </c>
      <c r="N362" s="141"/>
      <c r="O362" s="141"/>
      <c r="P362" s="141"/>
      <c r="Q362" s="141"/>
      <c r="R362" s="141"/>
    </row>
    <row r="363" spans="1:24" s="98" customFormat="1" ht="21">
      <c r="A363" s="304" t="s">
        <v>19</v>
      </c>
      <c r="B363" s="305"/>
      <c r="C363" s="306"/>
      <c r="D363" s="160"/>
      <c r="E363" s="102"/>
      <c r="F363" s="160"/>
      <c r="G363" s="160"/>
      <c r="H363" s="160"/>
      <c r="I363" s="160"/>
      <c r="J363" s="160"/>
      <c r="K363" s="160"/>
      <c r="L363" s="160"/>
      <c r="M363" s="102">
        <f t="shared" si="4"/>
        <v>0</v>
      </c>
      <c r="N363" s="425"/>
      <c r="O363" s="141"/>
      <c r="P363" s="141"/>
      <c r="Q363" s="141"/>
      <c r="R363" s="141"/>
      <c r="X363" s="98" t="s">
        <v>1</v>
      </c>
    </row>
    <row r="364" spans="1:24" s="98" customFormat="1" ht="21">
      <c r="A364" s="304" t="s">
        <v>94</v>
      </c>
      <c r="B364" s="305"/>
      <c r="C364" s="306"/>
      <c r="D364" s="160"/>
      <c r="E364" s="102">
        <f>8-5</f>
        <v>3</v>
      </c>
      <c r="F364" s="102">
        <f>3</f>
        <v>3</v>
      </c>
      <c r="G364" s="160"/>
      <c r="H364" s="160"/>
      <c r="I364" s="102">
        <f>1</f>
        <v>1</v>
      </c>
      <c r="J364" s="160"/>
      <c r="K364" s="160"/>
      <c r="L364" s="160"/>
      <c r="M364" s="102">
        <f t="shared" si="4"/>
        <v>7</v>
      </c>
      <c r="N364" s="141"/>
      <c r="O364" s="141"/>
      <c r="P364" s="141"/>
      <c r="Q364" s="141"/>
      <c r="R364" s="141"/>
    </row>
    <row r="365" spans="1:24" s="98" customFormat="1" ht="21">
      <c r="A365" s="304" t="s">
        <v>176</v>
      </c>
      <c r="B365" s="305"/>
      <c r="C365" s="306"/>
      <c r="D365" s="160"/>
      <c r="E365" s="160"/>
      <c r="F365" s="102">
        <f>4</f>
        <v>4</v>
      </c>
      <c r="G365" s="102">
        <f>87</f>
        <v>87</v>
      </c>
      <c r="H365" s="160"/>
      <c r="I365" s="160"/>
      <c r="J365" s="160"/>
      <c r="K365" s="160"/>
      <c r="L365" s="160"/>
      <c r="M365" s="102">
        <f t="shared" si="4"/>
        <v>91</v>
      </c>
      <c r="N365" s="141"/>
      <c r="O365" s="141"/>
      <c r="P365" s="141"/>
      <c r="Q365" s="141"/>
      <c r="R365" s="141"/>
    </row>
    <row r="366" spans="1:24" s="98" customFormat="1" ht="21">
      <c r="A366" s="304" t="s">
        <v>23</v>
      </c>
      <c r="B366" s="305"/>
      <c r="C366" s="306"/>
      <c r="D366" s="160"/>
      <c r="E366" s="102"/>
      <c r="F366" s="102"/>
      <c r="G366" s="160"/>
      <c r="H366" s="102">
        <f>14+70-1-2-2-15-1-1-2</f>
        <v>60</v>
      </c>
      <c r="I366" s="160"/>
      <c r="J366" s="160"/>
      <c r="K366" s="160"/>
      <c r="L366" s="160"/>
      <c r="M366" s="102">
        <f t="shared" si="4"/>
        <v>60</v>
      </c>
      <c r="N366" s="141"/>
      <c r="O366" s="141"/>
      <c r="P366" s="141"/>
      <c r="Q366" s="141"/>
    </row>
    <row r="367" spans="1:24" s="98" customFormat="1" ht="21">
      <c r="A367" s="304" t="s">
        <v>28</v>
      </c>
      <c r="B367" s="305"/>
      <c r="C367" s="306"/>
      <c r="E367" s="102">
        <f>3-3</f>
        <v>0</v>
      </c>
      <c r="F367" s="102">
        <f>67+3-4-13+1-30</f>
        <v>24</v>
      </c>
      <c r="G367" s="102">
        <f>4-4</f>
        <v>0</v>
      </c>
      <c r="H367" s="102">
        <f>7-7</f>
        <v>0</v>
      </c>
      <c r="I367" s="160"/>
      <c r="J367" s="160"/>
      <c r="K367" s="160"/>
      <c r="L367" s="160"/>
      <c r="M367" s="102">
        <f t="shared" si="4"/>
        <v>24</v>
      </c>
      <c r="N367" s="141"/>
      <c r="O367" s="141"/>
      <c r="P367" s="141"/>
      <c r="Q367" s="141"/>
    </row>
    <row r="368" spans="1:24" s="98" customFormat="1" ht="21">
      <c r="A368" s="304" t="s">
        <v>22</v>
      </c>
      <c r="B368" s="305"/>
      <c r="C368" s="306"/>
      <c r="D368" s="102"/>
      <c r="E368" s="102"/>
      <c r="F368" s="102"/>
      <c r="G368" s="102"/>
      <c r="H368" s="102"/>
      <c r="I368" s="102"/>
      <c r="J368" s="102"/>
      <c r="K368" s="160"/>
      <c r="L368" s="160"/>
      <c r="M368" s="102">
        <f t="shared" si="4"/>
        <v>0</v>
      </c>
      <c r="N368" s="141"/>
      <c r="O368" s="141"/>
      <c r="P368" s="141"/>
      <c r="Q368" s="141"/>
    </row>
    <row r="369" spans="1:20" s="98" customFormat="1" ht="30" customHeight="1">
      <c r="A369" s="141"/>
      <c r="B369" s="141"/>
      <c r="C369" s="141"/>
      <c r="D369" s="141"/>
      <c r="E369" s="141"/>
      <c r="F369" s="141"/>
      <c r="G369" s="141"/>
      <c r="H369" s="141"/>
      <c r="I369" s="141"/>
      <c r="J369" s="141"/>
      <c r="K369" s="141"/>
      <c r="L369" s="141"/>
      <c r="M369" s="426">
        <f>SUM(M360:M368)</f>
        <v>471</v>
      </c>
      <c r="N369" s="141"/>
      <c r="O369" s="141"/>
      <c r="P369" s="141"/>
      <c r="Q369" s="141"/>
      <c r="R369" s="141"/>
    </row>
    <row r="370" spans="1:20" s="98" customFormat="1" ht="31.5" customHeight="1">
      <c r="A370" s="141"/>
      <c r="B370" s="141"/>
      <c r="C370" s="141"/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</row>
    <row r="371" spans="1:20" s="98" customFormat="1" ht="21">
      <c r="A371" s="427" t="s">
        <v>177</v>
      </c>
      <c r="B371" s="428"/>
      <c r="C371" s="428"/>
      <c r="D371" s="428"/>
      <c r="E371" s="429"/>
    </row>
    <row r="372" spans="1:20" s="98" customFormat="1" ht="21">
      <c r="A372" s="197" t="s">
        <v>90</v>
      </c>
      <c r="B372" s="199"/>
      <c r="C372" s="304" t="s">
        <v>48</v>
      </c>
      <c r="D372" s="305"/>
      <c r="E372" s="306"/>
    </row>
    <row r="373" spans="1:20" s="98" customFormat="1" ht="21">
      <c r="A373" s="202"/>
      <c r="B373" s="204"/>
      <c r="C373" s="430" t="s">
        <v>140</v>
      </c>
      <c r="D373" s="431"/>
      <c r="E373" s="432"/>
    </row>
    <row r="374" spans="1:20" s="98" customFormat="1" ht="21">
      <c r="A374" s="321" t="s">
        <v>120</v>
      </c>
      <c r="B374" s="322"/>
      <c r="C374" s="210">
        <f>1202-3-3+1596-20-2+2428-5-1-50-3-2000-2000-1139</f>
        <v>0</v>
      </c>
      <c r="D374" s="408"/>
      <c r="E374" s="211"/>
    </row>
    <row r="375" spans="1:20" s="98" customFormat="1" ht="21">
      <c r="A375" s="321" t="s">
        <v>22</v>
      </c>
      <c r="B375" s="322"/>
      <c r="C375" s="210">
        <f>3556-2-2-20+1490-1-15</f>
        <v>5006</v>
      </c>
      <c r="D375" s="408"/>
      <c r="E375" s="211"/>
    </row>
    <row r="376" spans="1:20" s="98" customFormat="1" ht="21">
      <c r="A376" s="321" t="s">
        <v>28</v>
      </c>
      <c r="B376" s="322"/>
      <c r="C376" s="210">
        <v>3</v>
      </c>
      <c r="D376" s="408"/>
      <c r="E376" s="211"/>
    </row>
    <row r="377" spans="1:20" s="98" customFormat="1" ht="21">
      <c r="A377" s="321" t="s">
        <v>19</v>
      </c>
      <c r="B377" s="322"/>
      <c r="C377" s="210">
        <f>135-5</f>
        <v>130</v>
      </c>
      <c r="D377" s="408"/>
      <c r="E377" s="211"/>
    </row>
    <row r="378" spans="1:20" s="98" customFormat="1" ht="21">
      <c r="A378" s="323"/>
      <c r="B378" s="433"/>
      <c r="C378" s="406">
        <f>SUM(C374:C377)</f>
        <v>5139</v>
      </c>
      <c r="D378" s="434"/>
      <c r="E378" s="407"/>
    </row>
    <row r="379" spans="1:20" s="98" customFormat="1" ht="21">
      <c r="A379" s="141"/>
    </row>
    <row r="382" spans="1:20" ht="21">
      <c r="A382" s="299"/>
      <c r="B382" s="299"/>
      <c r="C382" s="299"/>
      <c r="D382" s="299"/>
      <c r="E382" s="299"/>
      <c r="F382" s="299"/>
      <c r="G382" s="299"/>
      <c r="H382" s="299"/>
      <c r="I382" s="125"/>
      <c r="J382" s="125"/>
      <c r="K382" s="125"/>
      <c r="L382" s="125"/>
      <c r="M382" s="125"/>
      <c r="N382" s="125"/>
      <c r="O382" s="125"/>
      <c r="P382" s="125"/>
      <c r="Q382" s="125"/>
      <c r="R382" s="313"/>
      <c r="S382" s="311"/>
      <c r="T382" s="98"/>
    </row>
    <row r="383" spans="1:20" ht="31">
      <c r="A383" s="435" t="s">
        <v>178</v>
      </c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435"/>
      <c r="P383" s="435"/>
      <c r="Q383" s="435"/>
      <c r="R383" s="435"/>
      <c r="S383" s="435"/>
      <c r="T383" s="436"/>
    </row>
    <row r="384" spans="1:20" ht="21">
      <c r="A384" s="260" t="s">
        <v>83</v>
      </c>
      <c r="B384" s="101" t="s">
        <v>3</v>
      </c>
      <c r="C384" s="183"/>
      <c r="D384" s="183"/>
      <c r="E384" s="183"/>
      <c r="F384" s="183"/>
      <c r="G384" s="183"/>
      <c r="H384" s="183"/>
      <c r="I384" s="183"/>
      <c r="J384" s="184"/>
      <c r="K384" s="101" t="s">
        <v>4</v>
      </c>
      <c r="L384" s="183"/>
      <c r="M384" s="183"/>
      <c r="N384" s="183"/>
      <c r="O384" s="183"/>
      <c r="P384" s="183"/>
      <c r="Q384" s="183"/>
      <c r="R384" s="183"/>
      <c r="S384" s="183"/>
      <c r="T384" s="184"/>
    </row>
    <row r="385" spans="1:20" ht="21">
      <c r="A385" s="260" t="s">
        <v>52</v>
      </c>
      <c r="B385" s="104" t="s">
        <v>10</v>
      </c>
      <c r="C385" s="104" t="s">
        <v>53</v>
      </c>
      <c r="D385" s="104" t="s">
        <v>54</v>
      </c>
      <c r="E385" s="104" t="s">
        <v>55</v>
      </c>
      <c r="F385" s="104" t="s">
        <v>56</v>
      </c>
      <c r="G385" s="104" t="s">
        <v>70</v>
      </c>
      <c r="H385" s="104" t="s">
        <v>16</v>
      </c>
      <c r="I385" s="104" t="s">
        <v>17</v>
      </c>
      <c r="J385" s="104" t="s">
        <v>18</v>
      </c>
      <c r="K385" s="104" t="s">
        <v>10</v>
      </c>
      <c r="L385" s="104" t="s">
        <v>53</v>
      </c>
      <c r="M385" s="104" t="s">
        <v>54</v>
      </c>
      <c r="N385" s="104" t="s">
        <v>55</v>
      </c>
      <c r="O385" s="104" t="s">
        <v>56</v>
      </c>
      <c r="P385" s="104" t="s">
        <v>15</v>
      </c>
      <c r="Q385" s="104" t="s">
        <v>16</v>
      </c>
      <c r="R385" s="104" t="s">
        <v>17</v>
      </c>
      <c r="S385" s="104" t="s">
        <v>18</v>
      </c>
      <c r="T385" s="102" t="s">
        <v>84</v>
      </c>
    </row>
    <row r="386" spans="1:20" ht="21">
      <c r="A386" s="437" t="s">
        <v>179</v>
      </c>
      <c r="B386" s="438">
        <v>1</v>
      </c>
      <c r="C386" s="438">
        <f>13+12-11-11+20-20+9-11+12</f>
        <v>13</v>
      </c>
      <c r="D386" s="438">
        <f>1+12-11+20-20+15-2+12</f>
        <v>27</v>
      </c>
      <c r="E386" s="438">
        <f>3+17-2-18+15-11+12-11</f>
        <v>5</v>
      </c>
      <c r="F386" s="438">
        <f>12-11+20-20+9-10+12</f>
        <v>12</v>
      </c>
      <c r="G386" s="438">
        <f>20-20+20</f>
        <v>20</v>
      </c>
      <c r="H386" s="438">
        <f>1+20-20+20</f>
        <v>21</v>
      </c>
      <c r="I386" s="438"/>
      <c r="J386" s="438">
        <f>20-20+20</f>
        <v>20</v>
      </c>
      <c r="K386" s="276">
        <v>2</v>
      </c>
      <c r="L386" s="276">
        <f>17-8+25-20+25+23</f>
        <v>62</v>
      </c>
      <c r="M386" s="107">
        <f>22-13+30-30+25-11+25+25-21</f>
        <v>52</v>
      </c>
      <c r="N386" s="107">
        <f>10-10+25-22+28-30+25-22</f>
        <v>4</v>
      </c>
      <c r="O386" s="107">
        <f>15-15+50-50+1+25-21+25-23</f>
        <v>7</v>
      </c>
      <c r="P386" s="107">
        <f>14+25-25+25</f>
        <v>39</v>
      </c>
      <c r="Q386" s="276">
        <f>2+25-20+25-25+25</f>
        <v>32</v>
      </c>
      <c r="R386" s="276"/>
      <c r="S386" s="276">
        <f>10-10+25-25+25</f>
        <v>25</v>
      </c>
      <c r="T386" s="290">
        <f>SUM(B386:S386)</f>
        <v>342</v>
      </c>
    </row>
    <row r="387" spans="1:20" ht="21">
      <c r="A387" s="439" t="s">
        <v>180</v>
      </c>
      <c r="B387" s="394"/>
      <c r="C387" s="394"/>
      <c r="D387" s="394"/>
      <c r="E387" s="394"/>
      <c r="F387" s="394"/>
      <c r="G387" s="394"/>
      <c r="H387" s="394"/>
      <c r="I387" s="394"/>
      <c r="J387" s="394"/>
      <c r="K387" s="440">
        <v>30</v>
      </c>
      <c r="L387" s="441">
        <f>50-32-2</f>
        <v>16</v>
      </c>
      <c r="M387" s="441">
        <f>50-35-2</f>
        <v>13</v>
      </c>
      <c r="N387" s="441">
        <f>50-1-31</f>
        <v>18</v>
      </c>
      <c r="O387" s="441">
        <v>50</v>
      </c>
      <c r="P387" s="441">
        <v>40</v>
      </c>
      <c r="Q387" s="441">
        <v>15</v>
      </c>
      <c r="R387" s="441"/>
      <c r="S387" s="441">
        <v>15</v>
      </c>
      <c r="T387" s="442">
        <f>SUM(K387:S387)</f>
        <v>197</v>
      </c>
    </row>
    <row r="388" spans="1:20" ht="21">
      <c r="A388" s="443" t="s">
        <v>181</v>
      </c>
      <c r="B388" s="444">
        <v>20</v>
      </c>
      <c r="C388" s="444">
        <v>20</v>
      </c>
      <c r="D388" s="444">
        <f>30-25-1</f>
        <v>4</v>
      </c>
      <c r="E388" s="444">
        <f>30-21</f>
        <v>9</v>
      </c>
      <c r="F388" s="444">
        <f>20-11</f>
        <v>9</v>
      </c>
      <c r="G388" s="444">
        <v>15</v>
      </c>
      <c r="H388" s="444">
        <v>15</v>
      </c>
      <c r="I388" s="444"/>
      <c r="J388" s="444">
        <v>15</v>
      </c>
      <c r="K388" s="441">
        <v>40</v>
      </c>
      <c r="L388" s="441">
        <f>30-21-9</f>
        <v>0</v>
      </c>
      <c r="M388" s="119">
        <f>60-21-21-1</f>
        <v>17</v>
      </c>
      <c r="N388" s="119">
        <f>60-3-22</f>
        <v>35</v>
      </c>
      <c r="O388" s="119">
        <f>50-21</f>
        <v>29</v>
      </c>
      <c r="P388" s="119">
        <f>50-21</f>
        <v>29</v>
      </c>
      <c r="Q388" s="441">
        <f>15-11</f>
        <v>4</v>
      </c>
      <c r="R388" s="441"/>
      <c r="S388" s="441">
        <v>15</v>
      </c>
      <c r="T388" s="442">
        <f>SUM(B388:S388)</f>
        <v>276</v>
      </c>
    </row>
    <row r="389" spans="1:20" ht="15" customHeight="1">
      <c r="T389" s="445">
        <f ca="1">SUM(T386:T389)</f>
        <v>840</v>
      </c>
    </row>
    <row r="390" spans="1:20" ht="31.5" customHeight="1">
      <c r="T390" s="446"/>
    </row>
    <row r="391" spans="1:20" ht="15" customHeight="1">
      <c r="A391" s="447" t="s">
        <v>182</v>
      </c>
      <c r="B391" s="448"/>
      <c r="C391" s="448"/>
      <c r="D391" s="448"/>
      <c r="E391" s="448"/>
      <c r="F391" s="448"/>
      <c r="G391" s="448"/>
      <c r="H391" s="448"/>
      <c r="I391" s="448"/>
      <c r="J391" s="448"/>
      <c r="K391" s="448"/>
      <c r="L391" s="448"/>
      <c r="M391" s="448"/>
    </row>
    <row r="392" spans="1:20" ht="15" customHeight="1">
      <c r="A392" s="449"/>
      <c r="B392" s="450"/>
      <c r="C392" s="450"/>
      <c r="D392" s="450"/>
      <c r="E392" s="450"/>
      <c r="F392" s="450"/>
      <c r="G392" s="450"/>
      <c r="H392" s="450"/>
      <c r="I392" s="450"/>
      <c r="J392" s="450"/>
      <c r="K392" s="450"/>
      <c r="L392" s="450"/>
      <c r="M392" s="450"/>
    </row>
    <row r="393" spans="1:20" ht="21">
      <c r="A393" s="304"/>
      <c r="B393" s="305"/>
      <c r="C393" s="306"/>
      <c r="D393" s="304" t="s">
        <v>171</v>
      </c>
      <c r="E393" s="305"/>
      <c r="F393" s="305"/>
      <c r="G393" s="305"/>
      <c r="H393" s="305"/>
      <c r="I393" s="305"/>
      <c r="J393" s="305"/>
      <c r="K393" s="305"/>
      <c r="L393" s="305"/>
      <c r="M393" s="306"/>
    </row>
    <row r="394" spans="1:20" ht="22">
      <c r="A394" s="421"/>
      <c r="B394" s="422"/>
      <c r="C394" s="423"/>
      <c r="D394" s="424" t="s">
        <v>10</v>
      </c>
      <c r="E394" s="424" t="s">
        <v>11</v>
      </c>
      <c r="F394" s="424" t="s">
        <v>54</v>
      </c>
      <c r="G394" s="424" t="s">
        <v>172</v>
      </c>
      <c r="H394" s="424" t="s">
        <v>56</v>
      </c>
      <c r="I394" s="424" t="s">
        <v>173</v>
      </c>
      <c r="J394" s="424" t="s">
        <v>71</v>
      </c>
      <c r="K394" s="424" t="s">
        <v>72</v>
      </c>
      <c r="L394" s="424" t="s">
        <v>73</v>
      </c>
      <c r="M394" s="424" t="s">
        <v>57</v>
      </c>
    </row>
    <row r="395" spans="1:20" ht="41.25" customHeight="1">
      <c r="A395" s="451" t="s">
        <v>183</v>
      </c>
      <c r="B395" s="452"/>
      <c r="C395" s="453"/>
      <c r="D395" s="454">
        <f>0</f>
        <v>0</v>
      </c>
      <c r="E395" s="454">
        <f>0</f>
        <v>0</v>
      </c>
      <c r="F395" s="454">
        <f>0</f>
        <v>0</v>
      </c>
      <c r="G395" s="454">
        <f>256-2-1-5-1-2-1-2+300-2-1-2-1-4-2-1-2-5-4-1-50-2-2-5-1-3-1-2+137-5-50-10-1-1-1-1+98-50-1-3-1-5-2-2-2-2-2-2-2-2-2-2-15-11-1-2-5-2-2-2-1-80-1-24-12-1-1-20-1-1-2-2-4-2-5-2-2-2-33-1-24-14-1-2-2+5-1+1-5-50-1-10-1-1-1-3-3-25-1-1-1-1-1-1-1-2-1-1-1-1-1-1-1-1-1-1-3-3-2-1-2-1-2-30-1-8-1</f>
        <v>89</v>
      </c>
      <c r="H395" s="454">
        <f>0</f>
        <v>0</v>
      </c>
      <c r="I395" s="454">
        <f>0</f>
        <v>0</v>
      </c>
      <c r="J395" s="454">
        <f>0</f>
        <v>0</v>
      </c>
      <c r="K395" s="454">
        <f>0</f>
        <v>0</v>
      </c>
      <c r="L395" s="454">
        <f>0</f>
        <v>0</v>
      </c>
      <c r="M395" s="454"/>
    </row>
    <row r="398" spans="1:20" ht="15" customHeight="1">
      <c r="A398" s="447" t="s">
        <v>184</v>
      </c>
      <c r="B398" s="448"/>
      <c r="C398" s="448"/>
      <c r="D398" s="448"/>
      <c r="E398" s="448"/>
      <c r="F398" s="448"/>
      <c r="G398" s="448"/>
      <c r="H398" s="448"/>
      <c r="I398" s="448"/>
      <c r="J398" s="448"/>
      <c r="K398" s="448"/>
      <c r="L398" s="448"/>
      <c r="M398" s="448"/>
    </row>
    <row r="399" spans="1:20" ht="15" customHeight="1">
      <c r="A399" s="449"/>
      <c r="B399" s="450"/>
      <c r="C399" s="450"/>
      <c r="D399" s="450"/>
      <c r="E399" s="450"/>
      <c r="F399" s="450"/>
      <c r="G399" s="450"/>
      <c r="H399" s="450"/>
      <c r="I399" s="450"/>
      <c r="J399" s="450"/>
      <c r="K399" s="450"/>
      <c r="L399" s="450"/>
      <c r="M399" s="450"/>
    </row>
    <row r="400" spans="1:20" ht="21">
      <c r="A400" s="304"/>
      <c r="B400" s="305"/>
      <c r="C400" s="306"/>
      <c r="D400" s="304" t="s">
        <v>171</v>
      </c>
      <c r="E400" s="305"/>
      <c r="F400" s="305"/>
      <c r="G400" s="305"/>
      <c r="H400" s="305"/>
      <c r="I400" s="305"/>
      <c r="J400" s="305"/>
      <c r="K400" s="305"/>
      <c r="L400" s="305"/>
      <c r="M400" s="306"/>
    </row>
    <row r="401" spans="1:13" ht="22">
      <c r="A401" s="421"/>
      <c r="B401" s="422"/>
      <c r="C401" s="423"/>
      <c r="D401" s="424" t="s">
        <v>10</v>
      </c>
      <c r="E401" s="424" t="s">
        <v>11</v>
      </c>
      <c r="F401" s="424" t="s">
        <v>54</v>
      </c>
      <c r="G401" s="424" t="s">
        <v>172</v>
      </c>
      <c r="H401" s="424" t="s">
        <v>56</v>
      </c>
      <c r="I401" s="424" t="s">
        <v>173</v>
      </c>
      <c r="J401" s="424" t="s">
        <v>71</v>
      </c>
      <c r="K401" s="424" t="s">
        <v>72</v>
      </c>
      <c r="L401" s="424" t="s">
        <v>73</v>
      </c>
      <c r="M401" s="424" t="s">
        <v>57</v>
      </c>
    </row>
    <row r="402" spans="1:13" ht="22">
      <c r="A402" s="451" t="s">
        <v>185</v>
      </c>
      <c r="B402" s="452"/>
      <c r="C402" s="453"/>
      <c r="D402" s="454">
        <f>0+10-1-1-1-1-1-1+50-1-5-1-3-1</f>
        <v>43</v>
      </c>
      <c r="E402" s="454">
        <f>0+145-1-5-2-1-2-1+200-1-1-3-1-10-1</f>
        <v>316</v>
      </c>
      <c r="F402" s="454">
        <f>0+10-1-1-1-1-1-1-3+175-1-1-1-1-5-3-2-1-1-1-1+200-1-1-1-5-1-1-1-1-1-1-3-1-2-1-2-10-1</f>
        <v>324</v>
      </c>
      <c r="G402" s="454">
        <f>20-1-12-2-1-2-1-1+10-1-1-1-1-5-1+177-1-5-1-2-3-2-2-1+289-3-1-1+174-2+155-1+87-1-25</f>
        <v>831</v>
      </c>
      <c r="H402" s="454">
        <f>0+10-1-1-1-4+147+83-1-1+1-5-2-1-1-1-3-1-10</f>
        <v>208</v>
      </c>
      <c r="I402" s="454">
        <f>0+5+46-1+75-5-1-1-1-1-3-1-1+78</f>
        <v>189</v>
      </c>
      <c r="J402" s="454">
        <f>0+24-5-1+33-3-1+35</f>
        <v>82</v>
      </c>
      <c r="K402" s="454">
        <f>0</f>
        <v>0</v>
      </c>
      <c r="L402" s="454">
        <f>0</f>
        <v>0</v>
      </c>
      <c r="M402" s="454">
        <f>SUM(D402:L402)</f>
        <v>1993</v>
      </c>
    </row>
    <row r="546" ht="18.75" customHeight="1"/>
  </sheetData>
  <mergeCells count="295">
    <mergeCell ref="A398:M399"/>
    <mergeCell ref="A400:C400"/>
    <mergeCell ref="D400:M400"/>
    <mergeCell ref="A401:C401"/>
    <mergeCell ref="A402:C402"/>
    <mergeCell ref="T389:T390"/>
    <mergeCell ref="A391:M392"/>
    <mergeCell ref="A393:C393"/>
    <mergeCell ref="D393:M393"/>
    <mergeCell ref="A394:C394"/>
    <mergeCell ref="A395:C395"/>
    <mergeCell ref="A377:B377"/>
    <mergeCell ref="C377:E377"/>
    <mergeCell ref="A378:B378"/>
    <mergeCell ref="C378:E378"/>
    <mergeCell ref="A383:T383"/>
    <mergeCell ref="B384:J384"/>
    <mergeCell ref="K384:T384"/>
    <mergeCell ref="A374:B374"/>
    <mergeCell ref="C374:E374"/>
    <mergeCell ref="A375:B375"/>
    <mergeCell ref="C375:E375"/>
    <mergeCell ref="A376:B376"/>
    <mergeCell ref="C376:E376"/>
    <mergeCell ref="A366:C366"/>
    <mergeCell ref="A367:C367"/>
    <mergeCell ref="A368:C368"/>
    <mergeCell ref="A371:E371"/>
    <mergeCell ref="A372:B373"/>
    <mergeCell ref="C372:E372"/>
    <mergeCell ref="C373:E373"/>
    <mergeCell ref="A360:C360"/>
    <mergeCell ref="A361:C361"/>
    <mergeCell ref="A362:C362"/>
    <mergeCell ref="A363:C363"/>
    <mergeCell ref="A364:C364"/>
    <mergeCell ref="A365:C365"/>
    <mergeCell ref="A353:L353"/>
    <mergeCell ref="A354:B354"/>
    <mergeCell ref="A356:M357"/>
    <mergeCell ref="A358:C358"/>
    <mergeCell ref="D358:M358"/>
    <mergeCell ref="A359:C359"/>
    <mergeCell ref="B345:R345"/>
    <mergeCell ref="B346:R346"/>
    <mergeCell ref="B347:R347"/>
    <mergeCell ref="B348:R348"/>
    <mergeCell ref="B349:R349"/>
    <mergeCell ref="B350:R350"/>
    <mergeCell ref="B337:R337"/>
    <mergeCell ref="B338:R338"/>
    <mergeCell ref="A341:L342"/>
    <mergeCell ref="A343:B343"/>
    <mergeCell ref="C343:L343"/>
    <mergeCell ref="A344:B344"/>
    <mergeCell ref="K331:L331"/>
    <mergeCell ref="K332:L332"/>
    <mergeCell ref="K333:L333"/>
    <mergeCell ref="B334:R334"/>
    <mergeCell ref="B335:R335"/>
    <mergeCell ref="B336:R336"/>
    <mergeCell ref="J325:J326"/>
    <mergeCell ref="K325:L326"/>
    <mergeCell ref="K327:L327"/>
    <mergeCell ref="K328:L328"/>
    <mergeCell ref="K329:L329"/>
    <mergeCell ref="K330:L330"/>
    <mergeCell ref="A324:L324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N316:N317"/>
    <mergeCell ref="O316:O317"/>
    <mergeCell ref="P316:P317"/>
    <mergeCell ref="Q316:Q317"/>
    <mergeCell ref="V316:W317"/>
    <mergeCell ref="A321:U322"/>
    <mergeCell ref="H316:H317"/>
    <mergeCell ref="I316:I317"/>
    <mergeCell ref="J316:J317"/>
    <mergeCell ref="K316:K317"/>
    <mergeCell ref="L316:L317"/>
    <mergeCell ref="M316:M317"/>
    <mergeCell ref="B314:I314"/>
    <mergeCell ref="J314:S314"/>
    <mergeCell ref="V314:W315"/>
    <mergeCell ref="A316:A317"/>
    <mergeCell ref="B316:B317"/>
    <mergeCell ref="C316:C317"/>
    <mergeCell ref="D316:D317"/>
    <mergeCell ref="E316:E317"/>
    <mergeCell ref="F316:F317"/>
    <mergeCell ref="G316:G317"/>
    <mergeCell ref="B304:J304"/>
    <mergeCell ref="K304:R304"/>
    <mergeCell ref="S304:T304"/>
    <mergeCell ref="S305:T305"/>
    <mergeCell ref="A309:U310"/>
    <mergeCell ref="A312:U313"/>
    <mergeCell ref="Q298:R298"/>
    <mergeCell ref="A301:T301"/>
    <mergeCell ref="B302:J302"/>
    <mergeCell ref="K302:R302"/>
    <mergeCell ref="S302:T302"/>
    <mergeCell ref="B303:J303"/>
    <mergeCell ref="K303:R303"/>
    <mergeCell ref="S303:T303"/>
    <mergeCell ref="Q290:R290"/>
    <mergeCell ref="A293:R293"/>
    <mergeCell ref="B294:R294"/>
    <mergeCell ref="B295:Q295"/>
    <mergeCell ref="B296:Q296"/>
    <mergeCell ref="B297:Q297"/>
    <mergeCell ref="E287:G287"/>
    <mergeCell ref="Q287:R287"/>
    <mergeCell ref="E288:G288"/>
    <mergeCell ref="Q288:R288"/>
    <mergeCell ref="E289:G289"/>
    <mergeCell ref="Q289:R289"/>
    <mergeCell ref="S277:S278"/>
    <mergeCell ref="T277:U278"/>
    <mergeCell ref="A280:U281"/>
    <mergeCell ref="E284:R284"/>
    <mergeCell ref="A285:A286"/>
    <mergeCell ref="E285:G286"/>
    <mergeCell ref="Q285:R286"/>
    <mergeCell ref="M277:M278"/>
    <mergeCell ref="N277:N278"/>
    <mergeCell ref="O277:O278"/>
    <mergeCell ref="P277:P278"/>
    <mergeCell ref="Q277:Q278"/>
    <mergeCell ref="R277:R278"/>
    <mergeCell ref="G277:G278"/>
    <mergeCell ref="H277:H278"/>
    <mergeCell ref="I277:I278"/>
    <mergeCell ref="J277:J278"/>
    <mergeCell ref="K277:K278"/>
    <mergeCell ref="L277:L278"/>
    <mergeCell ref="A277:A278"/>
    <mergeCell ref="B277:B278"/>
    <mergeCell ref="C277:C278"/>
    <mergeCell ref="D277:D278"/>
    <mergeCell ref="E277:E278"/>
    <mergeCell ref="F277:F278"/>
    <mergeCell ref="A271:B271"/>
    <mergeCell ref="C271:K271"/>
    <mergeCell ref="A273:T274"/>
    <mergeCell ref="B275:I275"/>
    <mergeCell ref="J275:S275"/>
    <mergeCell ref="T275:U276"/>
    <mergeCell ref="A268:B268"/>
    <mergeCell ref="C268:K268"/>
    <mergeCell ref="A269:B269"/>
    <mergeCell ref="C269:K269"/>
    <mergeCell ref="A270:B270"/>
    <mergeCell ref="C270:K270"/>
    <mergeCell ref="A265:B265"/>
    <mergeCell ref="C265:K265"/>
    <mergeCell ref="A266:B266"/>
    <mergeCell ref="C266:K266"/>
    <mergeCell ref="A267:B267"/>
    <mergeCell ref="C267:K267"/>
    <mergeCell ref="A262:B262"/>
    <mergeCell ref="C262:K262"/>
    <mergeCell ref="A263:B263"/>
    <mergeCell ref="C263:K263"/>
    <mergeCell ref="A264:B264"/>
    <mergeCell ref="C264:K264"/>
    <mergeCell ref="A259:B259"/>
    <mergeCell ref="C259:K259"/>
    <mergeCell ref="A260:B260"/>
    <mergeCell ref="C260:K260"/>
    <mergeCell ref="A261:B261"/>
    <mergeCell ref="C261:K261"/>
    <mergeCell ref="A253:B253"/>
    <mergeCell ref="C253:K253"/>
    <mergeCell ref="A254:B254"/>
    <mergeCell ref="C254:K254"/>
    <mergeCell ref="A255:B255"/>
    <mergeCell ref="A258:L258"/>
    <mergeCell ref="A242:H242"/>
    <mergeCell ref="A245:T245"/>
    <mergeCell ref="B246:J246"/>
    <mergeCell ref="K246:T246"/>
    <mergeCell ref="A251:L251"/>
    <mergeCell ref="A252:B252"/>
    <mergeCell ref="C252:K252"/>
    <mergeCell ref="A236:R236"/>
    <mergeCell ref="A237:R237"/>
    <mergeCell ref="A238:Q238"/>
    <mergeCell ref="A239:H239"/>
    <mergeCell ref="A240:H240"/>
    <mergeCell ref="A241:H241"/>
    <mergeCell ref="A221:U222"/>
    <mergeCell ref="A224:K224"/>
    <mergeCell ref="B225:K225"/>
    <mergeCell ref="A229:T229"/>
    <mergeCell ref="B230:J230"/>
    <mergeCell ref="K230:T230"/>
    <mergeCell ref="A204:T204"/>
    <mergeCell ref="B205:J205"/>
    <mergeCell ref="K205:T205"/>
    <mergeCell ref="A211:T211"/>
    <mergeCell ref="B212:J212"/>
    <mergeCell ref="K212:T212"/>
    <mergeCell ref="A191:T191"/>
    <mergeCell ref="B192:J192"/>
    <mergeCell ref="K192:T192"/>
    <mergeCell ref="A198:T198"/>
    <mergeCell ref="B199:J199"/>
    <mergeCell ref="K199:T199"/>
    <mergeCell ref="A168:T168"/>
    <mergeCell ref="B169:J169"/>
    <mergeCell ref="K169:T169"/>
    <mergeCell ref="A178:T178"/>
    <mergeCell ref="B179:J179"/>
    <mergeCell ref="K179:T179"/>
    <mergeCell ref="A137:T137"/>
    <mergeCell ref="B138:J138"/>
    <mergeCell ref="K138:S138"/>
    <mergeCell ref="A158:T158"/>
    <mergeCell ref="B159:J159"/>
    <mergeCell ref="K159:T159"/>
    <mergeCell ref="A121:K121"/>
    <mergeCell ref="A130:K130"/>
    <mergeCell ref="A131:A132"/>
    <mergeCell ref="B131:K131"/>
    <mergeCell ref="D132:K132"/>
    <mergeCell ref="A136:T136"/>
    <mergeCell ref="A110:H110"/>
    <mergeCell ref="R110:S110"/>
    <mergeCell ref="A111:H111"/>
    <mergeCell ref="R111:S111"/>
    <mergeCell ref="R112:S112"/>
    <mergeCell ref="A113:K113"/>
    <mergeCell ref="A105:S105"/>
    <mergeCell ref="A106:S106"/>
    <mergeCell ref="A107:H108"/>
    <mergeCell ref="R107:S108"/>
    <mergeCell ref="A109:H109"/>
    <mergeCell ref="R109:S109"/>
    <mergeCell ref="A95:T95"/>
    <mergeCell ref="A96:A97"/>
    <mergeCell ref="B96:T96"/>
    <mergeCell ref="B97:J97"/>
    <mergeCell ref="M97:T97"/>
    <mergeCell ref="A104:S104"/>
    <mergeCell ref="T72:T73"/>
    <mergeCell ref="A80:S80"/>
    <mergeCell ref="B81:J81"/>
    <mergeCell ref="L81:S81"/>
    <mergeCell ref="A88:T88"/>
    <mergeCell ref="B89:K89"/>
    <mergeCell ref="L89:T89"/>
    <mergeCell ref="A59:T59"/>
    <mergeCell ref="B60:T60"/>
    <mergeCell ref="B61:J61"/>
    <mergeCell ref="M61:T61"/>
    <mergeCell ref="A69:T69"/>
    <mergeCell ref="A70:A71"/>
    <mergeCell ref="B70:T70"/>
    <mergeCell ref="B71:J71"/>
    <mergeCell ref="M71:T71"/>
    <mergeCell ref="A52:H52"/>
    <mergeCell ref="R52:S52"/>
    <mergeCell ref="A53:H53"/>
    <mergeCell ref="R53:S53"/>
    <mergeCell ref="R54:S54"/>
    <mergeCell ref="A57:U57"/>
    <mergeCell ref="A40:T40"/>
    <mergeCell ref="B41:J41"/>
    <mergeCell ref="M41:T41"/>
    <mergeCell ref="A48:S48"/>
    <mergeCell ref="A49:S49"/>
    <mergeCell ref="A50:Q50"/>
    <mergeCell ref="R50:S51"/>
    <mergeCell ref="A51:H51"/>
    <mergeCell ref="A17:T17"/>
    <mergeCell ref="B18:J18"/>
    <mergeCell ref="K18:T18"/>
    <mergeCell ref="A31:T31"/>
    <mergeCell ref="B32:J32"/>
    <mergeCell ref="K32:S32"/>
    <mergeCell ref="A1:P2"/>
    <mergeCell ref="R1:T2"/>
    <mergeCell ref="A5:U5"/>
    <mergeCell ref="A7:T7"/>
    <mergeCell ref="B8:J8"/>
    <mergeCell ref="M8:T8"/>
  </mergeCells>
  <conditionalFormatting sqref="B63:S67 C262 B20:S26 B43:S44 C263:K271 B140:S154 B99:S102 B316:T317">
    <cfRule type="cellIs" dxfId="27" priority="28" operator="lessThan">
      <formula>15</formula>
    </cfRule>
  </conditionalFormatting>
  <conditionalFormatting sqref="B10:S12">
    <cfRule type="cellIs" dxfId="26" priority="27" operator="lessThan">
      <formula>15</formula>
    </cfRule>
  </conditionalFormatting>
  <conditionalFormatting sqref="B34:S35">
    <cfRule type="cellIs" dxfId="25" priority="26" operator="lessThan">
      <formula>15</formula>
    </cfRule>
  </conditionalFormatting>
  <conditionalFormatting sqref="I52:Q53">
    <cfRule type="cellIs" dxfId="24" priority="25" operator="lessThan">
      <formula>15</formula>
    </cfRule>
  </conditionalFormatting>
  <conditionalFormatting sqref="B74:S75">
    <cfRule type="cellIs" dxfId="23" priority="24" operator="lessThan">
      <formula>15</formula>
    </cfRule>
  </conditionalFormatting>
  <conditionalFormatting sqref="B83:S84">
    <cfRule type="cellIs" dxfId="22" priority="23" operator="lessThan">
      <formula>15</formula>
    </cfRule>
  </conditionalFormatting>
  <conditionalFormatting sqref="B91:S92">
    <cfRule type="cellIs" dxfId="21" priority="22" operator="lessThan">
      <formula>15</formula>
    </cfRule>
  </conditionalFormatting>
  <conditionalFormatting sqref="I109:Q110">
    <cfRule type="cellIs" dxfId="20" priority="21" operator="lessThan">
      <formula>15</formula>
    </cfRule>
  </conditionalFormatting>
  <conditionalFormatting sqref="B115:J118">
    <cfRule type="cellIs" dxfId="19" priority="20" operator="lessThan">
      <formula>15</formula>
    </cfRule>
  </conditionalFormatting>
  <conditionalFormatting sqref="B123:J127">
    <cfRule type="cellIs" dxfId="18" priority="19" operator="lessThan">
      <formula>15</formula>
    </cfRule>
  </conditionalFormatting>
  <conditionalFormatting sqref="B134:J134">
    <cfRule type="cellIs" dxfId="17" priority="18" operator="lessThan">
      <formula>15</formula>
    </cfRule>
  </conditionalFormatting>
  <conditionalFormatting sqref="B161:S165">
    <cfRule type="cellIs" dxfId="16" priority="17" operator="lessThan">
      <formula>15</formula>
    </cfRule>
  </conditionalFormatting>
  <conditionalFormatting sqref="B171:S174">
    <cfRule type="cellIs" dxfId="15" priority="16" operator="lessThan">
      <formula>15</formula>
    </cfRule>
  </conditionalFormatting>
  <conditionalFormatting sqref="B181:S186">
    <cfRule type="cellIs" dxfId="14" priority="15" operator="lessThan">
      <formula>15</formula>
    </cfRule>
  </conditionalFormatting>
  <conditionalFormatting sqref="B194:T194">
    <cfRule type="cellIs" dxfId="13" priority="14" operator="lessThan">
      <formula>15</formula>
    </cfRule>
  </conditionalFormatting>
  <conditionalFormatting sqref="B201:U201">
    <cfRule type="cellIs" dxfId="12" priority="13" operator="lessThan">
      <formula>15</formula>
    </cfRule>
  </conditionalFormatting>
  <conditionalFormatting sqref="B207:S208">
    <cfRule type="cellIs" dxfId="11" priority="12" operator="lessThan">
      <formula>15</formula>
    </cfRule>
  </conditionalFormatting>
  <conditionalFormatting sqref="B214:S216">
    <cfRule type="cellIs" dxfId="10" priority="11" operator="lessThan">
      <formula>15</formula>
    </cfRule>
  </conditionalFormatting>
  <conditionalFormatting sqref="B227:J227">
    <cfRule type="cellIs" dxfId="9" priority="10" operator="lessThan">
      <formula>15</formula>
    </cfRule>
  </conditionalFormatting>
  <conditionalFormatting sqref="B232:S232">
    <cfRule type="cellIs" dxfId="8" priority="9" operator="lessThan">
      <formula>15</formula>
    </cfRule>
  </conditionalFormatting>
  <conditionalFormatting sqref="I240:Q242">
    <cfRule type="cellIs" dxfId="7" priority="8" operator="lessThan">
      <formula>15</formula>
    </cfRule>
  </conditionalFormatting>
  <conditionalFormatting sqref="B248:S248">
    <cfRule type="cellIs" dxfId="6" priority="7" operator="lessThan">
      <formula>15</formula>
    </cfRule>
  </conditionalFormatting>
  <conditionalFormatting sqref="C253:K254">
    <cfRule type="cellIs" dxfId="5" priority="6" operator="lessThan">
      <formula>15</formula>
    </cfRule>
  </conditionalFormatting>
  <conditionalFormatting sqref="C260:K261">
    <cfRule type="cellIs" dxfId="4" priority="5" operator="lessThan">
      <formula>15</formula>
    </cfRule>
  </conditionalFormatting>
  <conditionalFormatting sqref="H287:P289">
    <cfRule type="cellIs" dxfId="3" priority="4" operator="lessThan">
      <formula>15</formula>
    </cfRule>
  </conditionalFormatting>
  <conditionalFormatting sqref="B295:Q297">
    <cfRule type="cellIs" dxfId="2" priority="3" operator="lessThan">
      <formula>15</formula>
    </cfRule>
  </conditionalFormatting>
  <conditionalFormatting sqref="B303:R304">
    <cfRule type="cellIs" dxfId="1" priority="2" operator="lessThan">
      <formula>15</formula>
    </cfRule>
  </conditionalFormatting>
  <conditionalFormatting sqref="I111:Q111">
    <cfRule type="cellIs" dxfId="0" priority="1" operator="lessThan">
      <formula>15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0B28D-3324-C145-B5BA-D31B56F2787A}">
  <dimension ref="A1:AA282"/>
  <sheetViews>
    <sheetView topLeftCell="A2" workbookViewId="0">
      <selection activeCell="A2" sqref="A1:XFD1048576"/>
    </sheetView>
  </sheetViews>
  <sheetFormatPr baseColWidth="10" defaultColWidth="11.5" defaultRowHeight="25"/>
  <cols>
    <col min="1" max="1" width="8" style="459" customWidth="1"/>
    <col min="2" max="2" width="11.5" style="727"/>
    <col min="3" max="3" width="32.5" style="727" customWidth="1"/>
    <col min="4" max="4" width="14.83203125" style="459" customWidth="1"/>
    <col min="5" max="5" width="10.6640625" style="459" customWidth="1"/>
    <col min="6" max="6" width="12.1640625" style="459" customWidth="1"/>
    <col min="7" max="7" width="15.1640625" style="459" customWidth="1"/>
    <col min="8" max="8" width="17.33203125" style="459" customWidth="1"/>
    <col min="9" max="9" width="15.33203125" style="459" customWidth="1"/>
    <col min="10" max="12" width="10.6640625" style="459" customWidth="1"/>
    <col min="13" max="13" width="14.5" style="459" customWidth="1"/>
    <col min="14" max="17" width="10.6640625" style="459" customWidth="1"/>
    <col min="18" max="18" width="11" style="459" customWidth="1"/>
    <col min="19" max="21" width="10.6640625" style="459" customWidth="1"/>
    <col min="22" max="22" width="20" style="459" customWidth="1"/>
    <col min="23" max="27" width="11.5" style="459"/>
    <col min="28" max="16384" width="11.5" style="115"/>
  </cols>
  <sheetData>
    <row r="1" spans="1:27" s="458" customFormat="1" ht="41">
      <c r="A1" s="455"/>
      <c r="B1" s="456" t="s">
        <v>186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7">
        <v>46129</v>
      </c>
      <c r="Q1" s="457"/>
      <c r="R1" s="457"/>
      <c r="S1" s="457"/>
      <c r="T1" s="457"/>
      <c r="U1" s="457"/>
      <c r="V1" s="457"/>
      <c r="W1" s="455"/>
      <c r="X1" s="455"/>
      <c r="Y1" s="455"/>
      <c r="Z1" s="455"/>
      <c r="AA1" s="455"/>
    </row>
    <row r="2" spans="1:27" ht="34" thickBot="1">
      <c r="B2" s="460"/>
      <c r="C2" s="460"/>
      <c r="D2" s="461"/>
      <c r="E2" s="461"/>
      <c r="F2" s="461"/>
      <c r="G2" s="461"/>
      <c r="H2" s="461"/>
      <c r="I2" s="461"/>
      <c r="J2" s="461"/>
      <c r="K2" s="462"/>
      <c r="L2" s="462"/>
      <c r="M2" s="461"/>
      <c r="N2" s="461"/>
      <c r="O2" s="461"/>
      <c r="P2" s="461"/>
      <c r="Q2" s="461"/>
      <c r="R2" s="461"/>
      <c r="S2" s="461"/>
      <c r="T2" s="461"/>
      <c r="U2" s="461"/>
      <c r="V2" s="461"/>
    </row>
    <row r="3" spans="1:27" s="40" customFormat="1" ht="60" customHeight="1" thickBot="1">
      <c r="A3" s="463"/>
      <c r="B3" s="464" t="s">
        <v>187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6"/>
      <c r="W3" s="467"/>
      <c r="X3" s="467" t="s">
        <v>121</v>
      </c>
      <c r="Y3" s="467"/>
      <c r="Z3" s="467"/>
      <c r="AA3" s="467"/>
    </row>
    <row r="4" spans="1:27" s="40" customFormat="1" ht="26" thickBot="1">
      <c r="A4" s="463"/>
      <c r="B4" s="468"/>
      <c r="C4" s="469"/>
      <c r="D4" s="470"/>
      <c r="E4" s="471"/>
      <c r="F4" s="471"/>
      <c r="G4" s="471"/>
      <c r="H4" s="471"/>
      <c r="I4" s="471"/>
      <c r="J4" s="471"/>
      <c r="K4" s="472"/>
      <c r="L4" s="472"/>
      <c r="M4" s="471"/>
      <c r="N4" s="471"/>
      <c r="O4" s="471"/>
      <c r="P4" s="471"/>
      <c r="Q4" s="471"/>
      <c r="R4" s="471"/>
      <c r="S4" s="471"/>
      <c r="T4" s="471"/>
      <c r="U4" s="471"/>
      <c r="V4" s="473"/>
      <c r="W4" s="467"/>
      <c r="X4" s="467"/>
      <c r="Y4" s="467"/>
      <c r="Z4" s="467"/>
      <c r="AA4" s="467"/>
    </row>
    <row r="5" spans="1:27" s="40" customFormat="1" ht="26" thickBot="1">
      <c r="A5" s="463"/>
      <c r="B5" s="474"/>
      <c r="C5" s="475"/>
      <c r="D5" s="476" t="s">
        <v>3</v>
      </c>
      <c r="E5" s="476"/>
      <c r="F5" s="476"/>
      <c r="G5" s="476"/>
      <c r="H5" s="476"/>
      <c r="I5" s="476"/>
      <c r="J5" s="476"/>
      <c r="K5" s="476"/>
      <c r="L5" s="476"/>
      <c r="M5" s="477" t="s">
        <v>149</v>
      </c>
      <c r="N5" s="478"/>
      <c r="O5" s="478"/>
      <c r="P5" s="478"/>
      <c r="Q5" s="478"/>
      <c r="R5" s="478"/>
      <c r="S5" s="478"/>
      <c r="T5" s="478"/>
      <c r="U5" s="479"/>
      <c r="V5" s="480" t="s">
        <v>84</v>
      </c>
      <c r="W5" s="467"/>
      <c r="X5" s="467"/>
      <c r="Y5" s="467"/>
      <c r="Z5" s="467"/>
      <c r="AA5" s="467"/>
    </row>
    <row r="6" spans="1:27" s="40" customFormat="1">
      <c r="A6" s="463"/>
      <c r="B6" s="481" t="s">
        <v>90</v>
      </c>
      <c r="C6" s="482"/>
      <c r="D6" s="483">
        <v>30</v>
      </c>
      <c r="E6" s="483">
        <v>50</v>
      </c>
      <c r="F6" s="483">
        <v>50</v>
      </c>
      <c r="G6" s="483">
        <v>50</v>
      </c>
      <c r="H6" s="483">
        <v>50</v>
      </c>
      <c r="I6" s="483">
        <v>50</v>
      </c>
      <c r="J6" s="483">
        <v>30</v>
      </c>
      <c r="K6" s="483">
        <v>10</v>
      </c>
      <c r="L6" s="484">
        <v>10</v>
      </c>
      <c r="M6" s="485">
        <v>80</v>
      </c>
      <c r="N6" s="483">
        <v>80</v>
      </c>
      <c r="O6" s="483">
        <v>80</v>
      </c>
      <c r="P6" s="483">
        <v>80</v>
      </c>
      <c r="Q6" s="483">
        <v>80</v>
      </c>
      <c r="R6" s="483">
        <v>80</v>
      </c>
      <c r="S6" s="483">
        <v>80</v>
      </c>
      <c r="T6" s="483">
        <v>20</v>
      </c>
      <c r="U6" s="486">
        <v>20</v>
      </c>
      <c r="V6" s="487"/>
      <c r="W6" s="467"/>
      <c r="X6" s="467"/>
      <c r="Y6" s="467"/>
      <c r="Z6" s="467"/>
      <c r="AA6" s="467"/>
    </row>
    <row r="7" spans="1:27" s="40" customFormat="1" ht="26" thickBot="1">
      <c r="A7" s="463"/>
      <c r="B7" s="488"/>
      <c r="C7" s="489"/>
      <c r="D7" s="490" t="s">
        <v>10</v>
      </c>
      <c r="E7" s="490" t="s">
        <v>53</v>
      </c>
      <c r="F7" s="490" t="s">
        <v>54</v>
      </c>
      <c r="G7" s="490" t="s">
        <v>55</v>
      </c>
      <c r="H7" s="490" t="s">
        <v>56</v>
      </c>
      <c r="I7" s="490" t="s">
        <v>15</v>
      </c>
      <c r="J7" s="490" t="s">
        <v>16</v>
      </c>
      <c r="K7" s="490" t="s">
        <v>17</v>
      </c>
      <c r="L7" s="491" t="s">
        <v>18</v>
      </c>
      <c r="M7" s="492" t="s">
        <v>10</v>
      </c>
      <c r="N7" s="493" t="s">
        <v>53</v>
      </c>
      <c r="O7" s="493" t="s">
        <v>54</v>
      </c>
      <c r="P7" s="493" t="s">
        <v>55</v>
      </c>
      <c r="Q7" s="493" t="s">
        <v>56</v>
      </c>
      <c r="R7" s="493" t="s">
        <v>15</v>
      </c>
      <c r="S7" s="493" t="s">
        <v>16</v>
      </c>
      <c r="T7" s="493" t="s">
        <v>17</v>
      </c>
      <c r="U7" s="494" t="s">
        <v>18</v>
      </c>
      <c r="V7" s="495"/>
      <c r="W7" s="467"/>
      <c r="X7" s="467"/>
      <c r="Y7" s="467"/>
      <c r="Z7" s="467"/>
      <c r="AA7" s="467"/>
    </row>
    <row r="8" spans="1:27" s="40" customFormat="1">
      <c r="A8" s="463"/>
      <c r="B8" s="496" t="s">
        <v>61</v>
      </c>
      <c r="C8" s="497"/>
      <c r="D8" s="498">
        <f>30-2+2-7-1+2+6-4-1-1+5-2-1+1-1-1+3+2-1-1+2-7-2</f>
        <v>21</v>
      </c>
      <c r="E8" s="499">
        <f>43+7-2-2-1-1-1-2-2-1+7+4-1+1+1-2-4-1-3-1+7-1-2-8+7-1-1-1-2</f>
        <v>37</v>
      </c>
      <c r="F8" s="499">
        <f>10+39-2-2-1-3-2-1-1+9+4-5-1+6-1-1-1-1-7-3+4-9-9-6-6-1+34-1-1-2-2</f>
        <v>37</v>
      </c>
      <c r="G8" s="499">
        <f>48-4-2-2-1-2-1-1+11+1-2-1+3-1+3-2-1-1-2+4-3-1-3-4-5+10-1-2</f>
        <v>38</v>
      </c>
      <c r="H8" s="499">
        <f>22+26-1-2-3-3+11-1-2+1-1-2-3-2+8-2</f>
        <v>46</v>
      </c>
      <c r="I8" s="499">
        <f>50+50-50-1-1+2-2+2-2+2</f>
        <v>50</v>
      </c>
      <c r="J8" s="500">
        <f>30-2</f>
        <v>28</v>
      </c>
      <c r="K8" s="501">
        <f>8+2-4-1-1-2</f>
        <v>2</v>
      </c>
      <c r="L8" s="502">
        <f>7+3</f>
        <v>10</v>
      </c>
      <c r="M8" s="503">
        <f>68+10-1+2+1-1+1-2-2</f>
        <v>76</v>
      </c>
      <c r="N8" s="499">
        <f>30+42-4-1-1-2-1-2-1+14+6-1-2-1+1-10-2-3-3-4-1+21-6-2-2</f>
        <v>65</v>
      </c>
      <c r="O8" s="499">
        <f>4+76-3-12-4-1-2-6-2-2+20-2-1-1-1+12-1-2+6-4-4-1-2-11-3+11-5-2-1-5-10-7-1-2-6-2-6+57-1-1-2-6-1-1-1-1-3-8</f>
        <v>49</v>
      </c>
      <c r="P8" s="499">
        <f>18+46-1-18-4-1-2-1-4-2-1+40-1-1-1-2-3-1-1+11+9-4-15-1-4+19-1-1-5-10-1-1-7-7+31-1-4-2</f>
        <v>66</v>
      </c>
      <c r="Q8" s="499">
        <f>55+24-1-1-4-1-4+8+1+3-1-1-1-1-5-2+3-3-1-2-2-1-1-8+18-1-10-2-4</f>
        <v>55</v>
      </c>
      <c r="R8" s="499">
        <f>59+15-5-1+6-2-1+6+3-1-1-8+2+1</f>
        <v>73</v>
      </c>
      <c r="S8" s="499">
        <f>66+14-2-1+2-1+1-2-2+3-1-1+4-2</f>
        <v>78</v>
      </c>
      <c r="T8" s="501">
        <f>2-1-1</f>
        <v>0</v>
      </c>
      <c r="U8" s="504">
        <f>8+12-2-2-2-1</f>
        <v>13</v>
      </c>
      <c r="V8" s="505">
        <f t="shared" ref="V8:V31" si="0">SUM(D8:U8)</f>
        <v>744</v>
      </c>
      <c r="W8" s="467"/>
      <c r="X8" s="467"/>
      <c r="Y8" s="467"/>
      <c r="Z8" s="467"/>
      <c r="AA8" s="467"/>
    </row>
    <row r="9" spans="1:27" s="40" customFormat="1">
      <c r="A9" s="463"/>
      <c r="B9" s="506" t="s">
        <v>58</v>
      </c>
      <c r="C9" s="507"/>
      <c r="D9" s="498">
        <f>26-3+4+3</f>
        <v>30</v>
      </c>
      <c r="E9" s="499">
        <f>31+16-5+3+4+1-2-1+2-1+2</f>
        <v>50</v>
      </c>
      <c r="F9" s="499">
        <f>26+22-1-2-5+5+5-8+8-6+6-1-1</f>
        <v>48</v>
      </c>
      <c r="G9" s="499">
        <f>40+10-2-5+2+1+4-8-1+8-3+4</f>
        <v>50</v>
      </c>
      <c r="H9" s="499">
        <f>29+21-2-1+3-3+3-3+3</f>
        <v>50</v>
      </c>
      <c r="I9" s="499">
        <f>46+4-1+1-2+2-1</f>
        <v>49</v>
      </c>
      <c r="J9" s="500">
        <f>29+1-2+2-1</f>
        <v>29</v>
      </c>
      <c r="K9" s="500">
        <f>9+1</f>
        <v>10</v>
      </c>
      <c r="L9" s="502">
        <v>10</v>
      </c>
      <c r="M9" s="503">
        <f>78+2-1+1-1</f>
        <v>79</v>
      </c>
      <c r="N9" s="499">
        <f>58-1-2-5+25-4-1+9-1+1-1-4-5-2+11-1-10-3+16-1-1</f>
        <v>78</v>
      </c>
      <c r="O9" s="499">
        <f>52-5-1-2-1-5-1+36-6+13-4-5-8-1-1+17-5+7-1-1-1-12-1</f>
        <v>64</v>
      </c>
      <c r="P9" s="499">
        <f>31-1-8-1-3-1-1+58-5+6-2-1-5-1+13-1-7-1+9-1-1-6</f>
        <v>71</v>
      </c>
      <c r="Q9" s="499">
        <f>53-5-1-2+32-1-20+1-1+24-1-2-1+4-1-1+2-1-1</f>
        <v>78</v>
      </c>
      <c r="R9" s="499">
        <f>56+24-1-1+2-1-1-1</f>
        <v>77</v>
      </c>
      <c r="S9" s="499">
        <f>69-3-1+14+1-2+2-5+5-1-1+2-1</f>
        <v>79</v>
      </c>
      <c r="T9" s="500">
        <f>14-1+6+1-1+1</f>
        <v>20</v>
      </c>
      <c r="U9" s="508">
        <f>20-1+1-1+1</f>
        <v>20</v>
      </c>
      <c r="V9" s="505">
        <f t="shared" si="0"/>
        <v>892</v>
      </c>
      <c r="W9" s="467"/>
      <c r="X9" s="467"/>
      <c r="Y9" s="467"/>
      <c r="Z9" s="467"/>
      <c r="AA9" s="467"/>
    </row>
    <row r="10" spans="1:27" s="40" customFormat="1">
      <c r="A10" s="463"/>
      <c r="B10" s="506" t="s">
        <v>24</v>
      </c>
      <c r="C10" s="507"/>
      <c r="D10" s="509">
        <f>28+2-2-2+4-2+2-1-5-5-1-1</f>
        <v>17</v>
      </c>
      <c r="E10" s="499">
        <f>38+11-1-1-3-2-2+3-1-3-2+7-2-4+8-2-4-1+10-2-4+7-1</f>
        <v>49</v>
      </c>
      <c r="F10" s="499">
        <f>37+13-1-3-3+5-2+2-2-8-1+4-5-3+17-2-8-4-2-3-6+25-5</f>
        <v>45</v>
      </c>
      <c r="G10" s="499">
        <f>42+8-1-1-1-3-2+2-1-1-1-1+6-2+4-6-2+10-12-3-1-1-3+20-1-5</f>
        <v>44</v>
      </c>
      <c r="H10" s="499">
        <f>48+2-3-1-1-6-4+11-1+4-1-1+2-8-2+11</f>
        <v>50</v>
      </c>
      <c r="I10" s="499">
        <f>45+5-1+1-2-1-2+5</f>
        <v>50</v>
      </c>
      <c r="J10" s="501">
        <f>26+4-1-29</f>
        <v>0</v>
      </c>
      <c r="K10" s="500">
        <v>10</v>
      </c>
      <c r="L10" s="502">
        <f>9+1</f>
        <v>10</v>
      </c>
      <c r="M10" s="503">
        <f>70-2+2+10-2+2</f>
        <v>80</v>
      </c>
      <c r="N10" s="499">
        <f>58-3-3-1-12+25-1-1-2-1+16-3-1-4+13-1-2+1-3-8-2-3+18-1-2</f>
        <v>77</v>
      </c>
      <c r="O10" s="499">
        <f>45-4-1-1-1-3-1-2-1-5-6-1-2+36-1-1-1+27-6-1-4+14-1-3-3-24-1-2-1-12-2-1-2+34-3-2-5-5+33-1-1-2-1-5</f>
        <v>70</v>
      </c>
      <c r="P10" s="499">
        <f>32-4-1-1-1-1-2-3-1-2-1-1-2-2+43-1-2-1-2-1+27-1-7-1-6+22-4-3-24-2-3-5+33-7-1-2-1-7-2+26-1-5</f>
        <v>72</v>
      </c>
      <c r="Q10" s="499">
        <f>43-1-1-1-2-1-2+32-3+13-3-2+8-15-1-6-1-1+15-2-13-2-1-1+28-1-1-1</f>
        <v>77</v>
      </c>
      <c r="R10" s="499">
        <f>70-1-1-1-1-10+24-1-1-1-1+4-1-2+3</f>
        <v>80</v>
      </c>
      <c r="S10" s="499">
        <f>80-1+1-1-1-1+1-11-1+14-1-1+2</f>
        <v>80</v>
      </c>
      <c r="T10" s="500">
        <v>20</v>
      </c>
      <c r="U10" s="508">
        <f>20-1-1+1+1-2+2</f>
        <v>20</v>
      </c>
      <c r="V10" s="505">
        <f t="shared" si="0"/>
        <v>851</v>
      </c>
      <c r="W10" s="467"/>
      <c r="X10" s="467"/>
      <c r="Y10" s="467"/>
      <c r="Z10" s="467"/>
      <c r="AA10" s="467"/>
    </row>
    <row r="11" spans="1:27" s="40" customFormat="1">
      <c r="A11" s="463"/>
      <c r="B11" s="506" t="s">
        <v>188</v>
      </c>
      <c r="C11" s="507"/>
      <c r="D11" s="498">
        <f>25+5</f>
        <v>30</v>
      </c>
      <c r="E11" s="499">
        <f>45+4-1-1+2+1-10-1-1+11+1-4-3+4</f>
        <v>47</v>
      </c>
      <c r="F11" s="500">
        <f>29+21-2-4-1-1+6+2-22-21-7+50-1-3-1+4-2-1</f>
        <v>46</v>
      </c>
      <c r="G11" s="510">
        <f>50-1-1+1+1-8-1-1+10-5+5-1-2-2+3+2-10-1+11-2-32+2-4</f>
        <v>14</v>
      </c>
      <c r="H11" s="499">
        <f>31+19-1-6+1-3-5-9-2-1-3-21+50-4+4-1</f>
        <v>49</v>
      </c>
      <c r="I11" s="499">
        <f>48+2-2-2-2-4-5-1-1-18-2-1-10+48-1+1-1</f>
        <v>49</v>
      </c>
      <c r="J11" s="500">
        <f>29+1-1-1-1-11-2+16</f>
        <v>30</v>
      </c>
      <c r="K11" s="500">
        <f>9+1</f>
        <v>10</v>
      </c>
      <c r="L11" s="502">
        <f>9+1</f>
        <v>10</v>
      </c>
      <c r="M11" s="503">
        <f>80-1-1+2-1</f>
        <v>79</v>
      </c>
      <c r="N11" s="499">
        <f>63-2-4-1-1-2+24+3-10+10-1-1</f>
        <v>78</v>
      </c>
      <c r="O11" s="499">
        <f>56-8-1-4-2-6-2-1-2+47+3-10-5+15-1+1-3-1+3-7-6-3</f>
        <v>63</v>
      </c>
      <c r="P11" s="499">
        <f>44-9-6-3-7-4-1+65-2+1-5+7-4+4-9-4</f>
        <v>67</v>
      </c>
      <c r="Q11" s="499">
        <f>69-2-4-1-4-1+22+1-2-1+2-1+2-1-1+2-10-1-1</f>
        <v>68</v>
      </c>
      <c r="R11" s="499">
        <f>75-1-2+6-1-1+2-1+3-1+1</f>
        <v>80</v>
      </c>
      <c r="S11" s="499">
        <f>76-1-1-1+7</f>
        <v>80</v>
      </c>
      <c r="T11" s="500">
        <f>18-1+3</f>
        <v>20</v>
      </c>
      <c r="U11" s="508">
        <f>20-1-1+2</f>
        <v>20</v>
      </c>
      <c r="V11" s="505">
        <f t="shared" si="0"/>
        <v>840</v>
      </c>
      <c r="W11" s="467"/>
      <c r="X11" s="467"/>
      <c r="Y11" s="467"/>
      <c r="Z11" s="467"/>
      <c r="AA11" s="467"/>
    </row>
    <row r="12" spans="1:27" s="40" customFormat="1">
      <c r="A12" s="463"/>
      <c r="B12" s="506" t="s">
        <v>25</v>
      </c>
      <c r="C12" s="507"/>
      <c r="D12" s="498">
        <v>30</v>
      </c>
      <c r="E12" s="499">
        <f>42+8-1+1-4+4-1-1</f>
        <v>48</v>
      </c>
      <c r="F12" s="499">
        <f>47+3-1-1+2-1-1+2-1-3-1+4-2+3-1-1</f>
        <v>48</v>
      </c>
      <c r="G12" s="499">
        <f>48+1-1-1+3-1-1+1+1-2+2-2</f>
        <v>48</v>
      </c>
      <c r="H12" s="499">
        <f>50-9+9-3+3-1+1-1+1-2+2</f>
        <v>50</v>
      </c>
      <c r="I12" s="499">
        <f>49+1-1+1</f>
        <v>50</v>
      </c>
      <c r="J12" s="500">
        <f>30-4+4-1+1</f>
        <v>30</v>
      </c>
      <c r="K12" s="500">
        <f>10-1+1</f>
        <v>10</v>
      </c>
      <c r="L12" s="502">
        <f>10-1+1</f>
        <v>10</v>
      </c>
      <c r="M12" s="503">
        <f>77+3-1</f>
        <v>79</v>
      </c>
      <c r="N12" s="499">
        <f>79-1+2-1-2-13+1-6-1+22-1-1-2</f>
        <v>76</v>
      </c>
      <c r="O12" s="499">
        <f>56-1-1+25-1-1+1+2-3-5-25+3-3-2-5+40-1-1</f>
        <v>78</v>
      </c>
      <c r="P12" s="499">
        <f>59-1+22-1-1-1+3-2-2-20+2-2-2+26</f>
        <v>80</v>
      </c>
      <c r="Q12" s="499">
        <f>66+14-1+1-2-8-1-4+15</f>
        <v>80</v>
      </c>
      <c r="R12" s="499">
        <f>73-1+7-1+1+1-1+1</f>
        <v>80</v>
      </c>
      <c r="S12" s="499">
        <f>79+1-1+1</f>
        <v>80</v>
      </c>
      <c r="T12" s="500">
        <f>20-1+1</f>
        <v>20</v>
      </c>
      <c r="U12" s="508">
        <f>20-1+1-1+1</f>
        <v>20</v>
      </c>
      <c r="V12" s="505">
        <f t="shared" si="0"/>
        <v>917</v>
      </c>
      <c r="W12" s="467"/>
      <c r="X12" s="467"/>
      <c r="Y12" s="467"/>
      <c r="Z12" s="467"/>
      <c r="AA12" s="467"/>
    </row>
    <row r="13" spans="1:27" s="40" customFormat="1" ht="27.75" customHeight="1">
      <c r="A13" s="463"/>
      <c r="B13" s="506" t="s">
        <v>21</v>
      </c>
      <c r="C13" s="507"/>
      <c r="D13" s="498">
        <v>30</v>
      </c>
      <c r="E13" s="499">
        <f>48+1-2+3-2-2+4-2+2</f>
        <v>50</v>
      </c>
      <c r="F13" s="499">
        <f>40+8-6-2-1+10+1-1+1-1-2-3+6-2-9+11</f>
        <v>50</v>
      </c>
      <c r="G13" s="499">
        <f>45+3-1+2+1-3-5+3</f>
        <v>45</v>
      </c>
      <c r="H13" s="499">
        <f>49+1-1+1-2+2</f>
        <v>50</v>
      </c>
      <c r="I13" s="499">
        <f>49+1-1</f>
        <v>49</v>
      </c>
      <c r="J13" s="500">
        <v>30</v>
      </c>
      <c r="K13" s="500">
        <v>10</v>
      </c>
      <c r="L13" s="502">
        <v>10</v>
      </c>
      <c r="M13" s="503">
        <f>77+3-2</f>
        <v>78</v>
      </c>
      <c r="N13" s="499">
        <f>79+1-2+2-1-1-1+3-4-2-1+6-2-2</f>
        <v>75</v>
      </c>
      <c r="O13" s="499">
        <f>70-1+11-3-1+3-1-5+2-4-3-1+12-6-7-1+14-3-9</f>
        <v>67</v>
      </c>
      <c r="P13" s="499">
        <f>57-1+24-4-1+4-1-4+2-2+6-1-10-1-1-1+13-2-5</f>
        <v>72</v>
      </c>
      <c r="Q13" s="499">
        <f>66-2+16-10+10-1-5-1-2+9-2-1+3-2</f>
        <v>78</v>
      </c>
      <c r="R13" s="499">
        <f>77-1+3-1-1+1+2-1</f>
        <v>79</v>
      </c>
      <c r="S13" s="499">
        <f>80-2-1+3-1-2+3</f>
        <v>80</v>
      </c>
      <c r="T13" s="500">
        <f>20-1</f>
        <v>19</v>
      </c>
      <c r="U13" s="508">
        <f>18-1-5-2-5+5+10</f>
        <v>20</v>
      </c>
      <c r="V13" s="505">
        <f t="shared" si="0"/>
        <v>892</v>
      </c>
      <c r="W13" s="467"/>
      <c r="X13" s="467"/>
      <c r="Y13" s="467"/>
      <c r="Z13" s="467"/>
      <c r="AA13" s="467"/>
    </row>
    <row r="14" spans="1:27" s="40" customFormat="1" ht="21" customHeight="1">
      <c r="A14" s="463"/>
      <c r="B14" s="506" t="s">
        <v>63</v>
      </c>
      <c r="C14" s="507"/>
      <c r="D14" s="498">
        <f>30-3+3</f>
        <v>30</v>
      </c>
      <c r="E14" s="499">
        <f>46+4-2-1+2+1-4</f>
        <v>46</v>
      </c>
      <c r="F14" s="499">
        <f>47+3-7-2+9-13</f>
        <v>37</v>
      </c>
      <c r="G14" s="499">
        <f>44+6-6-1+7-9</f>
        <v>41</v>
      </c>
      <c r="H14" s="499">
        <f>48+2-5-1</f>
        <v>44</v>
      </c>
      <c r="I14" s="499">
        <f>50-6</f>
        <v>44</v>
      </c>
      <c r="J14" s="500">
        <v>30</v>
      </c>
      <c r="K14" s="500">
        <v>10</v>
      </c>
      <c r="L14" s="502">
        <v>10</v>
      </c>
      <c r="M14" s="503">
        <f>73+7</f>
        <v>80</v>
      </c>
      <c r="N14" s="499">
        <f>78-2+2-1+2-3-1+4-1+1-1+2</f>
        <v>80</v>
      </c>
      <c r="O14" s="499">
        <f>69-1-2+12-1+2-6+7-1+1</f>
        <v>80</v>
      </c>
      <c r="P14" s="499">
        <f>71-1-1-1+11+1-7+7</f>
        <v>80</v>
      </c>
      <c r="Q14" s="499">
        <f>73-2+9-3+3</f>
        <v>80</v>
      </c>
      <c r="R14" s="499">
        <f>69-1+12-1+1-1</f>
        <v>79</v>
      </c>
      <c r="S14" s="499">
        <f>77+3-2+2-1+1</f>
        <v>80</v>
      </c>
      <c r="T14" s="500">
        <v>20</v>
      </c>
      <c r="U14" s="508">
        <v>20</v>
      </c>
      <c r="V14" s="505">
        <f t="shared" si="0"/>
        <v>891</v>
      </c>
      <c r="W14" s="467"/>
      <c r="X14" s="467"/>
      <c r="Y14" s="467"/>
      <c r="Z14" s="467"/>
      <c r="AA14" s="467"/>
    </row>
    <row r="15" spans="1:27" s="40" customFormat="1">
      <c r="A15" s="463"/>
      <c r="B15" s="511" t="s">
        <v>189</v>
      </c>
      <c r="C15" s="512"/>
      <c r="D15" s="513">
        <f>10+3</f>
        <v>13</v>
      </c>
      <c r="E15" s="514">
        <f>20-10+10-1-1+2-2+2-1</f>
        <v>19</v>
      </c>
      <c r="F15" s="514">
        <f>25-1+1-1-1+2</f>
        <v>25</v>
      </c>
      <c r="G15" s="514">
        <f>25-1+1-1</f>
        <v>24</v>
      </c>
      <c r="H15" s="514">
        <f>19+1-1+1</f>
        <v>20</v>
      </c>
      <c r="I15" s="514">
        <f>15-1+1+1</f>
        <v>16</v>
      </c>
      <c r="J15" s="515">
        <v>10</v>
      </c>
      <c r="K15" s="515">
        <v>5</v>
      </c>
      <c r="L15" s="516">
        <f>5-1+1</f>
        <v>5</v>
      </c>
      <c r="M15" s="517">
        <f>12+3</f>
        <v>15</v>
      </c>
      <c r="N15" s="514">
        <f>21-5+4+5</f>
        <v>25</v>
      </c>
      <c r="O15" s="514">
        <f>22-6-5+14+5</f>
        <v>30</v>
      </c>
      <c r="P15" s="514">
        <f>23-2+9-2+2</f>
        <v>30</v>
      </c>
      <c r="Q15" s="514">
        <f>27-1-6</f>
        <v>20</v>
      </c>
      <c r="R15" s="514">
        <v>20</v>
      </c>
      <c r="S15" s="514">
        <f>15-1+1-1+1-1</f>
        <v>14</v>
      </c>
      <c r="T15" s="515">
        <f>5-1+1</f>
        <v>5</v>
      </c>
      <c r="U15" s="518">
        <f>5-2+2</f>
        <v>5</v>
      </c>
      <c r="V15" s="505">
        <f t="shared" si="0"/>
        <v>301</v>
      </c>
      <c r="W15" s="467"/>
      <c r="X15" s="467"/>
      <c r="Y15" s="467"/>
      <c r="Z15" s="467"/>
      <c r="AA15" s="467"/>
    </row>
    <row r="16" spans="1:27" s="40" customFormat="1">
      <c r="A16" s="463"/>
      <c r="B16" s="519" t="s">
        <v>166</v>
      </c>
      <c r="C16" s="520"/>
      <c r="D16" s="513">
        <f>10-10+10</f>
        <v>10</v>
      </c>
      <c r="E16" s="514">
        <f>13+7-2+2-1-2</f>
        <v>17</v>
      </c>
      <c r="F16" s="514">
        <f>25-1+1-1+1-1+1-1</f>
        <v>24</v>
      </c>
      <c r="G16" s="514">
        <f>25-1-1-1+3-1+1-1</f>
        <v>24</v>
      </c>
      <c r="H16" s="514">
        <f>20-3+3-1+1</f>
        <v>20</v>
      </c>
      <c r="I16" s="514">
        <f>14+1</f>
        <v>15</v>
      </c>
      <c r="J16" s="515">
        <f>9+1-2+2</f>
        <v>10</v>
      </c>
      <c r="K16" s="515">
        <f>4+1-1+1</f>
        <v>5</v>
      </c>
      <c r="L16" s="516">
        <v>5</v>
      </c>
      <c r="M16" s="517">
        <f>14+1</f>
        <v>15</v>
      </c>
      <c r="N16" s="514">
        <f>25-2+2-1</f>
        <v>24</v>
      </c>
      <c r="O16" s="514">
        <f>24-2+6+2-1</f>
        <v>29</v>
      </c>
      <c r="P16" s="514">
        <f>26+4-1+1-2-2+4</f>
        <v>30</v>
      </c>
      <c r="Q16" s="514">
        <f>17+3-6</f>
        <v>14</v>
      </c>
      <c r="R16" s="514">
        <f>19+1-1+1-2+2</f>
        <v>20</v>
      </c>
      <c r="S16" s="514">
        <v>15</v>
      </c>
      <c r="T16" s="515">
        <v>5</v>
      </c>
      <c r="U16" s="518">
        <v>5</v>
      </c>
      <c r="V16" s="505">
        <f>SUM(D16:U16)</f>
        <v>287</v>
      </c>
      <c r="W16" s="467"/>
      <c r="X16" s="467"/>
      <c r="Y16" s="467"/>
      <c r="Z16" s="467"/>
      <c r="AA16" s="467"/>
    </row>
    <row r="17" spans="1:27" s="40" customFormat="1">
      <c r="A17" s="463"/>
      <c r="B17" s="506" t="s">
        <v>190</v>
      </c>
      <c r="C17" s="507"/>
      <c r="D17" s="498">
        <f>12+3</f>
        <v>15</v>
      </c>
      <c r="E17" s="499">
        <f>26+4-2-3+2-1+3+1-4-3+4-1</f>
        <v>26</v>
      </c>
      <c r="F17" s="499">
        <f>8+22-2+2-1-4-1+5</f>
        <v>29</v>
      </c>
      <c r="G17" s="499">
        <f>22+8-2+2-1-1+2</f>
        <v>30</v>
      </c>
      <c r="H17" s="499">
        <f>14+12</f>
        <v>26</v>
      </c>
      <c r="I17" s="499">
        <f>11+9-1+1-1</f>
        <v>19</v>
      </c>
      <c r="J17" s="500">
        <v>15</v>
      </c>
      <c r="K17" s="500">
        <v>5</v>
      </c>
      <c r="L17" s="502">
        <f>4+1</f>
        <v>5</v>
      </c>
      <c r="M17" s="503">
        <f>17+3-1</f>
        <v>19</v>
      </c>
      <c r="N17" s="499">
        <f>29+1-3+3-1</f>
        <v>29</v>
      </c>
      <c r="O17" s="499">
        <f>39+1-1+1-1</f>
        <v>39</v>
      </c>
      <c r="P17" s="499">
        <v>40</v>
      </c>
      <c r="Q17" s="499">
        <f>21+4</f>
        <v>25</v>
      </c>
      <c r="R17" s="499">
        <v>46</v>
      </c>
      <c r="S17" s="499">
        <v>31</v>
      </c>
      <c r="T17" s="500">
        <v>5</v>
      </c>
      <c r="U17" s="508">
        <v>6</v>
      </c>
      <c r="V17" s="505">
        <f t="shared" si="0"/>
        <v>410</v>
      </c>
      <c r="W17" s="467"/>
      <c r="X17" s="467"/>
      <c r="Y17" s="467"/>
      <c r="Z17" s="467"/>
      <c r="AA17" s="467"/>
    </row>
    <row r="18" spans="1:27" s="40" customFormat="1">
      <c r="A18" s="463"/>
      <c r="B18" s="521" t="s">
        <v>27</v>
      </c>
      <c r="C18" s="522"/>
      <c r="D18" s="498">
        <v>15</v>
      </c>
      <c r="E18" s="499">
        <f>29+1-3+3-1-1</f>
        <v>28</v>
      </c>
      <c r="F18" s="499">
        <f>24+5-1+2-1</f>
        <v>29</v>
      </c>
      <c r="G18" s="499">
        <v>30</v>
      </c>
      <c r="H18" s="499">
        <f>24+1</f>
        <v>25</v>
      </c>
      <c r="I18" s="499">
        <f>18+2</f>
        <v>20</v>
      </c>
      <c r="J18" s="500">
        <f>14+1</f>
        <v>15</v>
      </c>
      <c r="K18" s="500">
        <f>4+1</f>
        <v>5</v>
      </c>
      <c r="L18" s="502">
        <v>5</v>
      </c>
      <c r="M18" s="503">
        <v>20</v>
      </c>
      <c r="N18" s="499">
        <v>30</v>
      </c>
      <c r="O18" s="499">
        <f>40-1-1</f>
        <v>38</v>
      </c>
      <c r="P18" s="499">
        <f>40-1+1-1</f>
        <v>39</v>
      </c>
      <c r="Q18" s="499">
        <f>24+1</f>
        <v>25</v>
      </c>
      <c r="R18" s="499">
        <f>20-1+1</f>
        <v>20</v>
      </c>
      <c r="S18" s="499">
        <v>15</v>
      </c>
      <c r="T18" s="500">
        <f>3+2-1</f>
        <v>4</v>
      </c>
      <c r="U18" s="508">
        <v>5</v>
      </c>
      <c r="V18" s="505">
        <f t="shared" si="0"/>
        <v>368</v>
      </c>
      <c r="W18" s="467"/>
      <c r="X18" s="467"/>
      <c r="Y18" s="467"/>
      <c r="Z18" s="467"/>
      <c r="AA18" s="467"/>
    </row>
    <row r="19" spans="1:27" s="40" customFormat="1">
      <c r="A19" s="463"/>
      <c r="B19" s="523" t="s">
        <v>191</v>
      </c>
      <c r="C19" s="524"/>
      <c r="D19" s="513">
        <f>8+2-1+1</f>
        <v>10</v>
      </c>
      <c r="E19" s="514">
        <f>8+2-3+13-1+1-1</f>
        <v>19</v>
      </c>
      <c r="F19" s="514">
        <f>10+14-1-1-1+3+1-3</f>
        <v>22</v>
      </c>
      <c r="G19" s="514">
        <f>22+3-1+1-1</f>
        <v>24</v>
      </c>
      <c r="H19" s="514">
        <f>15+5-1+1-1+1-1+1</f>
        <v>20</v>
      </c>
      <c r="I19" s="514">
        <f>15-1+1</f>
        <v>15</v>
      </c>
      <c r="J19" s="515">
        <v>10</v>
      </c>
      <c r="K19" s="515">
        <f>4+1</f>
        <v>5</v>
      </c>
      <c r="L19" s="516">
        <f>4+1</f>
        <v>5</v>
      </c>
      <c r="M19" s="517">
        <v>15</v>
      </c>
      <c r="N19" s="514">
        <f>24-2+3</f>
        <v>25</v>
      </c>
      <c r="O19" s="514">
        <f>28+2-1</f>
        <v>29</v>
      </c>
      <c r="P19" s="514">
        <f>29-1-1+1-3+5-2+2-1</f>
        <v>29</v>
      </c>
      <c r="Q19" s="514">
        <f>17-1+3+1</f>
        <v>20</v>
      </c>
      <c r="R19" s="514">
        <f>17+3</f>
        <v>20</v>
      </c>
      <c r="S19" s="514">
        <f>15-1+1</f>
        <v>15</v>
      </c>
      <c r="T19" s="515">
        <v>5</v>
      </c>
      <c r="U19" s="518">
        <v>5</v>
      </c>
      <c r="V19" s="505">
        <f t="shared" si="0"/>
        <v>293</v>
      </c>
      <c r="W19" s="467"/>
      <c r="X19" s="467"/>
      <c r="Y19" s="467"/>
      <c r="Z19" s="467"/>
      <c r="AA19" s="467"/>
    </row>
    <row r="20" spans="1:27" s="40" customFormat="1" ht="24.75" customHeight="1">
      <c r="A20" s="463"/>
      <c r="B20" s="521" t="s">
        <v>40</v>
      </c>
      <c r="C20" s="522"/>
      <c r="D20" s="498">
        <f>13+2-1+1</f>
        <v>15</v>
      </c>
      <c r="E20" s="499">
        <f>20+9-1-2+1-1+4-2+2-1-1+1-1</f>
        <v>28</v>
      </c>
      <c r="F20" s="499">
        <f>14+16-3-2-1+6-1+1-2-4+2</f>
        <v>26</v>
      </c>
      <c r="G20" s="499">
        <f>22+8-5-2-1+8-1+1-2-3+2-2</f>
        <v>25</v>
      </c>
      <c r="H20" s="499">
        <f>24+1-1+1-1+1-1</f>
        <v>24</v>
      </c>
      <c r="I20" s="499">
        <f>20-1+1-1+1-1-1-1-2+3-1</f>
        <v>17</v>
      </c>
      <c r="J20" s="500">
        <v>15</v>
      </c>
      <c r="K20" s="500">
        <v>5</v>
      </c>
      <c r="L20" s="502">
        <v>5</v>
      </c>
      <c r="M20" s="503">
        <v>20</v>
      </c>
      <c r="N20" s="499">
        <v>40</v>
      </c>
      <c r="O20" s="499">
        <f>39-2+1+2-1+1</f>
        <v>40</v>
      </c>
      <c r="P20" s="499">
        <f>22-2+18+2-1+1-1</f>
        <v>39</v>
      </c>
      <c r="Q20" s="499">
        <f>9-1+16+1</f>
        <v>25</v>
      </c>
      <c r="R20" s="499">
        <f>20-1+1-1-2</f>
        <v>17</v>
      </c>
      <c r="S20" s="499">
        <f>15-1+1-1</f>
        <v>14</v>
      </c>
      <c r="T20" s="500">
        <v>5</v>
      </c>
      <c r="U20" s="508">
        <v>5</v>
      </c>
      <c r="V20" s="505">
        <f t="shared" si="0"/>
        <v>365</v>
      </c>
      <c r="W20" s="467"/>
      <c r="X20" s="467"/>
      <c r="Y20" s="467"/>
      <c r="Z20" s="467"/>
      <c r="AA20" s="467"/>
    </row>
    <row r="21" spans="1:27" s="40" customFormat="1" ht="27.75" customHeight="1">
      <c r="A21" s="463"/>
      <c r="B21" s="521" t="s">
        <v>30</v>
      </c>
      <c r="C21" s="522"/>
      <c r="D21" s="509">
        <f>15-2</f>
        <v>13</v>
      </c>
      <c r="E21" s="499">
        <f>26+4-1-8+1+8-1-1+1-1</f>
        <v>28</v>
      </c>
      <c r="F21" s="499">
        <f>22+8-1-5+1-1+6-2-1+2</f>
        <v>29</v>
      </c>
      <c r="G21" s="499">
        <f>30-16+16-1+1</f>
        <v>30</v>
      </c>
      <c r="H21" s="499">
        <f>24+1-1+1</f>
        <v>25</v>
      </c>
      <c r="I21" s="499">
        <f>20-1+1-1+1</f>
        <v>20</v>
      </c>
      <c r="J21" s="500">
        <f>15</f>
        <v>15</v>
      </c>
      <c r="K21" s="500">
        <v>5</v>
      </c>
      <c r="L21" s="502">
        <v>5</v>
      </c>
      <c r="M21" s="503">
        <f>20-1+1</f>
        <v>20</v>
      </c>
      <c r="N21" s="499">
        <f>25-1+5+1-1+1</f>
        <v>30</v>
      </c>
      <c r="O21" s="499">
        <f>31-1+9+1-1+1-2-1</f>
        <v>37</v>
      </c>
      <c r="P21" s="499">
        <f>51-1-4-5</f>
        <v>41</v>
      </c>
      <c r="Q21" s="499">
        <f>24+1-1+1-6</f>
        <v>19</v>
      </c>
      <c r="R21" s="499">
        <f>20-1-1+1-1+2-1+1-3</f>
        <v>17</v>
      </c>
      <c r="S21" s="499">
        <f>15-1+1-1+1</f>
        <v>15</v>
      </c>
      <c r="T21" s="500">
        <v>5</v>
      </c>
      <c r="U21" s="508">
        <v>5</v>
      </c>
      <c r="V21" s="505">
        <f t="shared" si="0"/>
        <v>359</v>
      </c>
      <c r="W21" s="467"/>
      <c r="X21" s="467"/>
      <c r="Y21" s="467"/>
      <c r="Z21" s="467"/>
      <c r="AA21" s="467"/>
    </row>
    <row r="22" spans="1:27" s="40" customFormat="1">
      <c r="A22" s="463"/>
      <c r="B22" s="521" t="s">
        <v>192</v>
      </c>
      <c r="C22" s="522"/>
      <c r="D22" s="498">
        <f>15-1-1+1-2+1-1+2+1</f>
        <v>15</v>
      </c>
      <c r="E22" s="499">
        <f>27+2+1-1-1</f>
        <v>28</v>
      </c>
      <c r="F22" s="499">
        <f>30-1+4+1-1-1-1-1-1+1</f>
        <v>30</v>
      </c>
      <c r="G22" s="499">
        <f>30-1+1-1+1</f>
        <v>30</v>
      </c>
      <c r="H22" s="499">
        <f>25-1+1-1</f>
        <v>24</v>
      </c>
      <c r="I22" s="499">
        <f>20-1-1+1+1-1-1+2</f>
        <v>20</v>
      </c>
      <c r="J22" s="500">
        <f>14+1-1+1</f>
        <v>15</v>
      </c>
      <c r="K22" s="500">
        <v>5</v>
      </c>
      <c r="L22" s="502">
        <v>5</v>
      </c>
      <c r="M22" s="503">
        <f>20-10+10</f>
        <v>20</v>
      </c>
      <c r="N22" s="499">
        <f>30-1-1-1+1-3+2+3</f>
        <v>30</v>
      </c>
      <c r="O22" s="499">
        <f>40-2+2-1-1+2-2-1+2+1-1</f>
        <v>39</v>
      </c>
      <c r="P22" s="499">
        <f>40-1-1+2-1+1-1+1</f>
        <v>40</v>
      </c>
      <c r="Q22" s="499">
        <v>25</v>
      </c>
      <c r="R22" s="499">
        <f>20-1+1-1+1</f>
        <v>20</v>
      </c>
      <c r="S22" s="499">
        <f>15-1+1</f>
        <v>15</v>
      </c>
      <c r="T22" s="500">
        <v>5</v>
      </c>
      <c r="U22" s="508">
        <v>5</v>
      </c>
      <c r="V22" s="505">
        <f t="shared" si="0"/>
        <v>371</v>
      </c>
      <c r="W22" s="467"/>
      <c r="X22" s="467"/>
      <c r="Y22" s="467"/>
      <c r="Z22" s="467"/>
      <c r="AA22" s="467"/>
    </row>
    <row r="23" spans="1:27" s="40" customFormat="1">
      <c r="A23" s="463"/>
      <c r="B23" s="521" t="s">
        <v>193</v>
      </c>
      <c r="C23" s="522"/>
      <c r="D23" s="498">
        <f>14+1</f>
        <v>15</v>
      </c>
      <c r="E23" s="499">
        <f>26+4-1+1-2+2-1</f>
        <v>29</v>
      </c>
      <c r="F23" s="499">
        <f>19+9+2-2+2-15-1</f>
        <v>14</v>
      </c>
      <c r="G23" s="499">
        <f>28+2-1+1-1-1+2-15-1</f>
        <v>14</v>
      </c>
      <c r="H23" s="499">
        <f>23+2-4+4-1+1</f>
        <v>25</v>
      </c>
      <c r="I23" s="499">
        <f>20-2+2</f>
        <v>20</v>
      </c>
      <c r="J23" s="500">
        <v>15</v>
      </c>
      <c r="K23" s="500">
        <v>5</v>
      </c>
      <c r="L23" s="502">
        <v>5</v>
      </c>
      <c r="M23" s="503">
        <f>18+2-4+4-1</f>
        <v>19</v>
      </c>
      <c r="N23" s="499">
        <f>26+4-1+1-4+4-2</f>
        <v>28</v>
      </c>
      <c r="O23" s="499">
        <f>36+4-1+1-2+2-15-1</f>
        <v>24</v>
      </c>
      <c r="P23" s="499">
        <f>35-1-2-1-1+6+4-15-1</f>
        <v>24</v>
      </c>
      <c r="Q23" s="499">
        <f>25-1-4+1+4</f>
        <v>25</v>
      </c>
      <c r="R23" s="499">
        <v>23</v>
      </c>
      <c r="S23" s="499">
        <f>13+2-1-3+1+3-2+2</f>
        <v>15</v>
      </c>
      <c r="T23" s="500">
        <v>5</v>
      </c>
      <c r="U23" s="508">
        <v>5</v>
      </c>
      <c r="V23" s="505">
        <f t="shared" si="0"/>
        <v>310</v>
      </c>
      <c r="W23" s="467"/>
      <c r="X23" s="467"/>
      <c r="Y23" s="467"/>
      <c r="Z23" s="467"/>
      <c r="AA23" s="467"/>
    </row>
    <row r="24" spans="1:27" s="40" customFormat="1">
      <c r="A24" s="463"/>
      <c r="B24" s="521" t="s">
        <v>194</v>
      </c>
      <c r="C24" s="522"/>
      <c r="D24" s="498">
        <f>15-1+1</f>
        <v>15</v>
      </c>
      <c r="E24" s="499">
        <f>29+1-1+1</f>
        <v>30</v>
      </c>
      <c r="F24" s="499">
        <f>30-1+1-1-3+1+3-1+1</f>
        <v>30</v>
      </c>
      <c r="G24" s="499">
        <f>30-2+2-4+4-1+1-1+1-1+1-1</f>
        <v>29</v>
      </c>
      <c r="H24" s="499">
        <f>25-1+6-1-1</f>
        <v>28</v>
      </c>
      <c r="I24" s="499">
        <f>20-1+1</f>
        <v>20</v>
      </c>
      <c r="J24" s="500">
        <v>15</v>
      </c>
      <c r="K24" s="500">
        <f>4+1</f>
        <v>5</v>
      </c>
      <c r="L24" s="502">
        <v>5</v>
      </c>
      <c r="M24" s="503">
        <f>18+2-1</f>
        <v>19</v>
      </c>
      <c r="N24" s="499">
        <f>28+2-2+2-1-1+1-2</f>
        <v>27</v>
      </c>
      <c r="O24" s="499">
        <f>37-2+3-6-2+2+8-1-1-4+2-3+7-1-1</f>
        <v>38</v>
      </c>
      <c r="P24" s="499">
        <f>41-5-1+5-3-10+3-2-4-1+16-1</f>
        <v>38</v>
      </c>
      <c r="Q24" s="499">
        <f>25-2+2-1+1-1</f>
        <v>24</v>
      </c>
      <c r="R24" s="499">
        <f>20-1-2+1+2</f>
        <v>20</v>
      </c>
      <c r="S24" s="499">
        <f>14+1</f>
        <v>15</v>
      </c>
      <c r="T24" s="500">
        <v>5</v>
      </c>
      <c r="U24" s="508">
        <v>5</v>
      </c>
      <c r="V24" s="505">
        <f t="shared" si="0"/>
        <v>368</v>
      </c>
      <c r="W24" s="467"/>
      <c r="X24" s="467"/>
      <c r="Y24" s="467"/>
      <c r="Z24" s="467"/>
      <c r="AA24" s="467"/>
    </row>
    <row r="25" spans="1:27" s="40" customFormat="1">
      <c r="A25" s="463"/>
      <c r="B25" s="521" t="s">
        <v>34</v>
      </c>
      <c r="C25" s="522"/>
      <c r="D25" s="498">
        <f>14+1-3+3-1+1-1-1</f>
        <v>13</v>
      </c>
      <c r="E25" s="499">
        <f>30-1+1-3-2+3+2</f>
        <v>30</v>
      </c>
      <c r="F25" s="499">
        <f>27+3-2-3+2+3-1+1</f>
        <v>30</v>
      </c>
      <c r="G25" s="499">
        <f>30-1+1-2-1+3-1+1-1</f>
        <v>29</v>
      </c>
      <c r="H25" s="499">
        <f>24+1-1+1-1-1</f>
        <v>23</v>
      </c>
      <c r="I25" s="499">
        <f>20-1-4+1+4-1+1</f>
        <v>20</v>
      </c>
      <c r="J25" s="500">
        <f>15-2+2</f>
        <v>15</v>
      </c>
      <c r="K25" s="500">
        <f>4+1</f>
        <v>5</v>
      </c>
      <c r="L25" s="502">
        <f>5-1</f>
        <v>4</v>
      </c>
      <c r="M25" s="503">
        <f>20-2+2</f>
        <v>20</v>
      </c>
      <c r="N25" s="499">
        <f>30-1-1-1-2+3+2-2-1-2+5</f>
        <v>30</v>
      </c>
      <c r="O25" s="499">
        <f>40-1+1-1-1-1-2-1+3-9+3+9-2+2</f>
        <v>40</v>
      </c>
      <c r="P25" s="499">
        <f>40-2-2-1+2-8+3+8-5-2+7-1</f>
        <v>39</v>
      </c>
      <c r="Q25" s="499">
        <f>25-1-1+2</f>
        <v>25</v>
      </c>
      <c r="R25" s="499">
        <f>20-1+1-1-1+2</f>
        <v>20</v>
      </c>
      <c r="S25" s="499">
        <f>15-1+1-2+2-1</f>
        <v>14</v>
      </c>
      <c r="T25" s="500">
        <v>5</v>
      </c>
      <c r="U25" s="508">
        <v>5</v>
      </c>
      <c r="V25" s="505">
        <f t="shared" si="0"/>
        <v>367</v>
      </c>
      <c r="W25" s="467"/>
      <c r="X25" s="467"/>
      <c r="Y25" s="467"/>
      <c r="Z25" s="467"/>
      <c r="AA25" s="467"/>
    </row>
    <row r="26" spans="1:27" s="40" customFormat="1">
      <c r="A26" s="463"/>
      <c r="B26" s="521" t="s">
        <v>38</v>
      </c>
      <c r="C26" s="522"/>
      <c r="D26" s="498">
        <f>15-1+1-1+1-2+2</f>
        <v>15</v>
      </c>
      <c r="E26" s="499">
        <f>30-2+2-2-1+2-6-1+7+1-1+1-1-2-1-1+5-2-1-1</f>
        <v>26</v>
      </c>
      <c r="F26" s="525">
        <f>28+2-1-29</f>
        <v>0</v>
      </c>
      <c r="G26" s="510">
        <f>28+2-4-2+4+2-2-2-4-2-1-1-4-6-1</f>
        <v>7</v>
      </c>
      <c r="H26" s="499">
        <f>24+1-1-6-1</f>
        <v>17</v>
      </c>
      <c r="I26" s="499">
        <f>20-2-1+2+1-1-1+2</f>
        <v>20</v>
      </c>
      <c r="J26" s="500">
        <f>15-10+10-1+1-1+1-1+1-1-1-1+3</f>
        <v>15</v>
      </c>
      <c r="K26" s="500">
        <v>5</v>
      </c>
      <c r="L26" s="502">
        <f>5-1+1</f>
        <v>5</v>
      </c>
      <c r="M26" s="503">
        <f>20-1+1</f>
        <v>20</v>
      </c>
      <c r="N26" s="499">
        <f>27-3+3+3-1-4-1-1</f>
        <v>23</v>
      </c>
      <c r="O26" s="499">
        <f>40-9+9-1-1-1+3-4</f>
        <v>36</v>
      </c>
      <c r="P26" s="499">
        <f>40-2-5+2+5-6-1</f>
        <v>33</v>
      </c>
      <c r="Q26" s="499">
        <f>23-1-1-1+4+1-1-1-1+3-1</f>
        <v>24</v>
      </c>
      <c r="R26" s="499">
        <f>20-1+1-1+1-1</f>
        <v>19</v>
      </c>
      <c r="S26" s="499">
        <f>15-1+1-1-2</f>
        <v>12</v>
      </c>
      <c r="T26" s="500">
        <f>5-1</f>
        <v>4</v>
      </c>
      <c r="U26" s="508">
        <v>5</v>
      </c>
      <c r="V26" s="505">
        <f t="shared" si="0"/>
        <v>286</v>
      </c>
      <c r="W26" s="467"/>
      <c r="X26" s="467"/>
      <c r="Y26" s="467"/>
      <c r="Z26" s="467"/>
      <c r="AA26" s="467"/>
    </row>
    <row r="27" spans="1:27" s="40" customFormat="1">
      <c r="A27" s="463"/>
      <c r="B27" s="521" t="s">
        <v>195</v>
      </c>
      <c r="C27" s="522"/>
      <c r="D27" s="498">
        <f>14+1-2+2-1</f>
        <v>14</v>
      </c>
      <c r="E27" s="499">
        <f>26+1+3-7-2-6+9-1-1+8</f>
        <v>30</v>
      </c>
      <c r="F27" s="499">
        <f>23+4+3-1-1-2+1-7+3-11+7-4+15-1-1</f>
        <v>28</v>
      </c>
      <c r="G27" s="499">
        <f>30-1+1-5+5+2+1-1-1-1-8-9+8-2+11-1</f>
        <v>29</v>
      </c>
      <c r="H27" s="499">
        <f>25-3+3-2-1+2-8-1-4-11+25-3-5+3-2+7-2</f>
        <v>23</v>
      </c>
      <c r="I27" s="499">
        <f>20-1+1-1+1-1-1+2-2</f>
        <v>18</v>
      </c>
      <c r="J27" s="500">
        <f>15-1-1</f>
        <v>13</v>
      </c>
      <c r="K27" s="500">
        <f>5-1</f>
        <v>4</v>
      </c>
      <c r="L27" s="502">
        <v>5</v>
      </c>
      <c r="M27" s="503">
        <f>16+4-2+2</f>
        <v>20</v>
      </c>
      <c r="N27" s="499">
        <f>25+5-3-6-1+3+7</f>
        <v>30</v>
      </c>
      <c r="O27" s="499">
        <f>36-1+4-1-2-2+4-8+2+8-1-1+2-1-1</f>
        <v>38</v>
      </c>
      <c r="P27" s="499">
        <f>33+7-1-1-5+2-1+5+1-1-1</f>
        <v>38</v>
      </c>
      <c r="Q27" s="499">
        <f>26-1-2-1-1</f>
        <v>21</v>
      </c>
      <c r="R27" s="499">
        <f>21-2+1-2</f>
        <v>18</v>
      </c>
      <c r="S27" s="499">
        <f>15-2+2-1-1-1</f>
        <v>12</v>
      </c>
      <c r="T27" s="500">
        <f>4+1</f>
        <v>5</v>
      </c>
      <c r="U27" s="508">
        <v>5</v>
      </c>
      <c r="V27" s="505">
        <f t="shared" si="0"/>
        <v>351</v>
      </c>
      <c r="W27" s="467"/>
      <c r="X27" s="467"/>
      <c r="Y27" s="467"/>
      <c r="Z27" s="467"/>
      <c r="AA27" s="467"/>
    </row>
    <row r="28" spans="1:27" s="40" customFormat="1">
      <c r="A28" s="463"/>
      <c r="B28" s="523" t="s">
        <v>36</v>
      </c>
      <c r="C28" s="524"/>
      <c r="D28" s="513">
        <f>4+6</f>
        <v>10</v>
      </c>
      <c r="E28" s="514">
        <v>20</v>
      </c>
      <c r="F28" s="514">
        <f>21+4</f>
        <v>25</v>
      </c>
      <c r="G28" s="514">
        <v>25</v>
      </c>
      <c r="H28" s="514">
        <f>19+1-1+1</f>
        <v>20</v>
      </c>
      <c r="I28" s="514">
        <f>14+1</f>
        <v>15</v>
      </c>
      <c r="J28" s="515">
        <v>10</v>
      </c>
      <c r="K28" s="515">
        <v>5</v>
      </c>
      <c r="L28" s="516">
        <v>5</v>
      </c>
      <c r="M28" s="517">
        <v>29</v>
      </c>
      <c r="N28" s="514">
        <f>23+2</f>
        <v>25</v>
      </c>
      <c r="O28" s="514">
        <f>29+1</f>
        <v>30</v>
      </c>
      <c r="P28" s="514">
        <f>27+3-1+1-2+2-1-1</f>
        <v>28</v>
      </c>
      <c r="Q28" s="514">
        <v>20</v>
      </c>
      <c r="R28" s="514">
        <v>20</v>
      </c>
      <c r="S28" s="514">
        <v>15</v>
      </c>
      <c r="T28" s="515">
        <f>5-1</f>
        <v>4</v>
      </c>
      <c r="U28" s="518">
        <v>5</v>
      </c>
      <c r="V28" s="505">
        <f t="shared" si="0"/>
        <v>311</v>
      </c>
      <c r="W28" s="467"/>
      <c r="X28" s="467"/>
      <c r="Y28" s="467"/>
      <c r="Z28" s="467"/>
      <c r="AA28" s="467"/>
    </row>
    <row r="29" spans="1:27" s="40" customFormat="1">
      <c r="A29" s="463"/>
      <c r="B29" s="523" t="s">
        <v>196</v>
      </c>
      <c r="C29" s="524"/>
      <c r="D29" s="513">
        <v>10</v>
      </c>
      <c r="E29" s="514">
        <f>10+10-1</f>
        <v>19</v>
      </c>
      <c r="F29" s="514">
        <f>25-2+2</f>
        <v>25</v>
      </c>
      <c r="G29" s="514">
        <f>22+1+2</f>
        <v>25</v>
      </c>
      <c r="H29" s="514">
        <v>22</v>
      </c>
      <c r="I29" s="514">
        <v>15</v>
      </c>
      <c r="J29" s="515">
        <v>10</v>
      </c>
      <c r="K29" s="515">
        <f>5-1+1</f>
        <v>5</v>
      </c>
      <c r="L29" s="516">
        <v>5</v>
      </c>
      <c r="M29" s="517">
        <v>15</v>
      </c>
      <c r="N29" s="514">
        <f>24-1+1+1-2+2-2+2</f>
        <v>25</v>
      </c>
      <c r="O29" s="514">
        <f>26+4-2+2-4+4-1</f>
        <v>29</v>
      </c>
      <c r="P29" s="514">
        <f>31-1-1+1-6+6</f>
        <v>30</v>
      </c>
      <c r="Q29" s="514">
        <f>27-1-2-2</f>
        <v>22</v>
      </c>
      <c r="R29" s="514">
        <f>20-1+1</f>
        <v>20</v>
      </c>
      <c r="S29" s="514">
        <f>15-1+1</f>
        <v>15</v>
      </c>
      <c r="T29" s="515">
        <v>5</v>
      </c>
      <c r="U29" s="518">
        <v>5</v>
      </c>
      <c r="V29" s="505">
        <f t="shared" si="0"/>
        <v>302</v>
      </c>
      <c r="W29" s="467"/>
      <c r="X29" s="467"/>
      <c r="Y29" s="467"/>
      <c r="Z29" s="467"/>
      <c r="AA29" s="467"/>
    </row>
    <row r="30" spans="1:27" s="40" customFormat="1">
      <c r="A30" s="463"/>
      <c r="B30" s="521" t="s">
        <v>197</v>
      </c>
      <c r="C30" s="522"/>
      <c r="D30" s="509">
        <f>13+2-5-4</f>
        <v>6</v>
      </c>
      <c r="E30" s="499">
        <f>30-3-12+15-1+1-4-4-1+8</f>
        <v>29</v>
      </c>
      <c r="F30" s="499">
        <f>26+4-9+9-1+1-2+2-7-2-1+9</f>
        <v>29</v>
      </c>
      <c r="G30" s="499">
        <f>27+3-1-7+8-1+1-3-1+4</f>
        <v>30</v>
      </c>
      <c r="H30" s="499">
        <f>25-1+1-2+2-1-1+2</f>
        <v>25</v>
      </c>
      <c r="I30" s="499">
        <f>20-1-1+2</f>
        <v>20</v>
      </c>
      <c r="J30" s="500">
        <f>14+1</f>
        <v>15</v>
      </c>
      <c r="K30" s="500">
        <v>5</v>
      </c>
      <c r="L30" s="502">
        <v>5</v>
      </c>
      <c r="M30" s="503">
        <f>20-7-2-1+9</f>
        <v>19</v>
      </c>
      <c r="N30" s="499">
        <f>18+12-10-12-2-1+24-2</f>
        <v>27</v>
      </c>
      <c r="O30" s="499">
        <f>7+33-5+5-2+2-10-9-3-1+22</f>
        <v>39</v>
      </c>
      <c r="P30" s="499">
        <f>30+10-8-4-1+12-1</f>
        <v>38</v>
      </c>
      <c r="Q30" s="499">
        <f>20+5-2+2-1-2+3</f>
        <v>25</v>
      </c>
      <c r="R30" s="499">
        <f>20-1+1-1-1+2</f>
        <v>20</v>
      </c>
      <c r="S30" s="499">
        <f>14+1</f>
        <v>15</v>
      </c>
      <c r="T30" s="500">
        <v>5</v>
      </c>
      <c r="U30" s="508">
        <v>5</v>
      </c>
      <c r="V30" s="505">
        <f t="shared" si="0"/>
        <v>357</v>
      </c>
      <c r="W30" s="467"/>
      <c r="X30" s="467"/>
      <c r="Y30" s="467"/>
      <c r="Z30" s="467"/>
      <c r="AA30" s="467"/>
    </row>
    <row r="31" spans="1:27" s="40" customFormat="1">
      <c r="A31" s="463"/>
      <c r="B31" s="521" t="s">
        <v>198</v>
      </c>
      <c r="C31" s="522"/>
      <c r="D31" s="498">
        <f>15+15</f>
        <v>30</v>
      </c>
      <c r="E31" s="499">
        <f>29+1</f>
        <v>30</v>
      </c>
      <c r="F31" s="499">
        <f>24+6</f>
        <v>30</v>
      </c>
      <c r="G31" s="499">
        <f>30-10+10-3+3+1-1</f>
        <v>30</v>
      </c>
      <c r="H31" s="499">
        <f>16+9</f>
        <v>25</v>
      </c>
      <c r="I31" s="499">
        <f>20-1+2</f>
        <v>21</v>
      </c>
      <c r="J31" s="500">
        <f>15-1+1+1</f>
        <v>16</v>
      </c>
      <c r="K31" s="500">
        <v>5</v>
      </c>
      <c r="L31" s="502">
        <v>5</v>
      </c>
      <c r="M31" s="503">
        <v>20</v>
      </c>
      <c r="N31" s="499">
        <v>30</v>
      </c>
      <c r="O31" s="499">
        <v>40</v>
      </c>
      <c r="P31" s="499">
        <v>40</v>
      </c>
      <c r="Q31" s="499">
        <v>25</v>
      </c>
      <c r="R31" s="499">
        <f>19+1</f>
        <v>20</v>
      </c>
      <c r="S31" s="499">
        <v>18</v>
      </c>
      <c r="T31" s="499">
        <v>5</v>
      </c>
      <c r="U31" s="526">
        <v>5</v>
      </c>
      <c r="V31" s="505">
        <f t="shared" si="0"/>
        <v>395</v>
      </c>
      <c r="W31" s="467"/>
      <c r="X31" s="467"/>
      <c r="Y31" s="467"/>
      <c r="Z31" s="467"/>
      <c r="AA31" s="467"/>
    </row>
    <row r="32" spans="1:27" s="40" customFormat="1" ht="26" thickBot="1">
      <c r="A32" s="463"/>
      <c r="B32" s="527" t="s">
        <v>199</v>
      </c>
      <c r="C32" s="527"/>
      <c r="D32" s="498">
        <v>15</v>
      </c>
      <c r="E32" s="499">
        <f>29+1</f>
        <v>30</v>
      </c>
      <c r="F32" s="499">
        <v>30</v>
      </c>
      <c r="G32" s="499">
        <v>30</v>
      </c>
      <c r="H32" s="499">
        <f>21+4-1+1</f>
        <v>25</v>
      </c>
      <c r="I32" s="499">
        <f>19+1</f>
        <v>20</v>
      </c>
      <c r="J32" s="500">
        <v>15</v>
      </c>
      <c r="K32" s="500">
        <v>5</v>
      </c>
      <c r="L32" s="502">
        <f>5-1+1</f>
        <v>5</v>
      </c>
      <c r="M32" s="528">
        <v>20</v>
      </c>
      <c r="N32" s="529">
        <v>30</v>
      </c>
      <c r="O32" s="529">
        <f>39+1</f>
        <v>40</v>
      </c>
      <c r="P32" s="529">
        <f>33+7</f>
        <v>40</v>
      </c>
      <c r="Q32" s="529">
        <f>22+3</f>
        <v>25</v>
      </c>
      <c r="R32" s="529">
        <f>18+2</f>
        <v>20</v>
      </c>
      <c r="S32" s="529">
        <v>15</v>
      </c>
      <c r="T32" s="529">
        <f>4+1</f>
        <v>5</v>
      </c>
      <c r="U32" s="530">
        <v>5</v>
      </c>
      <c r="V32" s="505">
        <f>SUM(D32:U32)</f>
        <v>375</v>
      </c>
      <c r="W32" s="467"/>
      <c r="X32" s="467"/>
      <c r="Y32" s="467"/>
      <c r="Z32" s="467"/>
      <c r="AA32" s="467"/>
    </row>
    <row r="33" spans="1:27" s="40" customFormat="1" ht="47.25" customHeight="1">
      <c r="A33" s="463"/>
      <c r="B33" s="531"/>
      <c r="C33" s="532"/>
      <c r="D33" s="533">
        <v>15</v>
      </c>
      <c r="E33" s="534">
        <v>30</v>
      </c>
      <c r="F33" s="533">
        <v>30</v>
      </c>
      <c r="G33" s="533">
        <v>30</v>
      </c>
      <c r="H33" s="533">
        <v>25</v>
      </c>
      <c r="I33" s="533">
        <v>20</v>
      </c>
      <c r="J33" s="463">
        <v>15</v>
      </c>
      <c r="K33" s="533">
        <v>5</v>
      </c>
      <c r="L33" s="533">
        <v>5</v>
      </c>
      <c r="M33" s="533">
        <v>20</v>
      </c>
      <c r="N33" s="533">
        <v>30</v>
      </c>
      <c r="O33" s="533">
        <v>40</v>
      </c>
      <c r="P33" s="533">
        <v>40</v>
      </c>
      <c r="Q33" s="533">
        <v>25</v>
      </c>
      <c r="R33" s="533">
        <v>20</v>
      </c>
      <c r="S33" s="533">
        <v>15</v>
      </c>
      <c r="T33" s="533">
        <v>5</v>
      </c>
      <c r="U33" s="533">
        <v>5</v>
      </c>
      <c r="V33" s="535">
        <f>SUM(V8:V32)</f>
        <v>12203</v>
      </c>
      <c r="W33" s="467"/>
      <c r="X33" s="467"/>
      <c r="Y33" s="467"/>
      <c r="Z33" s="467"/>
      <c r="AA33" s="467"/>
    </row>
    <row r="34" spans="1:27" s="40" customFormat="1" ht="24">
      <c r="A34" s="467"/>
      <c r="B34" s="531"/>
      <c r="C34" s="533"/>
      <c r="D34" s="536"/>
      <c r="E34" s="536"/>
      <c r="F34" s="536"/>
      <c r="G34" s="536"/>
      <c r="H34" s="536"/>
      <c r="I34" s="536"/>
      <c r="J34" s="536"/>
      <c r="K34" s="536"/>
      <c r="L34" s="536"/>
      <c r="M34" s="536"/>
      <c r="N34" s="536"/>
      <c r="O34" s="536"/>
      <c r="P34" s="536"/>
      <c r="Q34" s="536"/>
      <c r="R34" s="536"/>
      <c r="S34" s="536"/>
      <c r="T34" s="536"/>
      <c r="U34" s="536"/>
      <c r="V34" s="467"/>
      <c r="W34" s="467"/>
      <c r="X34" s="467"/>
      <c r="Y34" s="467"/>
      <c r="Z34" s="467"/>
      <c r="AA34" s="467"/>
    </row>
    <row r="35" spans="1:27" s="40" customFormat="1" ht="27" thickBot="1">
      <c r="A35" s="537"/>
      <c r="B35" s="538"/>
      <c r="C35" s="539"/>
      <c r="D35" s="539"/>
      <c r="E35" s="539"/>
      <c r="F35" s="539"/>
      <c r="G35" s="539"/>
      <c r="H35" s="539"/>
      <c r="I35" s="539"/>
      <c r="J35" s="539"/>
      <c r="K35" s="539"/>
      <c r="L35" s="539"/>
      <c r="M35" s="539"/>
      <c r="N35" s="539"/>
      <c r="O35" s="539"/>
      <c r="P35" s="539"/>
      <c r="Q35" s="539"/>
      <c r="R35" s="539"/>
      <c r="S35" s="539"/>
      <c r="T35" s="539"/>
      <c r="U35" s="539"/>
      <c r="V35" s="537"/>
      <c r="W35" s="467"/>
      <c r="X35" s="467"/>
      <c r="Y35" s="467"/>
      <c r="Z35" s="467"/>
      <c r="AA35" s="467"/>
    </row>
    <row r="36" spans="1:27" s="40" customFormat="1" ht="32" thickBot="1">
      <c r="A36" s="537"/>
      <c r="B36" s="540" t="s">
        <v>200</v>
      </c>
      <c r="C36" s="541"/>
      <c r="D36" s="542"/>
      <c r="E36" s="542"/>
      <c r="F36" s="542"/>
      <c r="G36" s="542"/>
      <c r="H36" s="542"/>
      <c r="I36" s="542"/>
      <c r="J36" s="542"/>
      <c r="K36" s="542"/>
      <c r="L36" s="542"/>
      <c r="M36" s="542"/>
      <c r="N36" s="542"/>
      <c r="O36" s="542"/>
      <c r="P36" s="542"/>
      <c r="Q36" s="542"/>
      <c r="R36" s="542"/>
      <c r="S36" s="542"/>
      <c r="T36" s="542"/>
      <c r="U36" s="542"/>
      <c r="V36" s="543"/>
      <c r="W36" s="467"/>
      <c r="X36" s="467"/>
      <c r="Y36" s="467"/>
      <c r="Z36" s="467"/>
      <c r="AA36" s="467"/>
    </row>
    <row r="37" spans="1:27" s="40" customFormat="1" ht="27" thickBot="1">
      <c r="A37" s="537"/>
      <c r="B37" s="544"/>
      <c r="C37" s="545"/>
      <c r="D37" s="546" t="s">
        <v>3</v>
      </c>
      <c r="E37" s="546"/>
      <c r="F37" s="546"/>
      <c r="G37" s="546"/>
      <c r="H37" s="546"/>
      <c r="I37" s="546"/>
      <c r="J37" s="546"/>
      <c r="K37" s="546"/>
      <c r="L37" s="546"/>
      <c r="M37" s="547" t="s">
        <v>149</v>
      </c>
      <c r="N37" s="548"/>
      <c r="O37" s="548"/>
      <c r="P37" s="548"/>
      <c r="Q37" s="548"/>
      <c r="R37" s="548"/>
      <c r="S37" s="548"/>
      <c r="T37" s="548"/>
      <c r="U37" s="549"/>
      <c r="V37" s="550" t="s">
        <v>69</v>
      </c>
      <c r="W37" s="467"/>
      <c r="X37" s="467"/>
      <c r="Y37" s="467"/>
      <c r="Z37" s="467"/>
      <c r="AA37" s="467"/>
    </row>
    <row r="38" spans="1:27" s="40" customFormat="1" ht="26">
      <c r="A38" s="537"/>
      <c r="B38" s="551" t="s">
        <v>90</v>
      </c>
      <c r="C38" s="552"/>
      <c r="D38" s="553">
        <v>15</v>
      </c>
      <c r="E38" s="553">
        <v>20</v>
      </c>
      <c r="F38" s="553">
        <v>30</v>
      </c>
      <c r="G38" s="553">
        <v>30</v>
      </c>
      <c r="H38" s="553">
        <v>15</v>
      </c>
      <c r="I38" s="553">
        <v>20</v>
      </c>
      <c r="J38" s="553">
        <v>10</v>
      </c>
      <c r="K38" s="553">
        <v>5</v>
      </c>
      <c r="L38" s="554">
        <v>5</v>
      </c>
      <c r="M38" s="555">
        <v>25</v>
      </c>
      <c r="N38" s="553">
        <v>35</v>
      </c>
      <c r="O38" s="553">
        <v>50</v>
      </c>
      <c r="P38" s="553">
        <v>50</v>
      </c>
      <c r="Q38" s="553">
        <v>30</v>
      </c>
      <c r="R38" s="553">
        <v>25</v>
      </c>
      <c r="S38" s="553">
        <v>15</v>
      </c>
      <c r="T38" s="553">
        <v>5</v>
      </c>
      <c r="U38" s="556">
        <v>5</v>
      </c>
      <c r="V38" s="550"/>
      <c r="W38" s="467"/>
      <c r="X38" s="467"/>
      <c r="Y38" s="467"/>
      <c r="Z38" s="467"/>
      <c r="AA38" s="467"/>
    </row>
    <row r="39" spans="1:27" s="40" customFormat="1" ht="27" thickBot="1">
      <c r="A39" s="537"/>
      <c r="B39" s="557"/>
      <c r="C39" s="558"/>
      <c r="D39" s="559" t="s">
        <v>10</v>
      </c>
      <c r="E39" s="559" t="s">
        <v>53</v>
      </c>
      <c r="F39" s="559" t="s">
        <v>54</v>
      </c>
      <c r="G39" s="559" t="s">
        <v>55</v>
      </c>
      <c r="H39" s="559" t="s">
        <v>56</v>
      </c>
      <c r="I39" s="559" t="s">
        <v>15</v>
      </c>
      <c r="J39" s="559" t="s">
        <v>16</v>
      </c>
      <c r="K39" s="559" t="s">
        <v>17</v>
      </c>
      <c r="L39" s="560" t="s">
        <v>18</v>
      </c>
      <c r="M39" s="561" t="s">
        <v>10</v>
      </c>
      <c r="N39" s="559" t="s">
        <v>53</v>
      </c>
      <c r="O39" s="559" t="s">
        <v>54</v>
      </c>
      <c r="P39" s="559" t="s">
        <v>55</v>
      </c>
      <c r="Q39" s="559" t="s">
        <v>56</v>
      </c>
      <c r="R39" s="559" t="s">
        <v>15</v>
      </c>
      <c r="S39" s="559" t="s">
        <v>16</v>
      </c>
      <c r="T39" s="559" t="s">
        <v>17</v>
      </c>
      <c r="U39" s="562" t="s">
        <v>18</v>
      </c>
      <c r="V39" s="550"/>
      <c r="W39" s="467"/>
      <c r="X39" s="467"/>
      <c r="Y39" s="467"/>
      <c r="Z39" s="467"/>
      <c r="AA39" s="467"/>
    </row>
    <row r="40" spans="1:27" s="40" customFormat="1" ht="26">
      <c r="A40" s="537"/>
      <c r="B40" s="563" t="s">
        <v>61</v>
      </c>
      <c r="C40" s="564"/>
      <c r="D40" s="565">
        <f>30-4-4</f>
        <v>22</v>
      </c>
      <c r="E40" s="566">
        <f>25-1-2-2-1-1-1-6</f>
        <v>11</v>
      </c>
      <c r="F40" s="567">
        <f>29+1-1+1-1-1-1+1-2-2+6-1-2</f>
        <v>27</v>
      </c>
      <c r="G40" s="567">
        <f>32-2-1-1+2-1-1-2</f>
        <v>26</v>
      </c>
      <c r="H40" s="567">
        <f>16-1-2+2-1</f>
        <v>14</v>
      </c>
      <c r="I40" s="567">
        <f>21-2+1</f>
        <v>20</v>
      </c>
      <c r="J40" s="566">
        <v>10</v>
      </c>
      <c r="K40" s="566">
        <v>5</v>
      </c>
      <c r="L40" s="568">
        <v>5</v>
      </c>
      <c r="M40" s="569">
        <f>22+3-4+4-2+2</f>
        <v>25</v>
      </c>
      <c r="N40" s="567">
        <f>36-1-2+2-11-1-1-4+13+4-18-1+19-2-1+3</f>
        <v>35</v>
      </c>
      <c r="O40" s="567">
        <f>53-2-2-4-2-6-1-1+13-1+2-10+11-1-1-2+1-4-1-15-1+24-1-2</f>
        <v>47</v>
      </c>
      <c r="P40" s="567">
        <f>68-2-1+1-8-1-3-1-2-3+2-2+2-2-5-1-15-1+24-1-1-1-1</f>
        <v>46</v>
      </c>
      <c r="Q40" s="567">
        <f>31-1-4-1-5+4+6-6+6-1+1-1+1-1-1-7</f>
        <v>21</v>
      </c>
      <c r="R40" s="567">
        <f>25-2-1+2-1+1+1-1+1-1</f>
        <v>24</v>
      </c>
      <c r="S40" s="567">
        <f>15-2</f>
        <v>13</v>
      </c>
      <c r="T40" s="566">
        <v>5</v>
      </c>
      <c r="U40" s="570">
        <v>5</v>
      </c>
      <c r="V40" s="571">
        <f>SUM(D40:U40)</f>
        <v>361</v>
      </c>
      <c r="W40" s="467"/>
      <c r="X40" s="467"/>
      <c r="Y40" s="467"/>
      <c r="Z40" s="467"/>
      <c r="AA40" s="467"/>
    </row>
    <row r="41" spans="1:27" s="40" customFormat="1" ht="26">
      <c r="A41" s="537"/>
      <c r="B41" s="572" t="s">
        <v>58</v>
      </c>
      <c r="C41" s="573"/>
      <c r="D41" s="565">
        <v>15</v>
      </c>
      <c r="E41" s="566">
        <f>18+2-1-1+2-15+15-1</f>
        <v>19</v>
      </c>
      <c r="F41" s="574">
        <f>30-1+1-1+1-24-4-1-1</f>
        <v>0</v>
      </c>
      <c r="G41" s="567">
        <f>29+1-1+1-16-1+16+1-1</f>
        <v>29</v>
      </c>
      <c r="H41" s="567">
        <f>12+3-1+1-5+5-1-2+3-1</f>
        <v>14</v>
      </c>
      <c r="I41" s="567">
        <v>21</v>
      </c>
      <c r="J41" s="566">
        <f>10+3</f>
        <v>13</v>
      </c>
      <c r="K41" s="566">
        <v>5</v>
      </c>
      <c r="L41" s="568">
        <v>5</v>
      </c>
      <c r="M41" s="569">
        <v>25</v>
      </c>
      <c r="N41" s="567">
        <f>35-9-1+10-2-5+7-2+2</f>
        <v>35</v>
      </c>
      <c r="O41" s="575">
        <f>43+7-2-15-1+17+1-11-3-1-3-3-1-1-1-1-1-3-1-3-1-3-1-1-3-1-4-1</f>
        <v>2</v>
      </c>
      <c r="P41" s="567">
        <f>27+23-2-6-1-6-1-1-1-1+15+4-8-1+8-4-1-2-1+9</f>
        <v>50</v>
      </c>
      <c r="Q41" s="576">
        <f>30-3-1-1+4+1-1+1-1-3-1-1-1-15-3-1-4</f>
        <v>0</v>
      </c>
      <c r="R41" s="575">
        <f>25-1-1-2-1-1</f>
        <v>19</v>
      </c>
      <c r="S41" s="567">
        <f>14+1-1</f>
        <v>14</v>
      </c>
      <c r="T41" s="566">
        <v>5</v>
      </c>
      <c r="U41" s="577">
        <f>5-3+3-4</f>
        <v>1</v>
      </c>
      <c r="V41" s="571">
        <f t="shared" ref="V41:V46" si="1">SUM(D41:U41)</f>
        <v>272</v>
      </c>
      <c r="W41" s="467"/>
      <c r="X41" s="467"/>
      <c r="Y41" s="467"/>
      <c r="Z41" s="467"/>
      <c r="AA41" s="467"/>
    </row>
    <row r="42" spans="1:27" s="40" customFormat="1" ht="26">
      <c r="A42" s="537"/>
      <c r="B42" s="572" t="s">
        <v>24</v>
      </c>
      <c r="C42" s="573"/>
      <c r="D42" s="565">
        <f>14+1-2+2-1-1+1+1</f>
        <v>15</v>
      </c>
      <c r="E42" s="578">
        <f>18-3+2-4-1-10-1-1</f>
        <v>0</v>
      </c>
      <c r="F42" s="575">
        <f>28-4+2-1+5-1-1-13-1-1+1+16-2-1+3-1-2-3-11-3-1</f>
        <v>9</v>
      </c>
      <c r="G42" s="567">
        <f>28+2-1-14-1+1+15-2-1</f>
        <v>27</v>
      </c>
      <c r="H42" s="567">
        <f>18-1-6-2+6-1+1-1</f>
        <v>14</v>
      </c>
      <c r="I42" s="567">
        <f>20-1+1</f>
        <v>20</v>
      </c>
      <c r="J42" s="579">
        <f>10-1</f>
        <v>9</v>
      </c>
      <c r="K42" s="566">
        <v>5</v>
      </c>
      <c r="L42" s="568">
        <v>5</v>
      </c>
      <c r="M42" s="569">
        <f>25-1+1</f>
        <v>25</v>
      </c>
      <c r="N42" s="567">
        <f>25+10-1-5-2-1-1+8-10+2-4-3+17-1-1+2</f>
        <v>35</v>
      </c>
      <c r="O42" s="567">
        <f>60-5-1-14-1-3-1+14-4+5-1-1+2-1-1</f>
        <v>48</v>
      </c>
      <c r="P42" s="567">
        <f>60-5-5-1-15-1-2-1-1+20-6+7-5-2-1+7-1+2-1-2</f>
        <v>47</v>
      </c>
      <c r="Q42" s="567">
        <f>21+9-4-4-1+9-2+2-5-1+5+1</f>
        <v>30</v>
      </c>
      <c r="R42" s="567">
        <f>26-1-7-2-1-1-1+9+3</f>
        <v>25</v>
      </c>
      <c r="S42" s="567">
        <f>15-2+2-1</f>
        <v>14</v>
      </c>
      <c r="T42" s="566">
        <v>5</v>
      </c>
      <c r="U42" s="570">
        <v>5</v>
      </c>
      <c r="V42" s="571">
        <f t="shared" si="1"/>
        <v>338</v>
      </c>
      <c r="W42" s="467"/>
      <c r="X42" s="467"/>
      <c r="Y42" s="467"/>
      <c r="Z42" s="467"/>
      <c r="AA42" s="467"/>
    </row>
    <row r="43" spans="1:27" s="40" customFormat="1" ht="26">
      <c r="A43" s="537"/>
      <c r="B43" s="572" t="s">
        <v>188</v>
      </c>
      <c r="C43" s="573"/>
      <c r="D43" s="565">
        <f>15-1+1-1-2+3</f>
        <v>15</v>
      </c>
      <c r="E43" s="566">
        <f>19+1-16+16-2+2-1-1+2</f>
        <v>20</v>
      </c>
      <c r="F43" s="567">
        <f>29+1-24+24-1+1</f>
        <v>30</v>
      </c>
      <c r="G43" s="567">
        <f>30-17+17-1+1</f>
        <v>30</v>
      </c>
      <c r="H43" s="567">
        <f>15-6+6-2+2</f>
        <v>15</v>
      </c>
      <c r="I43" s="567">
        <v>21</v>
      </c>
      <c r="J43" s="566">
        <v>10</v>
      </c>
      <c r="K43" s="566">
        <f>5-1+1</f>
        <v>5</v>
      </c>
      <c r="L43" s="568">
        <v>5</v>
      </c>
      <c r="M43" s="569">
        <f>20+5</f>
        <v>25</v>
      </c>
      <c r="N43" s="567">
        <f>29-2+8-2+2</f>
        <v>35</v>
      </c>
      <c r="O43" s="567">
        <f>1+49-3-3+3+3-1+1-10+10-1-1-1-2+5</f>
        <v>50</v>
      </c>
      <c r="P43" s="567">
        <f>38+12-1-1+2-7+7-1-1+2</f>
        <v>50</v>
      </c>
      <c r="Q43" s="567">
        <f>12+18</f>
        <v>30</v>
      </c>
      <c r="R43" s="567">
        <v>25</v>
      </c>
      <c r="S43" s="567">
        <f>13+2</f>
        <v>15</v>
      </c>
      <c r="T43" s="566">
        <v>5</v>
      </c>
      <c r="U43" s="570">
        <v>5</v>
      </c>
      <c r="V43" s="571">
        <f t="shared" si="1"/>
        <v>391</v>
      </c>
      <c r="W43" s="467"/>
      <c r="X43" s="467"/>
      <c r="Y43" s="467"/>
      <c r="Z43" s="467"/>
      <c r="AA43" s="467"/>
    </row>
    <row r="44" spans="1:27" s="40" customFormat="1" ht="26">
      <c r="A44" s="537"/>
      <c r="B44" s="572" t="s">
        <v>25</v>
      </c>
      <c r="C44" s="573"/>
      <c r="D44" s="565">
        <f>15-1+1</f>
        <v>15</v>
      </c>
      <c r="E44" s="566">
        <v>20</v>
      </c>
      <c r="F44" s="567">
        <v>30</v>
      </c>
      <c r="G44" s="567">
        <v>30</v>
      </c>
      <c r="H44" s="567">
        <v>15</v>
      </c>
      <c r="I44" s="567">
        <v>20</v>
      </c>
      <c r="J44" s="566">
        <v>10</v>
      </c>
      <c r="K44" s="566">
        <v>5</v>
      </c>
      <c r="L44" s="568">
        <v>5</v>
      </c>
      <c r="M44" s="569">
        <f>20+5</f>
        <v>25</v>
      </c>
      <c r="N44" s="567">
        <f>40-1</f>
        <v>39</v>
      </c>
      <c r="O44" s="567">
        <f>50-5+5</f>
        <v>50</v>
      </c>
      <c r="P44" s="567">
        <f>52-1-2-3-1+5</f>
        <v>50</v>
      </c>
      <c r="Q44" s="567">
        <f>30-1-1+1+1</f>
        <v>30</v>
      </c>
      <c r="R44" s="567">
        <v>25</v>
      </c>
      <c r="S44" s="567">
        <v>15</v>
      </c>
      <c r="T44" s="566">
        <v>5</v>
      </c>
      <c r="U44" s="570">
        <v>5</v>
      </c>
      <c r="V44" s="571">
        <f t="shared" si="1"/>
        <v>394</v>
      </c>
      <c r="W44" s="467"/>
      <c r="X44" s="467"/>
      <c r="Y44" s="467"/>
      <c r="Z44" s="467"/>
      <c r="AA44" s="467"/>
    </row>
    <row r="45" spans="1:27" s="40" customFormat="1" ht="26">
      <c r="A45" s="537"/>
      <c r="B45" s="572" t="s">
        <v>21</v>
      </c>
      <c r="C45" s="573"/>
      <c r="D45" s="565">
        <v>15</v>
      </c>
      <c r="E45" s="566">
        <f>19+1-1+1-1+1</f>
        <v>20</v>
      </c>
      <c r="F45" s="567">
        <f>30-1+1</f>
        <v>30</v>
      </c>
      <c r="G45" s="567">
        <f>30-6+6</f>
        <v>30</v>
      </c>
      <c r="H45" s="567">
        <f>35-1</f>
        <v>34</v>
      </c>
      <c r="I45" s="567">
        <f>0+10+10</f>
        <v>20</v>
      </c>
      <c r="J45" s="566">
        <v>11</v>
      </c>
      <c r="K45" s="566">
        <v>5</v>
      </c>
      <c r="L45" s="568">
        <v>5</v>
      </c>
      <c r="M45" s="569">
        <f>25-1+1</f>
        <v>25</v>
      </c>
      <c r="N45" s="567">
        <f>35-1+1-1+1</f>
        <v>35</v>
      </c>
      <c r="O45" s="575">
        <f>43+7-7-2-7-12-1-1-5-4-1-1-4-1</f>
        <v>4</v>
      </c>
      <c r="P45" s="567">
        <f>53-1-1-6+5-1+1</f>
        <v>50</v>
      </c>
      <c r="Q45" s="575">
        <f>10-1+21-1+1-1-6+1+6-13-1-1-4</f>
        <v>11</v>
      </c>
      <c r="R45" s="567">
        <v>25</v>
      </c>
      <c r="S45" s="567">
        <f>15-4+4</f>
        <v>15</v>
      </c>
      <c r="T45" s="566">
        <v>5</v>
      </c>
      <c r="U45" s="570">
        <v>5</v>
      </c>
      <c r="V45" s="571">
        <f t="shared" si="1"/>
        <v>345</v>
      </c>
      <c r="W45" s="467"/>
      <c r="X45" s="467"/>
      <c r="Y45" s="467"/>
      <c r="Z45" s="467"/>
      <c r="AA45" s="467"/>
    </row>
    <row r="46" spans="1:27" s="40" customFormat="1" ht="26">
      <c r="A46" s="537"/>
      <c r="B46" s="572" t="s">
        <v>63</v>
      </c>
      <c r="C46" s="573"/>
      <c r="D46" s="565">
        <f>16-1</f>
        <v>15</v>
      </c>
      <c r="E46" s="566">
        <f>20-4+4</f>
        <v>20</v>
      </c>
      <c r="F46" s="567">
        <f>30-1+1-13+13-1+1</f>
        <v>30</v>
      </c>
      <c r="G46" s="567">
        <f>30-14+14-1+1-1+1</f>
        <v>30</v>
      </c>
      <c r="H46" s="567">
        <f>15-6+6</f>
        <v>15</v>
      </c>
      <c r="I46" s="567">
        <v>20</v>
      </c>
      <c r="J46" s="566">
        <v>10</v>
      </c>
      <c r="K46" s="566">
        <v>5</v>
      </c>
      <c r="L46" s="568">
        <v>5</v>
      </c>
      <c r="M46" s="569">
        <v>25</v>
      </c>
      <c r="N46" s="567">
        <f>35-1+1</f>
        <v>35</v>
      </c>
      <c r="O46" s="567">
        <f>51-1-2-2-14+4+14</f>
        <v>50</v>
      </c>
      <c r="P46" s="567">
        <f>52-1-15+14</f>
        <v>50</v>
      </c>
      <c r="Q46" s="567">
        <f>33-4-1-1-4-1+8</f>
        <v>30</v>
      </c>
      <c r="R46" s="567">
        <f>12+13-7+7</f>
        <v>25</v>
      </c>
      <c r="S46" s="567">
        <f>15-1+1</f>
        <v>15</v>
      </c>
      <c r="T46" s="566">
        <v>5</v>
      </c>
      <c r="U46" s="570">
        <v>5</v>
      </c>
      <c r="V46" s="571">
        <f t="shared" si="1"/>
        <v>390</v>
      </c>
      <c r="W46" s="467"/>
      <c r="X46" s="467"/>
      <c r="Y46" s="467"/>
      <c r="Z46" s="467"/>
      <c r="AA46" s="467"/>
    </row>
    <row r="47" spans="1:27" s="40" customFormat="1" ht="31">
      <c r="A47" s="537"/>
      <c r="B47" s="539"/>
      <c r="C47" s="539"/>
      <c r="D47" s="539"/>
      <c r="E47" s="539"/>
      <c r="F47" s="539"/>
      <c r="G47" s="539"/>
      <c r="H47" s="539"/>
      <c r="I47" s="539"/>
      <c r="J47" s="539"/>
      <c r="K47" s="539"/>
      <c r="L47" s="539"/>
      <c r="M47" s="539"/>
      <c r="N47" s="539"/>
      <c r="O47" s="539"/>
      <c r="P47" s="539"/>
      <c r="Q47" s="539"/>
      <c r="R47" s="539"/>
      <c r="S47" s="539"/>
      <c r="T47" s="539"/>
      <c r="U47" s="539"/>
      <c r="V47" s="580">
        <f>SUM(V40:V46)</f>
        <v>2491</v>
      </c>
      <c r="W47" s="467"/>
      <c r="X47" s="467"/>
      <c r="Y47" s="467"/>
      <c r="Z47" s="467"/>
      <c r="AA47" s="467"/>
    </row>
    <row r="48" spans="1:27" s="40" customFormat="1" ht="31">
      <c r="A48" s="537"/>
      <c r="B48" s="539"/>
      <c r="C48" s="539"/>
      <c r="D48" s="539"/>
      <c r="E48" s="539"/>
      <c r="F48" s="539"/>
      <c r="G48" s="539"/>
      <c r="H48" s="539"/>
      <c r="I48" s="539"/>
      <c r="J48" s="539"/>
      <c r="K48" s="539"/>
      <c r="L48" s="539"/>
      <c r="M48" s="539"/>
      <c r="N48" s="539"/>
      <c r="O48" s="539"/>
      <c r="P48" s="539"/>
      <c r="Q48" s="539"/>
      <c r="R48" s="539"/>
      <c r="S48" s="539"/>
      <c r="T48" s="539"/>
      <c r="U48" s="539"/>
      <c r="V48" s="581"/>
      <c r="W48" s="467"/>
      <c r="X48" s="467"/>
      <c r="Y48" s="467"/>
      <c r="Z48" s="467"/>
      <c r="AA48" s="467"/>
    </row>
    <row r="49" spans="1:27" s="40" customFormat="1" ht="26">
      <c r="A49" s="537"/>
      <c r="B49" s="582" t="s">
        <v>201</v>
      </c>
      <c r="C49" s="583"/>
      <c r="D49" s="583"/>
      <c r="E49" s="583"/>
      <c r="F49" s="583"/>
      <c r="G49" s="583"/>
      <c r="H49" s="583"/>
      <c r="I49" s="583"/>
      <c r="J49" s="583"/>
      <c r="K49" s="583"/>
      <c r="L49" s="583"/>
      <c r="M49" s="584"/>
      <c r="N49" s="539"/>
      <c r="O49" s="585" t="s">
        <v>202</v>
      </c>
      <c r="P49" s="585"/>
      <c r="Q49" s="585"/>
      <c r="R49" s="585"/>
      <c r="S49" s="586"/>
      <c r="T49" s="586"/>
      <c r="U49" s="586"/>
      <c r="V49" s="586"/>
      <c r="W49" s="586"/>
      <c r="X49" s="586"/>
      <c r="Y49" s="586"/>
      <c r="Z49" s="586"/>
      <c r="AA49" s="467"/>
    </row>
    <row r="50" spans="1:27" s="40" customFormat="1" ht="26">
      <c r="A50" s="537"/>
      <c r="B50" s="587" t="s">
        <v>90</v>
      </c>
      <c r="C50" s="588"/>
      <c r="D50" s="589" t="s">
        <v>48</v>
      </c>
      <c r="E50" s="590"/>
      <c r="F50" s="590"/>
      <c r="G50" s="590"/>
      <c r="H50" s="590"/>
      <c r="I50" s="590"/>
      <c r="J50" s="590"/>
      <c r="K50" s="590"/>
      <c r="L50" s="590"/>
      <c r="M50" s="591"/>
      <c r="N50" s="539"/>
      <c r="O50" s="592" t="s">
        <v>90</v>
      </c>
      <c r="P50" s="593"/>
      <c r="Q50" s="594" t="s">
        <v>48</v>
      </c>
      <c r="R50" s="553"/>
      <c r="S50" s="586"/>
      <c r="T50" s="586"/>
      <c r="U50" s="586"/>
      <c r="V50" s="586"/>
      <c r="W50" s="586"/>
      <c r="X50" s="586"/>
      <c r="Y50" s="586"/>
      <c r="Z50" s="586"/>
      <c r="AA50" s="467"/>
    </row>
    <row r="51" spans="1:27" s="40" customFormat="1" ht="27" thickBot="1">
      <c r="A51" s="537"/>
      <c r="B51" s="557"/>
      <c r="C51" s="558"/>
      <c r="D51" s="595" t="s">
        <v>10</v>
      </c>
      <c r="E51" s="595" t="s">
        <v>53</v>
      </c>
      <c r="F51" s="595" t="s">
        <v>54</v>
      </c>
      <c r="G51" s="595" t="s">
        <v>55</v>
      </c>
      <c r="H51" s="595" t="s">
        <v>56</v>
      </c>
      <c r="I51" s="595" t="s">
        <v>15</v>
      </c>
      <c r="J51" s="595" t="s">
        <v>16</v>
      </c>
      <c r="K51" s="595" t="s">
        <v>17</v>
      </c>
      <c r="L51" s="596" t="s">
        <v>18</v>
      </c>
      <c r="M51" s="595" t="s">
        <v>57</v>
      </c>
      <c r="N51" s="539"/>
      <c r="O51" s="597"/>
      <c r="P51" s="598"/>
      <c r="Q51" s="599" t="s">
        <v>55</v>
      </c>
      <c r="R51" s="599" t="s">
        <v>57</v>
      </c>
      <c r="S51" s="600"/>
      <c r="T51" s="600"/>
      <c r="U51" s="600"/>
      <c r="V51" s="600"/>
      <c r="W51" s="600"/>
      <c r="X51" s="600"/>
      <c r="Y51" s="600"/>
      <c r="Z51" s="600"/>
      <c r="AA51" s="467"/>
    </row>
    <row r="52" spans="1:27" s="40" customFormat="1" ht="26">
      <c r="A52" s="537"/>
      <c r="B52" s="563" t="s">
        <v>61</v>
      </c>
      <c r="C52" s="601"/>
      <c r="D52" s="565">
        <v>25</v>
      </c>
      <c r="E52" s="578">
        <f>35-1-1-33</f>
        <v>0</v>
      </c>
      <c r="F52" s="567">
        <f>45-25-1-1-1-2</f>
        <v>15</v>
      </c>
      <c r="G52" s="567">
        <f>50-2+2-1-1-1-1+1-8-1+12-1-1+1-1-1-25</f>
        <v>22</v>
      </c>
      <c r="H52" s="567">
        <f>30-1-1-2+4-1+1+1-1-3+3-1-1</f>
        <v>28</v>
      </c>
      <c r="I52" s="567">
        <f>21-1+1</f>
        <v>21</v>
      </c>
      <c r="J52" s="566">
        <f>15-1</f>
        <v>14</v>
      </c>
      <c r="K52" s="566">
        <v>5</v>
      </c>
      <c r="L52" s="568">
        <v>5</v>
      </c>
      <c r="M52" s="553">
        <f t="shared" ref="M52:M57" si="2">SUM(D52:L52)</f>
        <v>135</v>
      </c>
      <c r="N52" s="539"/>
      <c r="O52" s="602" t="s">
        <v>203</v>
      </c>
      <c r="P52" s="603"/>
      <c r="Q52" s="604">
        <f>10-1-1-4+1-1-1-3+50-3-2-2-10-1-1-1-3-1-1-1-1-2-2-1-10-1-1-1+30</f>
        <v>35</v>
      </c>
      <c r="R52" s="605">
        <f>SUM(Q52)</f>
        <v>35</v>
      </c>
      <c r="S52" s="606"/>
      <c r="T52" s="606"/>
      <c r="U52" s="606"/>
      <c r="V52" s="606"/>
      <c r="W52" s="607"/>
      <c r="X52" s="607"/>
      <c r="Y52" s="607"/>
      <c r="Z52" s="600"/>
      <c r="AA52" s="467"/>
    </row>
    <row r="53" spans="1:27" s="40" customFormat="1" ht="31">
      <c r="A53" s="537"/>
      <c r="B53" s="572" t="s">
        <v>58</v>
      </c>
      <c r="C53" s="573"/>
      <c r="D53" s="565">
        <f>25-1</f>
        <v>24</v>
      </c>
      <c r="E53" s="566">
        <f>35-1</f>
        <v>34</v>
      </c>
      <c r="F53" s="567">
        <f>50-8</f>
        <v>42</v>
      </c>
      <c r="G53" s="567">
        <f>50-1-6</f>
        <v>43</v>
      </c>
      <c r="H53" s="567">
        <f>30-1-4</f>
        <v>25</v>
      </c>
      <c r="I53" s="567">
        <f>25-1</f>
        <v>24</v>
      </c>
      <c r="J53" s="566">
        <v>14</v>
      </c>
      <c r="K53" s="566">
        <v>4</v>
      </c>
      <c r="L53" s="568">
        <v>5</v>
      </c>
      <c r="M53" s="553">
        <f t="shared" si="2"/>
        <v>215</v>
      </c>
      <c r="N53" s="539"/>
      <c r="O53" s="539"/>
      <c r="P53" s="539"/>
      <c r="Q53" s="539"/>
      <c r="R53" s="539"/>
      <c r="S53" s="539"/>
      <c r="T53" s="539"/>
      <c r="U53" s="539"/>
      <c r="V53" s="581"/>
      <c r="W53" s="467"/>
      <c r="X53" s="467"/>
      <c r="Y53" s="467"/>
      <c r="Z53" s="467"/>
      <c r="AA53" s="467"/>
    </row>
    <row r="54" spans="1:27" s="40" customFormat="1" ht="27" thickBot="1">
      <c r="A54" s="537"/>
      <c r="B54" s="572" t="s">
        <v>24</v>
      </c>
      <c r="C54" s="573"/>
      <c r="D54" s="565">
        <f>25-11+7+4-6-1-1</f>
        <v>17</v>
      </c>
      <c r="E54" s="566">
        <f>35-3-13+3-4-2-16+20-1-6-13</f>
        <v>0</v>
      </c>
      <c r="F54" s="567">
        <f>50-4-1-32+5-7+32-2+9+9-2-1-1-1-1-1-1-1-1-1</f>
        <v>48</v>
      </c>
      <c r="G54" s="567">
        <f>50-1-2-27-1+3-4+28-2-2+6+6-1-2-1-1</f>
        <v>49</v>
      </c>
      <c r="H54" s="567">
        <f>33-1-5</f>
        <v>27</v>
      </c>
      <c r="I54" s="567">
        <v>25</v>
      </c>
      <c r="J54" s="566">
        <v>15</v>
      </c>
      <c r="K54" s="566">
        <v>5</v>
      </c>
      <c r="L54" s="568">
        <v>5</v>
      </c>
      <c r="M54" s="553">
        <f t="shared" si="2"/>
        <v>191</v>
      </c>
      <c r="N54" s="539"/>
      <c r="O54" s="608" t="s">
        <v>204</v>
      </c>
      <c r="P54" s="608"/>
      <c r="Q54" s="608"/>
      <c r="R54" s="608"/>
      <c r="S54" s="608"/>
      <c r="T54" s="608"/>
      <c r="U54" s="608"/>
      <c r="V54" s="608"/>
      <c r="W54" s="608"/>
      <c r="X54" s="608"/>
      <c r="Y54" s="467"/>
      <c r="Z54" s="467"/>
    </row>
    <row r="55" spans="1:27" s="40" customFormat="1" ht="26">
      <c r="A55" s="537"/>
      <c r="B55" s="572" t="s">
        <v>188</v>
      </c>
      <c r="C55" s="573"/>
      <c r="D55" s="565">
        <v>25</v>
      </c>
      <c r="E55" s="566">
        <f>35-1</f>
        <v>34</v>
      </c>
      <c r="F55" s="567">
        <f>49-1</f>
        <v>48</v>
      </c>
      <c r="G55" s="567">
        <f>50-1+1-5-5-1-1</f>
        <v>38</v>
      </c>
      <c r="H55" s="567">
        <f>28-1</f>
        <v>27</v>
      </c>
      <c r="I55" s="567">
        <f>25-2-1</f>
        <v>22</v>
      </c>
      <c r="J55" s="566">
        <v>13</v>
      </c>
      <c r="K55" s="566">
        <f>5-3</f>
        <v>2</v>
      </c>
      <c r="L55" s="568">
        <v>5</v>
      </c>
      <c r="M55" s="553">
        <f t="shared" si="2"/>
        <v>214</v>
      </c>
      <c r="N55" s="539"/>
      <c r="O55" s="609" t="s">
        <v>90</v>
      </c>
      <c r="P55" s="610"/>
      <c r="Q55" s="611"/>
      <c r="R55" s="612"/>
      <c r="S55" s="612"/>
      <c r="T55" s="612"/>
      <c r="U55" s="612"/>
      <c r="V55" s="612"/>
      <c r="W55" s="612"/>
      <c r="X55" s="600"/>
      <c r="Y55" s="467"/>
      <c r="Z55" s="467"/>
    </row>
    <row r="56" spans="1:27" s="40" customFormat="1" ht="27" thickBot="1">
      <c r="A56" s="537"/>
      <c r="B56" s="572" t="s">
        <v>25</v>
      </c>
      <c r="C56" s="573"/>
      <c r="D56" s="565">
        <v>25</v>
      </c>
      <c r="E56" s="566">
        <v>35</v>
      </c>
      <c r="F56" s="567">
        <f>50-1</f>
        <v>49</v>
      </c>
      <c r="G56" s="567">
        <f>50-4</f>
        <v>46</v>
      </c>
      <c r="H56" s="567">
        <f>30-1</f>
        <v>29</v>
      </c>
      <c r="I56" s="567">
        <v>26</v>
      </c>
      <c r="J56" s="566">
        <v>15</v>
      </c>
      <c r="K56" s="566">
        <v>5</v>
      </c>
      <c r="L56" s="568">
        <v>5</v>
      </c>
      <c r="M56" s="553">
        <f t="shared" si="2"/>
        <v>235</v>
      </c>
      <c r="N56" s="539"/>
      <c r="O56" s="613"/>
      <c r="P56" s="614"/>
      <c r="Q56" s="604" t="s">
        <v>10</v>
      </c>
      <c r="R56" s="550" t="s">
        <v>53</v>
      </c>
      <c r="S56" s="553" t="s">
        <v>54</v>
      </c>
      <c r="T56" s="553" t="s">
        <v>55</v>
      </c>
      <c r="U56" s="553" t="s">
        <v>56</v>
      </c>
      <c r="V56" s="554" t="s">
        <v>15</v>
      </c>
      <c r="W56" s="554" t="s">
        <v>16</v>
      </c>
      <c r="X56" s="615" t="s">
        <v>57</v>
      </c>
      <c r="Y56" s="467"/>
      <c r="Z56" s="467"/>
    </row>
    <row r="57" spans="1:27" s="40" customFormat="1" ht="26">
      <c r="A57" s="537"/>
      <c r="B57" s="572" t="s">
        <v>21</v>
      </c>
      <c r="C57" s="573"/>
      <c r="D57" s="565">
        <v>25</v>
      </c>
      <c r="E57" s="566">
        <f>35-1</f>
        <v>34</v>
      </c>
      <c r="F57" s="567">
        <f>40-1-1</f>
        <v>38</v>
      </c>
      <c r="G57" s="567">
        <f>50-1-1+2-3</f>
        <v>47</v>
      </c>
      <c r="H57" s="567">
        <f>30-1-1-1-1</f>
        <v>26</v>
      </c>
      <c r="I57" s="567">
        <v>25</v>
      </c>
      <c r="J57" s="566">
        <v>15</v>
      </c>
      <c r="K57" s="566">
        <v>5</v>
      </c>
      <c r="L57" s="568">
        <v>5</v>
      </c>
      <c r="M57" s="553">
        <f t="shared" si="2"/>
        <v>220</v>
      </c>
      <c r="N57" s="539"/>
      <c r="O57" s="602" t="s">
        <v>203</v>
      </c>
      <c r="P57" s="616"/>
      <c r="Q57" s="617">
        <f>4+7</f>
        <v>11</v>
      </c>
      <c r="R57" s="604">
        <f>5-1+3-3+10</f>
        <v>14</v>
      </c>
      <c r="S57" s="604">
        <f>5-1-1-1-1+5-2-1-3+10</f>
        <v>10</v>
      </c>
      <c r="T57" s="604">
        <f>5-1-1+5-2+25</f>
        <v>31</v>
      </c>
      <c r="U57" s="604">
        <f>5-1-1+3-1+10</f>
        <v>15</v>
      </c>
      <c r="V57" s="604">
        <f>5-1+3</f>
        <v>7</v>
      </c>
      <c r="W57" s="604">
        <f>5+3</f>
        <v>8</v>
      </c>
      <c r="X57" s="604">
        <f>SUM(R57:W57)</f>
        <v>85</v>
      </c>
      <c r="Y57" s="467"/>
      <c r="Z57" s="467"/>
    </row>
    <row r="58" spans="1:27" s="40" customFormat="1" ht="31">
      <c r="A58" s="537"/>
      <c r="B58" s="539"/>
      <c r="C58" s="539"/>
      <c r="D58" s="539"/>
      <c r="E58" s="539"/>
      <c r="F58" s="539"/>
      <c r="G58" s="539"/>
      <c r="H58" s="539"/>
      <c r="I58" s="539"/>
      <c r="J58" s="539"/>
      <c r="K58" s="539"/>
      <c r="L58" s="539"/>
      <c r="M58" s="595">
        <f>SUM(M52:M57)</f>
        <v>1210</v>
      </c>
      <c r="N58" s="539"/>
      <c r="O58" s="539"/>
      <c r="P58" s="539"/>
      <c r="Q58" s="539"/>
      <c r="R58" s="539"/>
      <c r="S58" s="539"/>
      <c r="T58" s="539"/>
      <c r="U58" s="539"/>
      <c r="V58" s="581"/>
      <c r="W58" s="467"/>
      <c r="X58" s="467"/>
      <c r="Y58" s="467"/>
      <c r="Z58" s="467"/>
      <c r="AA58" s="467"/>
    </row>
    <row r="59" spans="1:27" s="40" customFormat="1" ht="31">
      <c r="A59" s="537"/>
      <c r="B59" s="539"/>
      <c r="C59" s="539"/>
      <c r="D59" s="539"/>
      <c r="E59" s="539"/>
      <c r="F59" s="539"/>
      <c r="G59" s="539"/>
      <c r="H59" s="539"/>
      <c r="I59" s="539"/>
      <c r="J59" s="539"/>
      <c r="K59" s="539"/>
      <c r="L59" s="539"/>
      <c r="M59" s="539"/>
      <c r="N59" s="539"/>
      <c r="O59" s="539"/>
      <c r="P59" s="539"/>
      <c r="Q59" s="539"/>
      <c r="R59" s="539"/>
      <c r="S59" s="539"/>
      <c r="T59" s="539"/>
      <c r="U59" s="539"/>
      <c r="V59" s="581"/>
      <c r="W59" s="467"/>
      <c r="X59" s="467"/>
      <c r="Y59" s="467"/>
      <c r="Z59" s="467"/>
      <c r="AA59" s="467"/>
    </row>
    <row r="60" spans="1:27" s="40" customFormat="1" ht="31">
      <c r="A60" s="537"/>
      <c r="B60" s="539"/>
      <c r="C60" s="539"/>
      <c r="D60" s="539"/>
      <c r="E60" s="539"/>
      <c r="F60" s="539"/>
      <c r="G60" s="539"/>
      <c r="H60" s="539"/>
      <c r="I60" s="539"/>
      <c r="J60" s="539"/>
      <c r="K60" s="600"/>
      <c r="L60" s="600"/>
      <c r="M60" s="600"/>
      <c r="N60" s="600"/>
      <c r="O60" s="600"/>
      <c r="P60" s="600"/>
      <c r="Q60" s="600"/>
      <c r="R60" s="600"/>
      <c r="S60" s="600"/>
      <c r="T60" s="600"/>
      <c r="U60" s="600"/>
      <c r="V60" s="581"/>
      <c r="W60" s="467"/>
      <c r="X60" s="467"/>
      <c r="Y60" s="467"/>
      <c r="Z60" s="467"/>
      <c r="AA60" s="467"/>
    </row>
    <row r="61" spans="1:27" s="40" customFormat="1" ht="32" thickBot="1">
      <c r="A61" s="537"/>
      <c r="B61" s="608" t="s">
        <v>205</v>
      </c>
      <c r="C61" s="608"/>
      <c r="D61" s="608"/>
      <c r="E61" s="608"/>
      <c r="F61" s="608"/>
      <c r="G61" s="608"/>
      <c r="H61" s="608"/>
      <c r="I61" s="618"/>
      <c r="J61" s="539"/>
      <c r="K61" s="608" t="s">
        <v>206</v>
      </c>
      <c r="L61" s="608"/>
      <c r="M61" s="608"/>
      <c r="N61" s="608"/>
      <c r="O61" s="608"/>
      <c r="P61" s="608"/>
      <c r="Q61" s="608"/>
      <c r="R61" s="608"/>
      <c r="S61" s="608"/>
      <c r="T61" s="600"/>
      <c r="U61" s="600"/>
      <c r="V61" s="581"/>
      <c r="W61" s="467"/>
      <c r="X61" s="467"/>
      <c r="Y61" s="467"/>
      <c r="Z61" s="467"/>
      <c r="AA61" s="467"/>
    </row>
    <row r="62" spans="1:27" s="40" customFormat="1" ht="19.5" customHeight="1">
      <c r="A62" s="537"/>
      <c r="B62" s="609" t="s">
        <v>90</v>
      </c>
      <c r="C62" s="610"/>
      <c r="D62" s="612"/>
      <c r="E62" s="612"/>
      <c r="F62" s="612"/>
      <c r="G62" s="612"/>
      <c r="H62" s="612"/>
      <c r="I62" s="619"/>
      <c r="J62" s="539"/>
      <c r="K62" s="609" t="s">
        <v>90</v>
      </c>
      <c r="L62" s="610"/>
      <c r="M62" s="612"/>
      <c r="N62" s="612"/>
      <c r="O62" s="612"/>
      <c r="P62" s="612"/>
      <c r="Q62" s="612"/>
      <c r="R62" s="612"/>
      <c r="S62" s="600"/>
      <c r="T62" s="600"/>
      <c r="U62" s="600"/>
      <c r="V62" s="581"/>
      <c r="W62" s="467"/>
      <c r="X62" s="467"/>
      <c r="Y62" s="467"/>
      <c r="Z62" s="467"/>
      <c r="AA62" s="467"/>
    </row>
    <row r="63" spans="1:27" s="40" customFormat="1" ht="32" thickBot="1">
      <c r="A63" s="537"/>
      <c r="B63" s="613"/>
      <c r="C63" s="620"/>
      <c r="D63" s="550" t="s">
        <v>53</v>
      </c>
      <c r="E63" s="553" t="s">
        <v>54</v>
      </c>
      <c r="F63" s="553" t="s">
        <v>55</v>
      </c>
      <c r="G63" s="553" t="s">
        <v>56</v>
      </c>
      <c r="H63" s="554" t="s">
        <v>15</v>
      </c>
      <c r="I63" s="553" t="s">
        <v>57</v>
      </c>
      <c r="J63" s="539"/>
      <c r="K63" s="613"/>
      <c r="L63" s="620"/>
      <c r="M63" s="550" t="s">
        <v>53</v>
      </c>
      <c r="N63" s="553" t="s">
        <v>54</v>
      </c>
      <c r="O63" s="553" t="s">
        <v>55</v>
      </c>
      <c r="P63" s="553" t="s">
        <v>56</v>
      </c>
      <c r="Q63" s="554" t="s">
        <v>15</v>
      </c>
      <c r="R63" s="554" t="s">
        <v>16</v>
      </c>
      <c r="S63" s="615" t="s">
        <v>57</v>
      </c>
      <c r="T63" s="600"/>
      <c r="U63" s="600"/>
      <c r="V63" s="581"/>
      <c r="W63" s="467"/>
      <c r="X63" s="467"/>
      <c r="Y63" s="467"/>
      <c r="Z63" s="467"/>
      <c r="AA63" s="467"/>
    </row>
    <row r="64" spans="1:27" s="40" customFormat="1" ht="31">
      <c r="A64" s="537"/>
      <c r="B64" s="602" t="s">
        <v>61</v>
      </c>
      <c r="C64" s="616"/>
      <c r="D64" s="621">
        <f>216-1-1-1-1-1-5-5-1</f>
        <v>200</v>
      </c>
      <c r="E64" s="621">
        <f>216-2-1-3-25-1-2-4-1-1-2-1-4-1-2-1-2-1-1-1-1-1-60-6-1-4-1-1-1-7+144-2-3-1-1-3-2-9-4-1-2-1-1-15-1-1-1-2</f>
        <v>171</v>
      </c>
      <c r="F64" s="622">
        <f>216-1-1-1-4-1-2-1-1-1-3-15-2-4-1-2-2</f>
        <v>174</v>
      </c>
      <c r="G64" s="622">
        <f>216-1-2-2-1-1-1-1-20-1-1-1-3-1-1-1-1-2-1-4-3-3-2-1-50-4-1-1-1-2-2-1-5-1-3</f>
        <v>90</v>
      </c>
      <c r="H64" s="623">
        <f>205-1-2-2-2-2-2-1</f>
        <v>193</v>
      </c>
      <c r="I64" s="622">
        <f>SUM(D64:H64)</f>
        <v>828</v>
      </c>
      <c r="J64" s="539"/>
      <c r="K64" s="602" t="s">
        <v>4</v>
      </c>
      <c r="L64" s="616"/>
      <c r="M64" s="604">
        <f>22-5-5-2-1</f>
        <v>9</v>
      </c>
      <c r="N64" s="604">
        <f>22-5-5-2-1-1-3-1</f>
        <v>4</v>
      </c>
      <c r="O64" s="604">
        <f>22-5-5-2-1</f>
        <v>9</v>
      </c>
      <c r="P64" s="604">
        <f>22-5-5-2-1</f>
        <v>9</v>
      </c>
      <c r="Q64" s="604">
        <f t="shared" ref="Q64:Q65" si="3">22-5-5-2</f>
        <v>10</v>
      </c>
      <c r="R64" s="604">
        <f>22-5-5-2-2-4-2-2+6</f>
        <v>6</v>
      </c>
      <c r="S64" s="604">
        <f>SUM(M64:R64)</f>
        <v>47</v>
      </c>
      <c r="T64" s="600"/>
      <c r="U64" s="600"/>
      <c r="V64" s="581"/>
      <c r="W64" s="467"/>
      <c r="X64" s="467"/>
      <c r="Y64" s="467"/>
      <c r="Z64" s="467"/>
      <c r="AA64" s="467"/>
    </row>
    <row r="65" spans="1:27" s="40" customFormat="1" ht="31">
      <c r="A65" s="537"/>
      <c r="B65" s="624" t="s">
        <v>94</v>
      </c>
      <c r="C65" s="625"/>
      <c r="D65" s="604">
        <f>360-5-5-5-1-2-1-35-1-1-1-1-2+1-1-1-1-4-5-1+2-2-1-31-9-1-1</f>
        <v>245</v>
      </c>
      <c r="E65" s="621">
        <f>360-5-5-5-1-3-1-10-1-2-35-1-5-1-5-1-4-1-1+1-2-2-7-1-2-2-1-5-1-2-2-1-1-1-1-5-2-1-1-1-1-1-4-1-41-1-1-1-3-1-1-1-1-6-3-2-2-1-1-1-3-1-1-1-1-2</f>
        <v>150</v>
      </c>
      <c r="F65" s="622">
        <f>360-5-5-5-1-1-10-20-1-2-2-4-1-2-1-6-1-1-10-1-4-2-3-1-10-2-1-1-1-1-6-22-1-5-1-1-2-1-1-1-1-9-5-2-1-1-1-2-7-2</f>
        <v>183</v>
      </c>
      <c r="G65" s="622">
        <f>360-5-5-5-1-1-10-1-1-3-1-1-10-7-1-7-3-2-1-1-2-2</f>
        <v>290</v>
      </c>
      <c r="H65" s="623">
        <f>360-5-5-5-1-1-1-1-1-1-1-2-1-2</f>
        <v>333</v>
      </c>
      <c r="I65" s="622">
        <f>SUM(D65:H65)</f>
        <v>1201</v>
      </c>
      <c r="J65" s="539"/>
      <c r="K65" s="624" t="s">
        <v>3</v>
      </c>
      <c r="L65" s="625"/>
      <c r="M65" s="604">
        <f>22-5-5-2-2-1-1</f>
        <v>6</v>
      </c>
      <c r="N65" s="604">
        <f>22-5-5-2-1-2</f>
        <v>7</v>
      </c>
      <c r="O65" s="604">
        <f>22-5-5-2-1-2-1</f>
        <v>6</v>
      </c>
      <c r="P65" s="604">
        <f>22-5-5-2-1</f>
        <v>9</v>
      </c>
      <c r="Q65" s="604">
        <f t="shared" si="3"/>
        <v>10</v>
      </c>
      <c r="R65" s="604">
        <f>22-5-5-2-2</f>
        <v>8</v>
      </c>
      <c r="S65" s="604">
        <f>SUM(M65:R65)</f>
        <v>46</v>
      </c>
      <c r="T65" s="600"/>
      <c r="U65" s="600"/>
      <c r="V65" s="581"/>
      <c r="W65" s="467"/>
      <c r="X65" s="467"/>
      <c r="Y65" s="467"/>
      <c r="Z65" s="467"/>
      <c r="AA65" s="467"/>
    </row>
    <row r="66" spans="1:27" s="40" customFormat="1" ht="32" thickBot="1">
      <c r="A66" s="537"/>
      <c r="B66" s="539"/>
      <c r="C66" s="539"/>
      <c r="D66" s="539"/>
      <c r="E66" s="539" t="s">
        <v>1</v>
      </c>
      <c r="F66" s="539"/>
      <c r="G66" s="539"/>
      <c r="H66" s="539"/>
      <c r="I66" s="626">
        <f>SUM(I64:I65)</f>
        <v>2029</v>
      </c>
      <c r="J66" s="539"/>
      <c r="K66" s="539"/>
      <c r="L66" s="539"/>
      <c r="M66" s="539"/>
      <c r="N66" s="539" t="s">
        <v>1</v>
      </c>
      <c r="O66" s="539"/>
      <c r="P66" s="539"/>
      <c r="Q66" s="539"/>
      <c r="R66" s="627"/>
      <c r="S66" s="626">
        <f>SUM(S64:S65)</f>
        <v>93</v>
      </c>
      <c r="T66" s="600"/>
      <c r="U66" s="600"/>
      <c r="V66" s="581"/>
      <c r="W66" s="467"/>
      <c r="X66" s="467"/>
      <c r="Y66" s="467"/>
      <c r="Z66" s="467"/>
      <c r="AA66" s="467"/>
    </row>
    <row r="67" spans="1:27" s="40" customFormat="1" ht="31">
      <c r="A67" s="537"/>
      <c r="B67" s="539"/>
      <c r="C67" s="539"/>
      <c r="D67" s="539"/>
      <c r="E67" s="539"/>
      <c r="F67" s="539"/>
      <c r="G67" s="539"/>
      <c r="H67" s="539"/>
      <c r="J67" s="627"/>
      <c r="K67" s="600"/>
      <c r="L67" s="600"/>
      <c r="M67" s="600"/>
      <c r="N67" s="600"/>
      <c r="O67" s="600"/>
      <c r="P67" s="600"/>
      <c r="Q67" s="600"/>
      <c r="R67" s="600"/>
      <c r="S67" s="600"/>
      <c r="T67" s="600"/>
      <c r="U67" s="600"/>
      <c r="V67" s="581"/>
      <c r="W67" s="467"/>
      <c r="X67" s="467"/>
      <c r="Y67" s="467"/>
      <c r="Z67" s="467"/>
      <c r="AA67" s="467"/>
    </row>
    <row r="68" spans="1:27" s="40" customFormat="1" ht="32" thickBot="1">
      <c r="A68" s="537"/>
      <c r="B68" s="628" t="s">
        <v>207</v>
      </c>
      <c r="C68" s="628"/>
      <c r="D68" s="628"/>
      <c r="E68" s="628"/>
      <c r="F68" s="628"/>
      <c r="G68" s="628"/>
      <c r="H68" s="629"/>
      <c r="I68" s="553" t="s">
        <v>57</v>
      </c>
      <c r="J68" s="627"/>
      <c r="K68" s="600"/>
      <c r="L68" s="600"/>
      <c r="M68" s="600"/>
      <c r="N68" s="600"/>
      <c r="O68" s="600"/>
      <c r="P68" s="600"/>
      <c r="Q68" s="600"/>
      <c r="R68" s="600"/>
      <c r="S68" s="600"/>
      <c r="T68" s="600"/>
      <c r="U68" s="600"/>
      <c r="V68" s="581"/>
      <c r="W68" s="467"/>
      <c r="X68" s="467"/>
      <c r="Y68" s="467"/>
      <c r="Z68" s="467"/>
      <c r="AA68" s="467"/>
    </row>
    <row r="69" spans="1:27" s="40" customFormat="1" ht="31">
      <c r="A69" s="537"/>
      <c r="B69" s="630" t="s">
        <v>90</v>
      </c>
      <c r="C69" s="631"/>
      <c r="D69" s="632"/>
      <c r="E69" s="632"/>
      <c r="F69" s="632"/>
      <c r="G69" s="632"/>
      <c r="H69" s="632"/>
      <c r="I69" s="633"/>
      <c r="J69" s="627"/>
      <c r="K69" s="600"/>
      <c r="L69" s="600"/>
      <c r="M69" s="600"/>
      <c r="N69" s="600"/>
      <c r="O69" s="600"/>
      <c r="P69" s="600"/>
      <c r="Q69" s="600"/>
      <c r="R69" s="600"/>
      <c r="S69" s="600"/>
      <c r="T69" s="600"/>
      <c r="U69" s="600"/>
      <c r="V69" s="581"/>
      <c r="W69" s="467"/>
      <c r="X69" s="467"/>
      <c r="Y69" s="467"/>
      <c r="Z69" s="467"/>
      <c r="AA69" s="467"/>
    </row>
    <row r="70" spans="1:27" s="40" customFormat="1" ht="32" thickBot="1">
      <c r="A70" s="537"/>
      <c r="B70" s="634"/>
      <c r="C70" s="635"/>
      <c r="D70" s="636">
        <v>0.5</v>
      </c>
      <c r="E70" s="637">
        <v>0.75</v>
      </c>
      <c r="F70" s="638"/>
      <c r="G70" s="639">
        <v>0.875</v>
      </c>
      <c r="H70" s="554">
        <v>18</v>
      </c>
      <c r="I70" s="640" t="s">
        <v>57</v>
      </c>
      <c r="J70" s="627"/>
      <c r="K70" s="600"/>
      <c r="L70" s="600"/>
      <c r="M70" s="600"/>
      <c r="N70" s="600"/>
      <c r="O70" s="600"/>
      <c r="P70" s="600"/>
      <c r="Q70" s="600"/>
      <c r="R70" s="600"/>
      <c r="S70" s="600"/>
      <c r="T70" s="600"/>
      <c r="U70" s="600"/>
      <c r="V70" s="581"/>
      <c r="W70" s="467"/>
      <c r="X70" s="467"/>
      <c r="Y70" s="467"/>
      <c r="Z70" s="467"/>
      <c r="AA70" s="467"/>
    </row>
    <row r="71" spans="1:27" s="40" customFormat="1" ht="31">
      <c r="A71" s="537"/>
      <c r="B71" s="602" t="s">
        <v>120</v>
      </c>
      <c r="C71" s="603"/>
      <c r="D71" s="604">
        <f>10-2+2</f>
        <v>10</v>
      </c>
      <c r="E71" s="604">
        <f>10-2+2</f>
        <v>10</v>
      </c>
      <c r="F71" s="604">
        <f>10-2+2</f>
        <v>10</v>
      </c>
      <c r="G71" s="604">
        <f>10-2+2</f>
        <v>10</v>
      </c>
      <c r="H71" s="604">
        <f>10-2+2</f>
        <v>10</v>
      </c>
      <c r="I71" s="641">
        <f>SUM(D71:H71)</f>
        <v>50</v>
      </c>
      <c r="J71" s="627"/>
      <c r="K71" s="600"/>
      <c r="L71" s="600"/>
      <c r="M71" s="600"/>
      <c r="N71" s="600"/>
      <c r="O71" s="600"/>
      <c r="P71" s="600"/>
      <c r="Q71" s="600"/>
      <c r="R71" s="600"/>
      <c r="S71" s="600"/>
      <c r="T71" s="600"/>
      <c r="U71" s="600"/>
      <c r="V71" s="581"/>
      <c r="W71" s="467"/>
      <c r="X71" s="467"/>
      <c r="Y71" s="467"/>
      <c r="Z71" s="467"/>
      <c r="AA71" s="467"/>
    </row>
    <row r="72" spans="1:27" s="40" customFormat="1" ht="31">
      <c r="A72" s="537"/>
      <c r="B72" s="539"/>
      <c r="C72" s="539"/>
      <c r="D72" s="539"/>
      <c r="E72" s="539"/>
      <c r="F72" s="539"/>
      <c r="G72" s="539"/>
      <c r="H72" s="539"/>
      <c r="J72" s="627"/>
      <c r="K72" s="600"/>
      <c r="L72" s="600"/>
      <c r="M72" s="600"/>
      <c r="N72" s="600"/>
      <c r="O72" s="600"/>
      <c r="P72" s="600"/>
      <c r="Q72" s="600"/>
      <c r="R72" s="600"/>
      <c r="S72" s="600"/>
      <c r="T72" s="600"/>
      <c r="U72" s="600"/>
      <c r="V72" s="581"/>
      <c r="W72" s="467"/>
      <c r="X72" s="467"/>
      <c r="Y72" s="467"/>
      <c r="Z72" s="467"/>
      <c r="AA72" s="467"/>
    </row>
    <row r="73" spans="1:27" s="40" customFormat="1" ht="32" thickBot="1">
      <c r="A73" s="537"/>
      <c r="B73" s="628" t="s">
        <v>208</v>
      </c>
      <c r="C73" s="628"/>
      <c r="D73" s="628"/>
      <c r="E73" s="628"/>
      <c r="F73" s="628"/>
      <c r="G73" s="628"/>
      <c r="H73" s="629"/>
      <c r="I73" s="553" t="s">
        <v>57</v>
      </c>
      <c r="J73" s="627"/>
      <c r="K73" s="600"/>
      <c r="L73" s="600"/>
      <c r="M73" s="600"/>
      <c r="N73" s="600"/>
      <c r="O73" s="600"/>
      <c r="P73" s="600"/>
      <c r="Q73" s="600"/>
      <c r="R73" s="600"/>
      <c r="S73" s="600"/>
      <c r="T73" s="600"/>
      <c r="U73" s="600"/>
      <c r="V73" s="581"/>
      <c r="W73" s="467"/>
      <c r="X73" s="467"/>
      <c r="Y73" s="467"/>
      <c r="Z73" s="467"/>
      <c r="AA73" s="467"/>
    </row>
    <row r="74" spans="1:27" s="40" customFormat="1" ht="31">
      <c r="A74" s="537"/>
      <c r="B74" s="630" t="s">
        <v>90</v>
      </c>
      <c r="C74" s="631"/>
      <c r="D74" s="632"/>
      <c r="E74" s="632"/>
      <c r="F74" s="632"/>
      <c r="G74" s="632"/>
      <c r="H74" s="632"/>
      <c r="I74" s="633"/>
      <c r="J74" s="627"/>
      <c r="K74" s="600"/>
      <c r="L74" s="600"/>
      <c r="M74" s="600"/>
      <c r="N74" s="600"/>
      <c r="O74" s="600"/>
      <c r="P74" s="600"/>
      <c r="Q74" s="600"/>
      <c r="R74" s="600"/>
      <c r="S74" s="600"/>
      <c r="T74" s="600"/>
      <c r="U74" s="600"/>
      <c r="V74" s="581"/>
      <c r="W74" s="467"/>
      <c r="X74" s="467"/>
      <c r="Y74" s="467"/>
      <c r="Z74" s="467"/>
      <c r="AA74" s="467"/>
    </row>
    <row r="75" spans="1:27" s="40" customFormat="1" ht="32" thickBot="1">
      <c r="A75" s="537"/>
      <c r="B75" s="634"/>
      <c r="C75" s="635"/>
      <c r="D75" s="636">
        <v>0.5</v>
      </c>
      <c r="E75" s="637">
        <v>0.75</v>
      </c>
      <c r="F75" s="642"/>
      <c r="G75" s="639">
        <v>0.875</v>
      </c>
      <c r="H75" s="554">
        <v>18</v>
      </c>
      <c r="I75" s="640" t="s">
        <v>57</v>
      </c>
      <c r="J75" s="627"/>
      <c r="K75" s="600"/>
      <c r="L75" s="600"/>
      <c r="M75" s="600"/>
      <c r="N75" s="600"/>
      <c r="O75" s="600"/>
      <c r="P75" s="600"/>
      <c r="Q75" s="600"/>
      <c r="R75" s="600"/>
      <c r="S75" s="600"/>
      <c r="T75" s="600"/>
      <c r="U75" s="600"/>
      <c r="V75" s="581"/>
      <c r="W75" s="467"/>
      <c r="X75" s="467"/>
      <c r="Y75" s="467"/>
      <c r="Z75" s="467"/>
      <c r="AA75" s="467"/>
    </row>
    <row r="76" spans="1:27" s="40" customFormat="1" ht="31">
      <c r="A76" s="537"/>
      <c r="B76" s="602" t="s">
        <v>120</v>
      </c>
      <c r="C76" s="603"/>
      <c r="D76" s="604">
        <f>10-2+2</f>
        <v>10</v>
      </c>
      <c r="E76" s="604">
        <f>10-2+2</f>
        <v>10</v>
      </c>
      <c r="F76" s="604">
        <f>10-2+2</f>
        <v>10</v>
      </c>
      <c r="G76" s="604">
        <f>10-2+2</f>
        <v>10</v>
      </c>
      <c r="H76" s="604">
        <f>10-2+2</f>
        <v>10</v>
      </c>
      <c r="I76" s="641">
        <f>SUM(D76:H76)</f>
        <v>50</v>
      </c>
      <c r="J76" s="627"/>
      <c r="K76" s="600"/>
      <c r="L76" s="600"/>
      <c r="M76" s="600"/>
      <c r="N76" s="600"/>
      <c r="O76" s="600"/>
      <c r="P76" s="600"/>
      <c r="Q76" s="600"/>
      <c r="R76" s="600"/>
      <c r="S76" s="600"/>
      <c r="T76" s="600"/>
      <c r="U76" s="600"/>
      <c r="V76" s="581"/>
      <c r="W76" s="467"/>
      <c r="X76" s="467"/>
      <c r="Y76" s="467"/>
      <c r="Z76" s="467"/>
      <c r="AA76" s="467"/>
    </row>
    <row r="77" spans="1:27" s="40" customFormat="1" ht="31">
      <c r="A77" s="537"/>
      <c r="B77" s="539"/>
      <c r="C77" s="539"/>
      <c r="D77" s="539"/>
      <c r="E77" s="539"/>
      <c r="F77" s="539"/>
      <c r="G77" s="539"/>
      <c r="H77" s="539"/>
      <c r="J77" s="627"/>
      <c r="K77" s="600"/>
      <c r="L77" s="600"/>
      <c r="M77" s="600"/>
      <c r="N77" s="600"/>
      <c r="O77" s="600"/>
      <c r="P77" s="600"/>
      <c r="Q77" s="600"/>
      <c r="R77" s="600"/>
      <c r="S77" s="600"/>
      <c r="T77" s="600"/>
      <c r="U77" s="600"/>
      <c r="V77" s="581"/>
      <c r="W77" s="467"/>
      <c r="X77" s="467"/>
      <c r="Y77" s="467"/>
      <c r="Z77" s="467"/>
      <c r="AA77" s="467"/>
    </row>
    <row r="78" spans="1:27" s="40" customFormat="1" ht="31">
      <c r="A78" s="537"/>
      <c r="B78" s="643" t="s">
        <v>209</v>
      </c>
      <c r="C78" s="643"/>
      <c r="D78" s="643"/>
      <c r="E78" s="643"/>
      <c r="F78" s="643"/>
      <c r="G78" s="643"/>
      <c r="H78" s="643"/>
      <c r="I78" s="539"/>
      <c r="J78" s="627"/>
      <c r="K78" s="600"/>
      <c r="L78" s="600"/>
      <c r="M78" s="600"/>
      <c r="N78" s="600"/>
      <c r="O78" s="600"/>
      <c r="P78" s="600"/>
      <c r="Q78" s="600"/>
      <c r="R78" s="600"/>
      <c r="S78" s="600"/>
      <c r="T78" s="600"/>
      <c r="U78" s="600"/>
      <c r="V78" s="581"/>
      <c r="W78" s="467"/>
      <c r="X78" s="467"/>
      <c r="Y78" s="467"/>
      <c r="Z78" s="467"/>
      <c r="AA78" s="467"/>
    </row>
    <row r="79" spans="1:27" s="40" customFormat="1" ht="31">
      <c r="A79" s="537"/>
      <c r="B79" s="644" t="s">
        <v>90</v>
      </c>
      <c r="C79" s="644"/>
      <c r="D79" s="645" t="s">
        <v>48</v>
      </c>
      <c r="E79" s="645"/>
      <c r="F79" s="645"/>
      <c r="G79" s="645"/>
      <c r="H79" s="645"/>
      <c r="I79" s="645"/>
      <c r="J79" s="627"/>
      <c r="K79" s="600"/>
      <c r="L79" s="600"/>
      <c r="M79" s="600"/>
      <c r="N79" s="600"/>
      <c r="O79" s="600"/>
      <c r="P79" s="600"/>
      <c r="Q79" s="600"/>
      <c r="R79" s="600"/>
      <c r="S79" s="600"/>
      <c r="T79" s="600"/>
      <c r="U79" s="600"/>
      <c r="V79" s="581"/>
      <c r="W79" s="467"/>
      <c r="X79" s="467"/>
      <c r="Y79" s="467"/>
      <c r="Z79" s="467"/>
      <c r="AA79" s="467"/>
    </row>
    <row r="80" spans="1:27" s="40" customFormat="1" ht="31">
      <c r="A80" s="537"/>
      <c r="B80" s="644"/>
      <c r="C80" s="644"/>
      <c r="D80" s="646" t="s">
        <v>53</v>
      </c>
      <c r="E80" s="553" t="s">
        <v>54</v>
      </c>
      <c r="F80" s="553" t="s">
        <v>55</v>
      </c>
      <c r="G80" s="553" t="s">
        <v>56</v>
      </c>
      <c r="H80" s="640" t="s">
        <v>57</v>
      </c>
      <c r="I80" s="627"/>
      <c r="J80" s="627"/>
      <c r="K80" s="600"/>
      <c r="L80" s="600"/>
      <c r="M80" s="600"/>
      <c r="N80" s="600"/>
      <c r="O80" s="600"/>
      <c r="P80" s="600"/>
      <c r="Q80" s="600"/>
      <c r="R80" s="600"/>
      <c r="S80" s="600"/>
      <c r="T80" s="600"/>
      <c r="U80" s="600"/>
      <c r="V80" s="581"/>
      <c r="W80" s="467"/>
      <c r="X80" s="467"/>
      <c r="Y80" s="467"/>
      <c r="Z80" s="467"/>
      <c r="AA80" s="467"/>
    </row>
    <row r="81" spans="1:27" s="40" customFormat="1" ht="31">
      <c r="A81" s="537"/>
      <c r="B81" s="647" t="s">
        <v>120</v>
      </c>
      <c r="C81" s="648"/>
      <c r="D81" s="604">
        <f>10-2+2</f>
        <v>10</v>
      </c>
      <c r="E81" s="604">
        <f>10-2+2</f>
        <v>10</v>
      </c>
      <c r="F81" s="604">
        <f>10-2+2</f>
        <v>10</v>
      </c>
      <c r="G81" s="604">
        <f>10-2+2</f>
        <v>10</v>
      </c>
      <c r="H81" s="649">
        <f>SUM(D81:G81)</f>
        <v>40</v>
      </c>
      <c r="I81" s="627"/>
      <c r="J81" s="627"/>
      <c r="K81" s="600"/>
      <c r="L81" s="600"/>
      <c r="M81" s="600"/>
      <c r="N81" s="600"/>
      <c r="O81" s="600"/>
      <c r="P81" s="600"/>
      <c r="Q81" s="600"/>
      <c r="R81" s="600"/>
      <c r="S81" s="600"/>
      <c r="T81" s="600"/>
      <c r="U81" s="600"/>
      <c r="V81" s="581"/>
      <c r="W81" s="467"/>
      <c r="X81" s="467"/>
      <c r="Y81" s="467"/>
      <c r="Z81" s="467"/>
      <c r="AA81" s="467"/>
    </row>
    <row r="82" spans="1:27" s="40" customFormat="1" ht="31">
      <c r="A82" s="537"/>
      <c r="B82" s="539"/>
      <c r="C82" s="539"/>
      <c r="D82" s="539"/>
      <c r="E82" s="539"/>
      <c r="F82" s="539"/>
      <c r="G82" s="539"/>
      <c r="H82" s="539"/>
      <c r="J82" s="627"/>
      <c r="K82" s="600"/>
      <c r="L82" s="600"/>
      <c r="M82" s="600"/>
      <c r="N82" s="600"/>
      <c r="O82" s="600"/>
      <c r="P82" s="600"/>
      <c r="Q82" s="600"/>
      <c r="R82" s="600"/>
      <c r="S82" s="600"/>
      <c r="T82" s="600"/>
      <c r="U82" s="600"/>
      <c r="V82" s="581"/>
      <c r="W82" s="467"/>
      <c r="X82" s="467"/>
      <c r="Y82" s="467"/>
      <c r="Z82" s="467"/>
      <c r="AA82" s="467"/>
    </row>
    <row r="83" spans="1:27" s="40" customFormat="1" ht="31">
      <c r="A83" s="537"/>
      <c r="B83" s="643" t="s">
        <v>210</v>
      </c>
      <c r="C83" s="643"/>
      <c r="D83" s="643"/>
      <c r="E83" s="643"/>
      <c r="F83" s="643"/>
      <c r="G83" s="643"/>
      <c r="H83" s="643"/>
      <c r="I83" s="539"/>
      <c r="J83" s="627"/>
      <c r="K83" s="600"/>
      <c r="L83" s="600"/>
      <c r="M83" s="600"/>
      <c r="N83" s="600"/>
      <c r="O83" s="600"/>
      <c r="P83" s="600"/>
      <c r="Q83" s="600"/>
      <c r="R83" s="600"/>
      <c r="S83" s="600"/>
      <c r="T83" s="600"/>
      <c r="U83" s="600"/>
      <c r="V83" s="581"/>
      <c r="W83" s="467"/>
      <c r="X83" s="467"/>
      <c r="Y83" s="467"/>
      <c r="Z83" s="467"/>
      <c r="AA83" s="467"/>
    </row>
    <row r="84" spans="1:27" s="40" customFormat="1" ht="18.75" customHeight="1">
      <c r="A84" s="537"/>
      <c r="B84" s="644" t="s">
        <v>90</v>
      </c>
      <c r="C84" s="644"/>
      <c r="D84" s="650" t="s">
        <v>48</v>
      </c>
      <c r="E84" s="651"/>
      <c r="F84" s="651"/>
      <c r="G84" s="651"/>
      <c r="H84" s="651"/>
      <c r="I84" s="652"/>
      <c r="J84" s="627"/>
      <c r="K84" s="600"/>
      <c r="L84" s="600"/>
      <c r="M84" s="600"/>
      <c r="N84" s="600"/>
      <c r="O84" s="600"/>
      <c r="P84" s="600"/>
      <c r="Q84" s="600"/>
      <c r="R84" s="600"/>
      <c r="S84" s="600"/>
      <c r="T84" s="600"/>
      <c r="U84" s="600"/>
      <c r="V84" s="581"/>
      <c r="W84" s="467"/>
      <c r="X84" s="467"/>
      <c r="Y84" s="467"/>
      <c r="Z84" s="467"/>
      <c r="AA84" s="467"/>
    </row>
    <row r="85" spans="1:27" s="40" customFormat="1" ht="31">
      <c r="A85" s="537"/>
      <c r="B85" s="644"/>
      <c r="C85" s="644"/>
      <c r="D85" s="646" t="s">
        <v>53</v>
      </c>
      <c r="E85" s="553" t="s">
        <v>54</v>
      </c>
      <c r="F85" s="553" t="s">
        <v>55</v>
      </c>
      <c r="G85" s="553" t="s">
        <v>56</v>
      </c>
      <c r="H85" s="640" t="s">
        <v>57</v>
      </c>
      <c r="I85" s="627"/>
      <c r="J85" s="600"/>
      <c r="K85" s="600"/>
      <c r="L85" s="600"/>
      <c r="M85" s="600"/>
      <c r="N85" s="600"/>
      <c r="O85" s="600"/>
      <c r="P85" s="600"/>
      <c r="Q85" s="600"/>
      <c r="R85" s="600"/>
      <c r="S85" s="600"/>
      <c r="T85" s="600"/>
      <c r="U85" s="581"/>
      <c r="V85" s="467"/>
      <c r="W85" s="467"/>
      <c r="X85" s="467"/>
      <c r="Y85" s="467"/>
      <c r="Z85" s="467"/>
    </row>
    <row r="86" spans="1:27" s="40" customFormat="1" ht="31">
      <c r="A86" s="537"/>
      <c r="B86" s="647" t="s">
        <v>211</v>
      </c>
      <c r="C86" s="648"/>
      <c r="D86" s="604">
        <f t="shared" ref="D86:G87" si="4">10-2+2</f>
        <v>10</v>
      </c>
      <c r="E86" s="604">
        <f t="shared" si="4"/>
        <v>10</v>
      </c>
      <c r="F86" s="604">
        <f t="shared" si="4"/>
        <v>10</v>
      </c>
      <c r="G86" s="604">
        <f t="shared" si="4"/>
        <v>10</v>
      </c>
      <c r="H86" s="649">
        <f>SUM(D86:G86)</f>
        <v>40</v>
      </c>
      <c r="I86" s="627"/>
      <c r="J86" s="600"/>
      <c r="K86" s="600"/>
      <c r="L86" s="600"/>
      <c r="M86" s="600"/>
      <c r="N86" s="600"/>
      <c r="O86" s="600"/>
      <c r="P86" s="600"/>
      <c r="Q86" s="600"/>
      <c r="R86" s="600"/>
      <c r="S86" s="600"/>
      <c r="T86" s="600"/>
      <c r="U86" s="581"/>
      <c r="V86" s="467"/>
      <c r="W86" s="467"/>
      <c r="X86" s="467"/>
      <c r="Y86" s="467"/>
      <c r="Z86" s="467"/>
    </row>
    <row r="87" spans="1:27" s="40" customFormat="1" ht="31">
      <c r="A87" s="537"/>
      <c r="B87" s="647" t="s">
        <v>212</v>
      </c>
      <c r="C87" s="648"/>
      <c r="D87" s="604">
        <f t="shared" si="4"/>
        <v>10</v>
      </c>
      <c r="E87" s="604">
        <f t="shared" si="4"/>
        <v>10</v>
      </c>
      <c r="F87" s="604">
        <f t="shared" si="4"/>
        <v>10</v>
      </c>
      <c r="G87" s="604">
        <f t="shared" si="4"/>
        <v>10</v>
      </c>
      <c r="H87" s="649">
        <f>SUM(D87:G87)</f>
        <v>40</v>
      </c>
      <c r="J87" s="627"/>
      <c r="K87" s="600"/>
      <c r="L87" s="600"/>
      <c r="M87" s="600"/>
      <c r="N87" s="600"/>
      <c r="O87" s="600"/>
      <c r="P87" s="600"/>
      <c r="Q87" s="600"/>
      <c r="R87" s="600"/>
      <c r="S87" s="600"/>
      <c r="T87" s="600"/>
      <c r="U87" s="600"/>
      <c r="V87" s="581"/>
      <c r="W87" s="467"/>
      <c r="X87" s="467"/>
      <c r="Y87" s="467"/>
      <c r="Z87" s="467"/>
      <c r="AA87" s="467"/>
    </row>
    <row r="88" spans="1:27" s="40" customFormat="1" ht="31">
      <c r="A88" s="537"/>
      <c r="B88" s="539"/>
      <c r="C88" s="539"/>
      <c r="D88" s="539"/>
      <c r="E88" s="539"/>
      <c r="F88" s="539"/>
      <c r="G88" s="539"/>
      <c r="H88" s="539"/>
      <c r="J88" s="627"/>
      <c r="K88" s="600"/>
      <c r="L88" s="600"/>
      <c r="M88" s="600"/>
      <c r="N88" s="600"/>
      <c r="O88" s="600"/>
      <c r="P88" s="600"/>
      <c r="Q88" s="600"/>
      <c r="R88" s="600"/>
      <c r="S88" s="600"/>
      <c r="T88" s="600"/>
      <c r="U88" s="600"/>
      <c r="V88" s="581"/>
      <c r="W88" s="467"/>
      <c r="X88" s="467"/>
      <c r="Y88" s="467"/>
      <c r="Z88" s="467"/>
      <c r="AA88" s="467"/>
    </row>
    <row r="89" spans="1:27" s="40" customFormat="1" ht="31">
      <c r="A89" s="537"/>
      <c r="B89" s="653" t="s">
        <v>213</v>
      </c>
      <c r="C89" s="653"/>
      <c r="D89" s="653"/>
      <c r="E89" s="653"/>
      <c r="F89" s="653"/>
      <c r="G89" s="653"/>
      <c r="H89" s="653"/>
      <c r="I89" s="600"/>
      <c r="J89" s="627"/>
      <c r="K89" s="600"/>
      <c r="L89" s="600"/>
      <c r="M89" s="600"/>
      <c r="N89" s="600"/>
      <c r="O89" s="600"/>
      <c r="P89" s="600"/>
      <c r="Q89" s="600"/>
      <c r="R89" s="600"/>
      <c r="S89" s="600"/>
      <c r="T89" s="600"/>
      <c r="U89" s="600"/>
      <c r="V89" s="581"/>
      <c r="W89" s="467"/>
      <c r="X89" s="467"/>
      <c r="Y89" s="467"/>
      <c r="Z89" s="467"/>
      <c r="AA89" s="467"/>
    </row>
    <row r="90" spans="1:27" s="40" customFormat="1" ht="23.25" customHeight="1">
      <c r="A90" s="537"/>
      <c r="B90" s="654" t="s">
        <v>90</v>
      </c>
      <c r="C90" s="654"/>
      <c r="D90" s="645"/>
      <c r="E90" s="645"/>
      <c r="F90" s="645"/>
      <c r="G90" s="645"/>
      <c r="H90" s="645"/>
      <c r="I90" s="645"/>
      <c r="J90" s="627"/>
      <c r="K90" s="600"/>
      <c r="L90" s="600"/>
      <c r="M90" s="600"/>
      <c r="N90" s="600"/>
      <c r="O90" s="600"/>
      <c r="P90" s="600"/>
      <c r="Q90" s="600"/>
      <c r="R90" s="600"/>
      <c r="S90" s="600"/>
      <c r="T90" s="600"/>
      <c r="U90" s="600"/>
      <c r="V90" s="581"/>
      <c r="W90" s="467"/>
      <c r="X90" s="467"/>
      <c r="Y90" s="467"/>
      <c r="Z90" s="467"/>
      <c r="AA90" s="467"/>
    </row>
    <row r="91" spans="1:27" s="40" customFormat="1" ht="31">
      <c r="A91" s="537"/>
      <c r="B91" s="654"/>
      <c r="C91" s="654"/>
      <c r="D91" s="655">
        <v>3</v>
      </c>
      <c r="E91" s="656">
        <v>6</v>
      </c>
      <c r="F91" s="604">
        <v>12</v>
      </c>
      <c r="G91" s="604">
        <v>18</v>
      </c>
      <c r="H91" s="657" t="s">
        <v>57</v>
      </c>
      <c r="I91" s="658"/>
      <c r="J91" s="627"/>
      <c r="K91" s="600"/>
      <c r="L91" s="600"/>
      <c r="M91" s="600"/>
      <c r="N91" s="600"/>
      <c r="O91" s="600"/>
      <c r="P91" s="600"/>
      <c r="Q91" s="600"/>
      <c r="R91" s="600"/>
      <c r="S91" s="600"/>
      <c r="T91" s="600"/>
      <c r="U91" s="600"/>
      <c r="V91" s="581"/>
      <c r="W91" s="467"/>
      <c r="X91" s="467"/>
      <c r="Y91" s="467"/>
      <c r="Z91" s="467"/>
      <c r="AA91" s="467"/>
    </row>
    <row r="92" spans="1:27" s="40" customFormat="1" ht="31">
      <c r="A92" s="537"/>
      <c r="B92" s="647" t="s">
        <v>120</v>
      </c>
      <c r="C92" s="648"/>
      <c r="D92" s="604">
        <f>10-2+1</f>
        <v>9</v>
      </c>
      <c r="E92" s="604">
        <f>10-2+1</f>
        <v>9</v>
      </c>
      <c r="F92" s="604">
        <f>10-2+1</f>
        <v>9</v>
      </c>
      <c r="G92" s="604">
        <f>10-2+1</f>
        <v>9</v>
      </c>
      <c r="H92" s="604">
        <f>SUM(D92:G92)</f>
        <v>36</v>
      </c>
      <c r="I92" s="606"/>
      <c r="J92" s="627"/>
      <c r="K92" s="600"/>
      <c r="L92" s="600"/>
      <c r="M92" s="600"/>
      <c r="N92" s="600"/>
      <c r="O92" s="600"/>
      <c r="P92" s="600"/>
      <c r="Q92" s="600"/>
      <c r="R92" s="600"/>
      <c r="S92" s="600"/>
      <c r="T92" s="600"/>
      <c r="U92" s="600"/>
      <c r="V92" s="581"/>
      <c r="W92" s="467"/>
      <c r="X92" s="467"/>
      <c r="Y92" s="467"/>
      <c r="Z92" s="467"/>
      <c r="AA92" s="467"/>
    </row>
    <row r="93" spans="1:27" s="40" customFormat="1" ht="31">
      <c r="A93" s="537"/>
      <c r="B93" s="539"/>
      <c r="C93" s="539"/>
      <c r="D93" s="539"/>
      <c r="E93" s="539"/>
      <c r="F93" s="539"/>
      <c r="G93" s="539"/>
      <c r="H93" s="539"/>
      <c r="J93" s="627"/>
      <c r="K93" s="600"/>
      <c r="L93" s="600"/>
      <c r="M93" s="600"/>
      <c r="N93" s="600"/>
      <c r="O93" s="600"/>
      <c r="P93" s="600"/>
      <c r="Q93" s="600"/>
      <c r="R93" s="600"/>
      <c r="S93" s="600"/>
      <c r="T93" s="600"/>
      <c r="U93" s="600"/>
      <c r="V93" s="581"/>
      <c r="W93" s="467"/>
      <c r="X93" s="467"/>
      <c r="Y93" s="467"/>
      <c r="Z93" s="467"/>
      <c r="AA93" s="467"/>
    </row>
    <row r="94" spans="1:27" s="40" customFormat="1" ht="31">
      <c r="A94" s="537"/>
      <c r="B94" s="539"/>
      <c r="C94" s="539"/>
      <c r="D94" s="539"/>
      <c r="E94" s="539"/>
      <c r="F94" s="539"/>
      <c r="G94" s="539"/>
      <c r="H94" s="539"/>
      <c r="I94" s="659"/>
      <c r="J94" s="539"/>
      <c r="K94" s="600"/>
      <c r="L94" s="600"/>
      <c r="M94" s="600"/>
      <c r="N94" s="600"/>
      <c r="O94" s="600"/>
      <c r="P94" s="600"/>
      <c r="Q94" s="600"/>
      <c r="R94" s="600"/>
      <c r="S94" s="600"/>
      <c r="T94" s="600"/>
      <c r="U94" s="600"/>
      <c r="V94" s="581"/>
      <c r="W94" s="467"/>
      <c r="X94" s="467"/>
      <c r="Y94" s="467"/>
      <c r="Z94" s="467"/>
      <c r="AA94" s="467"/>
    </row>
    <row r="95" spans="1:27" s="40" customFormat="1" ht="27" thickBot="1">
      <c r="A95" s="537"/>
      <c r="B95" s="539"/>
      <c r="C95" s="539"/>
      <c r="D95" s="539"/>
      <c r="E95" s="539"/>
      <c r="F95" s="539"/>
      <c r="G95" s="539"/>
      <c r="H95" s="539"/>
      <c r="I95" s="539"/>
      <c r="J95" s="539"/>
      <c r="K95" s="660"/>
      <c r="L95" s="660"/>
      <c r="M95" s="539"/>
      <c r="N95" s="539"/>
      <c r="O95" s="539"/>
      <c r="P95" s="539"/>
      <c r="Q95" s="539"/>
      <c r="R95" s="539"/>
      <c r="S95" s="539"/>
      <c r="T95" s="539"/>
      <c r="U95" s="539"/>
      <c r="V95" s="661"/>
      <c r="W95" s="467"/>
      <c r="X95" s="467"/>
      <c r="Y95" s="467"/>
      <c r="Z95" s="467"/>
      <c r="AA95" s="467"/>
    </row>
    <row r="96" spans="1:27" s="40" customFormat="1" ht="32" thickBot="1">
      <c r="A96" s="537"/>
      <c r="B96" s="662" t="s">
        <v>214</v>
      </c>
      <c r="C96" s="663"/>
      <c r="D96" s="663"/>
      <c r="E96" s="663"/>
      <c r="F96" s="663"/>
      <c r="G96" s="663"/>
      <c r="H96" s="663"/>
      <c r="I96" s="663"/>
      <c r="J96" s="663"/>
      <c r="K96" s="663"/>
      <c r="L96" s="663"/>
      <c r="M96" s="663"/>
      <c r="N96" s="663"/>
      <c r="O96" s="663"/>
      <c r="P96" s="663"/>
      <c r="Q96" s="663"/>
      <c r="R96" s="663"/>
      <c r="S96" s="663"/>
      <c r="T96" s="663"/>
      <c r="U96" s="663"/>
      <c r="V96" s="664"/>
      <c r="W96" s="467"/>
      <c r="X96" s="467"/>
      <c r="Y96" s="467"/>
      <c r="Z96" s="467"/>
      <c r="AA96" s="467"/>
    </row>
    <row r="97" spans="1:27" s="40" customFormat="1" ht="27" thickBot="1">
      <c r="A97" s="537"/>
      <c r="B97" s="544"/>
      <c r="C97" s="545"/>
      <c r="D97" s="546" t="s">
        <v>215</v>
      </c>
      <c r="E97" s="546"/>
      <c r="F97" s="546"/>
      <c r="G97" s="546"/>
      <c r="H97" s="546"/>
      <c r="I97" s="546"/>
      <c r="J97" s="546"/>
      <c r="K97" s="546"/>
      <c r="L97" s="546"/>
      <c r="M97" s="547" t="s">
        <v>149</v>
      </c>
      <c r="N97" s="548"/>
      <c r="O97" s="548"/>
      <c r="P97" s="548"/>
      <c r="Q97" s="548"/>
      <c r="R97" s="548"/>
      <c r="S97" s="548"/>
      <c r="T97" s="548"/>
      <c r="U97" s="549"/>
      <c r="V97" s="665" t="s">
        <v>69</v>
      </c>
      <c r="W97" s="467"/>
      <c r="X97" s="467"/>
      <c r="Y97" s="467"/>
      <c r="Z97" s="467"/>
      <c r="AA97" s="467"/>
    </row>
    <row r="98" spans="1:27" s="40" customFormat="1" ht="26">
      <c r="A98" s="537"/>
      <c r="B98" s="666" t="s">
        <v>90</v>
      </c>
      <c r="C98" s="667"/>
      <c r="D98" s="553"/>
      <c r="E98" s="553">
        <v>30</v>
      </c>
      <c r="F98" s="553">
        <v>32</v>
      </c>
      <c r="G98" s="553">
        <v>34</v>
      </c>
      <c r="H98" s="553">
        <v>36</v>
      </c>
      <c r="I98" s="553">
        <v>38</v>
      </c>
      <c r="J98" s="553">
        <v>48</v>
      </c>
      <c r="K98" s="553"/>
      <c r="L98" s="554"/>
      <c r="M98" s="555">
        <v>28</v>
      </c>
      <c r="N98" s="553">
        <v>30</v>
      </c>
      <c r="O98" s="553">
        <v>32</v>
      </c>
      <c r="P98" s="553">
        <v>34</v>
      </c>
      <c r="Q98" s="553">
        <v>36</v>
      </c>
      <c r="R98" s="553">
        <v>38</v>
      </c>
      <c r="S98" s="553">
        <v>40</v>
      </c>
      <c r="T98" s="553">
        <v>42</v>
      </c>
      <c r="U98" s="556">
        <v>44</v>
      </c>
      <c r="V98" s="668"/>
      <c r="W98" s="467"/>
      <c r="X98" s="467"/>
      <c r="Y98" s="467"/>
      <c r="Z98" s="467"/>
      <c r="AA98" s="467"/>
    </row>
    <row r="99" spans="1:27" s="40" customFormat="1" ht="27" thickBot="1">
      <c r="A99" s="537"/>
      <c r="B99" s="669"/>
      <c r="C99" s="670"/>
      <c r="D99" s="671" t="s">
        <v>10</v>
      </c>
      <c r="E99" s="671" t="s">
        <v>53</v>
      </c>
      <c r="F99" s="671" t="s">
        <v>54</v>
      </c>
      <c r="G99" s="671" t="s">
        <v>55</v>
      </c>
      <c r="H99" s="671" t="s">
        <v>56</v>
      </c>
      <c r="I99" s="671" t="s">
        <v>15</v>
      </c>
      <c r="J99" s="671" t="s">
        <v>16</v>
      </c>
      <c r="K99" s="671" t="s">
        <v>17</v>
      </c>
      <c r="L99" s="672" t="s">
        <v>18</v>
      </c>
      <c r="M99" s="673" t="s">
        <v>10</v>
      </c>
      <c r="N99" s="595" t="s">
        <v>53</v>
      </c>
      <c r="O99" s="595" t="s">
        <v>54</v>
      </c>
      <c r="P99" s="595" t="s">
        <v>55</v>
      </c>
      <c r="Q99" s="595" t="s">
        <v>56</v>
      </c>
      <c r="R99" s="595" t="s">
        <v>15</v>
      </c>
      <c r="S99" s="595" t="s">
        <v>16</v>
      </c>
      <c r="T99" s="595" t="s">
        <v>17</v>
      </c>
      <c r="U99" s="674" t="s">
        <v>18</v>
      </c>
      <c r="V99" s="591"/>
      <c r="W99" s="467"/>
      <c r="X99" s="467"/>
      <c r="Y99" s="467"/>
      <c r="Z99" s="467"/>
      <c r="AA99" s="467"/>
    </row>
    <row r="100" spans="1:27" s="458" customFormat="1" ht="26">
      <c r="A100" s="675">
        <v>1</v>
      </c>
      <c r="B100" s="563" t="s">
        <v>216</v>
      </c>
      <c r="C100" s="601"/>
      <c r="D100" s="565">
        <f>15-1</f>
        <v>14</v>
      </c>
      <c r="E100" s="566">
        <f>25-1-1-5-2</f>
        <v>16</v>
      </c>
      <c r="F100" s="567">
        <f>40-1-1-7-2-5-1</f>
        <v>23</v>
      </c>
      <c r="G100" s="567">
        <f>40-1-1-1-3-2</f>
        <v>32</v>
      </c>
      <c r="H100" s="567">
        <f>20-1-1-1-1-3</f>
        <v>13</v>
      </c>
      <c r="I100" s="567">
        <f>23-2-1</f>
        <v>20</v>
      </c>
      <c r="J100" s="566">
        <f>18-1</f>
        <v>17</v>
      </c>
      <c r="K100" s="566">
        <f>3-1+3</f>
        <v>5</v>
      </c>
      <c r="L100" s="568">
        <f>4+3</f>
        <v>7</v>
      </c>
      <c r="M100" s="676">
        <f>7-1-1+5</f>
        <v>10</v>
      </c>
      <c r="N100" s="567">
        <f>40+8-2-1-1-1+1-3-2-2</f>
        <v>37</v>
      </c>
      <c r="O100" s="567">
        <f>54-5-2-1-3</f>
        <v>43</v>
      </c>
      <c r="P100" s="567">
        <f>64-16-2-3-6-3</f>
        <v>34</v>
      </c>
      <c r="Q100" s="574">
        <f>47-9-3-1-1-5-10-5-3-1-5-1-1-2</f>
        <v>0</v>
      </c>
      <c r="R100" s="575">
        <f>30-1-1-4-3-5-1-4-5-5</f>
        <v>1</v>
      </c>
      <c r="S100" s="567">
        <v>18</v>
      </c>
      <c r="T100" s="579">
        <f>5-1+2-2-2+3</f>
        <v>5</v>
      </c>
      <c r="U100" s="577">
        <f>5-1-1-2-1+3</f>
        <v>3</v>
      </c>
      <c r="V100" s="571">
        <f t="shared" ref="V100:V112" si="5">SUM(D100:U100)</f>
        <v>298</v>
      </c>
      <c r="W100" s="455"/>
      <c r="X100" s="455"/>
      <c r="Y100" s="455"/>
      <c r="Z100" s="455"/>
      <c r="AA100" s="455"/>
    </row>
    <row r="101" spans="1:27" s="458" customFormat="1" ht="26">
      <c r="A101" s="675">
        <v>2</v>
      </c>
      <c r="B101" s="572" t="s">
        <v>24</v>
      </c>
      <c r="C101" s="677"/>
      <c r="D101" s="565">
        <f>12-1</f>
        <v>11</v>
      </c>
      <c r="E101" s="566">
        <v>20</v>
      </c>
      <c r="F101" s="567">
        <f>39-2</f>
        <v>37</v>
      </c>
      <c r="G101" s="567">
        <f>27-1-3</f>
        <v>23</v>
      </c>
      <c r="H101" s="567">
        <f>0+15-1-4</f>
        <v>10</v>
      </c>
      <c r="I101" s="567">
        <f>0+5</f>
        <v>5</v>
      </c>
      <c r="J101" s="566">
        <v>18</v>
      </c>
      <c r="K101" s="566">
        <f>0+3</f>
        <v>3</v>
      </c>
      <c r="L101" s="568">
        <v>5</v>
      </c>
      <c r="M101" s="676">
        <f>1-1+5</f>
        <v>5</v>
      </c>
      <c r="N101" s="567">
        <f>36-3</f>
        <v>33</v>
      </c>
      <c r="O101" s="567">
        <f>36-2</f>
        <v>34</v>
      </c>
      <c r="P101" s="567">
        <f>25-1</f>
        <v>24</v>
      </c>
      <c r="Q101" s="567">
        <f>41-1</f>
        <v>40</v>
      </c>
      <c r="R101" s="567">
        <v>31</v>
      </c>
      <c r="S101" s="567">
        <v>20</v>
      </c>
      <c r="T101" s="579">
        <f>0+3</f>
        <v>3</v>
      </c>
      <c r="U101" s="570">
        <f>10-2+3</f>
        <v>11</v>
      </c>
      <c r="V101" s="571">
        <f t="shared" si="5"/>
        <v>333</v>
      </c>
      <c r="W101" s="455"/>
      <c r="X101" s="455"/>
      <c r="Y101" s="455"/>
      <c r="Z101" s="455"/>
      <c r="AA101" s="455"/>
    </row>
    <row r="102" spans="1:27" s="458" customFormat="1" ht="25.5" customHeight="1">
      <c r="A102" s="675">
        <v>3</v>
      </c>
      <c r="B102" s="572" t="s">
        <v>58</v>
      </c>
      <c r="C102" s="677"/>
      <c r="D102" s="565">
        <f>29-1-2</f>
        <v>26</v>
      </c>
      <c r="E102" s="566">
        <f>22-1-2</f>
        <v>19</v>
      </c>
      <c r="F102" s="567">
        <f>35-1-2-2</f>
        <v>30</v>
      </c>
      <c r="G102" s="567">
        <f>40-2-1-1-1-1-1</f>
        <v>33</v>
      </c>
      <c r="H102" s="567">
        <f>30-1-1-1-1</f>
        <v>26</v>
      </c>
      <c r="I102" s="567">
        <v>25</v>
      </c>
      <c r="J102" s="566">
        <v>20</v>
      </c>
      <c r="K102" s="566">
        <v>5</v>
      </c>
      <c r="L102" s="568">
        <v>5</v>
      </c>
      <c r="M102" s="569">
        <f>20-1</f>
        <v>19</v>
      </c>
      <c r="N102" s="567">
        <f>40+6-2-1-1-3</f>
        <v>39</v>
      </c>
      <c r="O102" s="567">
        <f>50-2-2</f>
        <v>46</v>
      </c>
      <c r="P102" s="567">
        <f>57-2</f>
        <v>55</v>
      </c>
      <c r="Q102" s="567">
        <f>45-1-1</f>
        <v>43</v>
      </c>
      <c r="R102" s="567">
        <v>25</v>
      </c>
      <c r="S102" s="567">
        <v>20</v>
      </c>
      <c r="T102" s="579">
        <f>2-1+3</f>
        <v>4</v>
      </c>
      <c r="U102" s="570">
        <f>10-1</f>
        <v>9</v>
      </c>
      <c r="V102" s="571">
        <f t="shared" si="5"/>
        <v>449</v>
      </c>
      <c r="W102" s="455"/>
      <c r="X102" s="455"/>
      <c r="Y102" s="455"/>
      <c r="Z102" s="455"/>
      <c r="AA102" s="455"/>
    </row>
    <row r="103" spans="1:27" s="40" customFormat="1" ht="26">
      <c r="A103" s="537">
        <v>4</v>
      </c>
      <c r="B103" s="572" t="s">
        <v>25</v>
      </c>
      <c r="C103" s="677"/>
      <c r="D103" s="565">
        <v>15</v>
      </c>
      <c r="E103" s="566">
        <v>25</v>
      </c>
      <c r="F103" s="567">
        <f>40-1</f>
        <v>39</v>
      </c>
      <c r="G103" s="567">
        <v>39</v>
      </c>
      <c r="H103" s="567">
        <f>30-1</f>
        <v>29</v>
      </c>
      <c r="I103" s="567">
        <f>25-1</f>
        <v>24</v>
      </c>
      <c r="J103" s="566">
        <v>20</v>
      </c>
      <c r="K103" s="566">
        <v>5</v>
      </c>
      <c r="L103" s="568">
        <v>5</v>
      </c>
      <c r="M103" s="569">
        <f>20+2</f>
        <v>22</v>
      </c>
      <c r="N103" s="567">
        <v>38</v>
      </c>
      <c r="O103" s="567">
        <v>70</v>
      </c>
      <c r="P103" s="567">
        <f>60+10-2-1-3</f>
        <v>64</v>
      </c>
      <c r="Q103" s="567">
        <v>19</v>
      </c>
      <c r="R103" s="567">
        <v>31</v>
      </c>
      <c r="S103" s="574">
        <f>0+1-1</f>
        <v>0</v>
      </c>
      <c r="T103" s="566">
        <f>10+1-1</f>
        <v>10</v>
      </c>
      <c r="U103" s="570">
        <f>10+1-1</f>
        <v>10</v>
      </c>
      <c r="V103" s="571">
        <f t="shared" si="5"/>
        <v>465</v>
      </c>
      <c r="W103" s="467"/>
      <c r="X103" s="467"/>
      <c r="Y103" s="467"/>
      <c r="Z103" s="467"/>
      <c r="AA103" s="467"/>
    </row>
    <row r="104" spans="1:27" s="40" customFormat="1" ht="26">
      <c r="A104" s="537">
        <v>5</v>
      </c>
      <c r="B104" s="572" t="s">
        <v>217</v>
      </c>
      <c r="C104" s="677"/>
      <c r="D104" s="565">
        <f>10-1</f>
        <v>9</v>
      </c>
      <c r="E104" s="566">
        <f>10-1</f>
        <v>9</v>
      </c>
      <c r="F104" s="567">
        <f>30-1</f>
        <v>29</v>
      </c>
      <c r="G104" s="567">
        <f>30-1</f>
        <v>29</v>
      </c>
      <c r="H104" s="567">
        <v>20</v>
      </c>
      <c r="I104" s="567">
        <f>15-1</f>
        <v>14</v>
      </c>
      <c r="J104" s="579">
        <f>0+1</f>
        <v>1</v>
      </c>
      <c r="K104" s="579">
        <f>3-1+3</f>
        <v>5</v>
      </c>
      <c r="L104" s="678">
        <f>3+3</f>
        <v>6</v>
      </c>
      <c r="M104" s="569">
        <f>15+3</f>
        <v>18</v>
      </c>
      <c r="N104" s="567">
        <f>16-1-1</f>
        <v>14</v>
      </c>
      <c r="O104" s="567">
        <f>48-3</f>
        <v>45</v>
      </c>
      <c r="P104" s="567">
        <f>50-1+5-2-2-2</f>
        <v>48</v>
      </c>
      <c r="Q104" s="567">
        <f>35-2</f>
        <v>33</v>
      </c>
      <c r="R104" s="567">
        <v>24</v>
      </c>
      <c r="S104" s="567">
        <f>15+3-2</f>
        <v>16</v>
      </c>
      <c r="T104" s="566">
        <f>5+1</f>
        <v>6</v>
      </c>
      <c r="U104" s="570">
        <f>5+1-1</f>
        <v>5</v>
      </c>
      <c r="V104" s="571">
        <f t="shared" si="5"/>
        <v>331</v>
      </c>
      <c r="W104" s="467"/>
      <c r="X104" s="467"/>
      <c r="Y104" s="467"/>
      <c r="Z104" s="467"/>
      <c r="AA104" s="467"/>
    </row>
    <row r="105" spans="1:27" s="40" customFormat="1" ht="26">
      <c r="A105" s="537">
        <v>6</v>
      </c>
      <c r="B105" s="572" t="s">
        <v>23</v>
      </c>
      <c r="C105" s="677"/>
      <c r="D105" s="565">
        <f>0+5</f>
        <v>5</v>
      </c>
      <c r="E105" s="566">
        <v>25</v>
      </c>
      <c r="F105" s="567">
        <v>38</v>
      </c>
      <c r="G105" s="567">
        <v>36</v>
      </c>
      <c r="H105" s="567">
        <v>24</v>
      </c>
      <c r="I105" s="567">
        <v>24</v>
      </c>
      <c r="J105" s="566">
        <v>20</v>
      </c>
      <c r="K105" s="579">
        <f>3+2+1</f>
        <v>6</v>
      </c>
      <c r="L105" s="678">
        <f>3-2-1+1+5</f>
        <v>6</v>
      </c>
      <c r="M105" s="569">
        <v>20</v>
      </c>
      <c r="N105" s="567">
        <v>43</v>
      </c>
      <c r="O105" s="567">
        <v>66</v>
      </c>
      <c r="P105" s="567">
        <v>69</v>
      </c>
      <c r="Q105" s="567">
        <v>44</v>
      </c>
      <c r="R105" s="567">
        <v>34</v>
      </c>
      <c r="S105" s="567">
        <v>25</v>
      </c>
      <c r="T105" s="566">
        <v>7</v>
      </c>
      <c r="U105" s="577">
        <f>1+3</f>
        <v>4</v>
      </c>
      <c r="V105" s="571">
        <f t="shared" si="5"/>
        <v>496</v>
      </c>
      <c r="W105" s="467"/>
      <c r="X105" s="467"/>
      <c r="Y105" s="467"/>
      <c r="Z105" s="467"/>
      <c r="AA105" s="467"/>
    </row>
    <row r="106" spans="1:27" s="40" customFormat="1" ht="26">
      <c r="A106" s="537">
        <v>7</v>
      </c>
      <c r="B106" s="572" t="s">
        <v>22</v>
      </c>
      <c r="C106" s="677"/>
      <c r="D106" s="565">
        <f>24-1</f>
        <v>23</v>
      </c>
      <c r="E106" s="566">
        <v>31</v>
      </c>
      <c r="F106" s="567">
        <v>34</v>
      </c>
      <c r="G106" s="567">
        <v>35</v>
      </c>
      <c r="H106" s="567">
        <f>17-1</f>
        <v>16</v>
      </c>
      <c r="I106" s="575">
        <f>0+3</f>
        <v>3</v>
      </c>
      <c r="J106" s="579">
        <f>0+3</f>
        <v>3</v>
      </c>
      <c r="K106" s="579">
        <f>5-5+2</f>
        <v>2</v>
      </c>
      <c r="L106" s="568">
        <v>5</v>
      </c>
      <c r="M106" s="569">
        <f>20-1</f>
        <v>19</v>
      </c>
      <c r="N106" s="567">
        <f>38-1</f>
        <v>37</v>
      </c>
      <c r="O106" s="567">
        <v>55</v>
      </c>
      <c r="P106" s="567">
        <v>59</v>
      </c>
      <c r="Q106" s="567">
        <f>45+5-2-45-2</f>
        <v>1</v>
      </c>
      <c r="R106" s="567">
        <v>31</v>
      </c>
      <c r="S106" s="567">
        <f>19-1</f>
        <v>18</v>
      </c>
      <c r="T106" s="566">
        <f>10+2-2</f>
        <v>10</v>
      </c>
      <c r="U106" s="570">
        <v>10</v>
      </c>
      <c r="V106" s="571">
        <f t="shared" si="5"/>
        <v>392</v>
      </c>
      <c r="W106" s="467"/>
      <c r="X106" s="467"/>
      <c r="Y106" s="467"/>
      <c r="Z106" s="467"/>
      <c r="AA106" s="467"/>
    </row>
    <row r="107" spans="1:27" s="40" customFormat="1" ht="26">
      <c r="A107" s="537">
        <v>8</v>
      </c>
      <c r="B107" s="572" t="s">
        <v>101</v>
      </c>
      <c r="C107" s="677"/>
      <c r="D107" s="565">
        <f>15-1</f>
        <v>14</v>
      </c>
      <c r="E107" s="566">
        <f>25-1-1+1-1-1</f>
        <v>22</v>
      </c>
      <c r="F107" s="567">
        <f>40-3</f>
        <v>37</v>
      </c>
      <c r="G107" s="567">
        <f>40-5</f>
        <v>35</v>
      </c>
      <c r="H107" s="567">
        <f>30-1-1</f>
        <v>28</v>
      </c>
      <c r="I107" s="567">
        <v>24</v>
      </c>
      <c r="J107" s="566">
        <v>18</v>
      </c>
      <c r="K107" s="566">
        <v>5</v>
      </c>
      <c r="L107" s="568">
        <v>5</v>
      </c>
      <c r="M107" s="569">
        <v>20</v>
      </c>
      <c r="N107" s="567">
        <f>44-2</f>
        <v>42</v>
      </c>
      <c r="O107" s="567">
        <v>55</v>
      </c>
      <c r="P107" s="567">
        <f>60+10-2-6-3-2-4</f>
        <v>53</v>
      </c>
      <c r="Q107" s="575">
        <f>1-1+5</f>
        <v>5</v>
      </c>
      <c r="R107" s="567">
        <v>32</v>
      </c>
      <c r="S107" s="567">
        <v>17</v>
      </c>
      <c r="T107" s="566">
        <f>10-1+2-2-1</f>
        <v>8</v>
      </c>
      <c r="U107" s="570">
        <f>10+2-2-1</f>
        <v>9</v>
      </c>
      <c r="V107" s="571">
        <f t="shared" si="5"/>
        <v>429</v>
      </c>
      <c r="W107" s="467"/>
      <c r="X107" s="467"/>
      <c r="Y107" s="467"/>
      <c r="Z107" s="467"/>
      <c r="AA107" s="467"/>
    </row>
    <row r="108" spans="1:27" ht="26">
      <c r="A108" s="679">
        <v>9</v>
      </c>
      <c r="B108" s="572" t="s">
        <v>26</v>
      </c>
      <c r="C108" s="677"/>
      <c r="D108" s="565">
        <v>10</v>
      </c>
      <c r="E108" s="566">
        <v>20</v>
      </c>
      <c r="F108" s="567">
        <f>30-2</f>
        <v>28</v>
      </c>
      <c r="G108" s="567">
        <f>30-1-1</f>
        <v>28</v>
      </c>
      <c r="H108" s="567">
        <f>20-1-1</f>
        <v>18</v>
      </c>
      <c r="I108" s="567">
        <f>15-1</f>
        <v>14</v>
      </c>
      <c r="J108" s="566">
        <v>10</v>
      </c>
      <c r="K108" s="566">
        <v>3</v>
      </c>
      <c r="L108" s="568">
        <v>5</v>
      </c>
      <c r="M108" s="569">
        <f>15+3</f>
        <v>18</v>
      </c>
      <c r="N108" s="567">
        <f>35+8-2-3</f>
        <v>38</v>
      </c>
      <c r="O108" s="567">
        <f>50+10-2-2-12</f>
        <v>44</v>
      </c>
      <c r="P108" s="567">
        <f>50+10-2-12-4</f>
        <v>42</v>
      </c>
      <c r="Q108" s="567">
        <f>37-1</f>
        <v>36</v>
      </c>
      <c r="R108" s="567">
        <f>25+5-2</f>
        <v>28</v>
      </c>
      <c r="S108" s="567">
        <v>15</v>
      </c>
      <c r="T108" s="566">
        <f>5+2-2</f>
        <v>5</v>
      </c>
      <c r="U108" s="577">
        <f>5-1-1+3</f>
        <v>6</v>
      </c>
      <c r="V108" s="571">
        <f t="shared" si="5"/>
        <v>368</v>
      </c>
    </row>
    <row r="109" spans="1:27" ht="26">
      <c r="A109" s="679">
        <v>10</v>
      </c>
      <c r="B109" s="572" t="s">
        <v>106</v>
      </c>
      <c r="C109" s="677"/>
      <c r="D109" s="565">
        <f>0+5</f>
        <v>5</v>
      </c>
      <c r="E109" s="566">
        <v>3</v>
      </c>
      <c r="F109" s="567">
        <f>13-8-5</f>
        <v>0</v>
      </c>
      <c r="G109" s="567">
        <f>9-1-2-1</f>
        <v>5</v>
      </c>
      <c r="H109" s="576">
        <f>5-1-2-1-1</f>
        <v>0</v>
      </c>
      <c r="I109" s="567">
        <v>5</v>
      </c>
      <c r="J109" s="579">
        <f>0+3</f>
        <v>3</v>
      </c>
      <c r="K109" s="579">
        <v>1</v>
      </c>
      <c r="L109" s="678">
        <f>0+2</f>
        <v>2</v>
      </c>
      <c r="M109" s="680">
        <v>0</v>
      </c>
      <c r="N109" s="567">
        <f>10-1</f>
        <v>9</v>
      </c>
      <c r="O109" s="567">
        <f>20-1-1-1-1-1-2</f>
        <v>13</v>
      </c>
      <c r="P109" s="567">
        <f>10-1+10-1-1+1-4-4-3</f>
        <v>7</v>
      </c>
      <c r="Q109" s="567">
        <v>0</v>
      </c>
      <c r="R109" s="567">
        <f>1-1</f>
        <v>0</v>
      </c>
      <c r="S109" s="575">
        <v>1</v>
      </c>
      <c r="T109" s="579">
        <v>1</v>
      </c>
      <c r="U109" s="570">
        <f>2-2</f>
        <v>0</v>
      </c>
      <c r="V109" s="571">
        <f t="shared" si="5"/>
        <v>55</v>
      </c>
    </row>
    <row r="110" spans="1:27" ht="26">
      <c r="A110" s="537">
        <v>11</v>
      </c>
      <c r="B110" s="681"/>
      <c r="C110" s="682" t="s">
        <v>218</v>
      </c>
      <c r="D110" s="565">
        <v>21</v>
      </c>
      <c r="E110" s="566">
        <f>30-2</f>
        <v>28</v>
      </c>
      <c r="F110" s="567">
        <f>31-1-1-1</f>
        <v>28</v>
      </c>
      <c r="G110" s="567">
        <f>30-2</f>
        <v>28</v>
      </c>
      <c r="H110" s="567">
        <v>21</v>
      </c>
      <c r="I110" s="567">
        <f>9-1</f>
        <v>8</v>
      </c>
      <c r="J110" s="566">
        <f>11-1</f>
        <v>10</v>
      </c>
      <c r="K110" s="566">
        <f>6-1</f>
        <v>5</v>
      </c>
      <c r="L110" s="568">
        <v>6</v>
      </c>
      <c r="M110" s="569">
        <f>33-1</f>
        <v>32</v>
      </c>
      <c r="N110" s="567">
        <f>15+10-2-1-2-1-1-2</f>
        <v>16</v>
      </c>
      <c r="O110" s="567">
        <f>30+10-2-1-1-1-2-3-1-1-1-3</f>
        <v>24</v>
      </c>
      <c r="P110" s="574">
        <f>0+3-3</f>
        <v>0</v>
      </c>
      <c r="Q110" s="574">
        <f>0+3-3</f>
        <v>0</v>
      </c>
      <c r="R110" s="574">
        <f>0+3-3</f>
        <v>0</v>
      </c>
      <c r="S110" s="574">
        <f>0+2-2</f>
        <v>0</v>
      </c>
      <c r="T110" s="566">
        <v>5</v>
      </c>
      <c r="U110" s="570">
        <f>5+1-1</f>
        <v>5</v>
      </c>
      <c r="V110" s="571">
        <f t="shared" si="5"/>
        <v>237</v>
      </c>
    </row>
    <row r="111" spans="1:27" ht="26">
      <c r="A111" s="679">
        <v>12</v>
      </c>
      <c r="B111" s="572" t="s">
        <v>108</v>
      </c>
      <c r="C111" s="677"/>
      <c r="D111" s="683">
        <f>3+5</f>
        <v>8</v>
      </c>
      <c r="E111" s="566">
        <v>5</v>
      </c>
      <c r="F111" s="567">
        <v>11</v>
      </c>
      <c r="G111" s="567">
        <f>10-1-1</f>
        <v>8</v>
      </c>
      <c r="H111" s="575">
        <f>5-1+3</f>
        <v>7</v>
      </c>
      <c r="I111" s="575">
        <f>0+5-2+5</f>
        <v>8</v>
      </c>
      <c r="J111" s="579">
        <f>1-1+1</f>
        <v>1</v>
      </c>
      <c r="K111" s="579">
        <v>1</v>
      </c>
      <c r="L111" s="678">
        <f>2+1</f>
        <v>3</v>
      </c>
      <c r="M111" s="676">
        <f>2</f>
        <v>2</v>
      </c>
      <c r="N111" s="567">
        <f>10-1</f>
        <v>9</v>
      </c>
      <c r="O111" s="567">
        <v>10</v>
      </c>
      <c r="P111" s="567">
        <f>20-1-1-1-3</f>
        <v>14</v>
      </c>
      <c r="Q111" s="575">
        <f>5-1+5</f>
        <v>9</v>
      </c>
      <c r="R111" s="575">
        <v>3</v>
      </c>
      <c r="S111" s="575">
        <f>0+1</f>
        <v>1</v>
      </c>
      <c r="T111" s="579">
        <f>1+3</f>
        <v>4</v>
      </c>
      <c r="U111" s="577">
        <f>0+3</f>
        <v>3</v>
      </c>
      <c r="V111" s="571">
        <f t="shared" si="5"/>
        <v>107</v>
      </c>
    </row>
    <row r="112" spans="1:27" ht="27" thickBot="1">
      <c r="A112" s="679">
        <v>13</v>
      </c>
      <c r="B112" s="572" t="s">
        <v>32</v>
      </c>
      <c r="C112" s="677"/>
      <c r="D112" s="683">
        <f>3-1</f>
        <v>2</v>
      </c>
      <c r="E112" s="566">
        <v>5</v>
      </c>
      <c r="F112" s="567">
        <f>10-4</f>
        <v>6</v>
      </c>
      <c r="G112" s="575">
        <v>4</v>
      </c>
      <c r="H112" s="575">
        <f>5-2</f>
        <v>3</v>
      </c>
      <c r="I112" s="567">
        <v>5</v>
      </c>
      <c r="J112" s="566">
        <v>5</v>
      </c>
      <c r="K112" s="579">
        <f>1+3</f>
        <v>4</v>
      </c>
      <c r="L112" s="678">
        <f>1+3</f>
        <v>4</v>
      </c>
      <c r="M112" s="684">
        <v>6</v>
      </c>
      <c r="N112" s="685">
        <f>6-1</f>
        <v>5</v>
      </c>
      <c r="O112" s="685">
        <f>10-1</f>
        <v>9</v>
      </c>
      <c r="P112" s="685">
        <v>20</v>
      </c>
      <c r="Q112" s="685">
        <v>8</v>
      </c>
      <c r="R112" s="686">
        <v>0</v>
      </c>
      <c r="S112" s="687">
        <f>1-1+3</f>
        <v>3</v>
      </c>
      <c r="T112" s="688">
        <v>3</v>
      </c>
      <c r="U112" s="689">
        <v>3</v>
      </c>
      <c r="V112" s="571">
        <f t="shared" si="5"/>
        <v>95</v>
      </c>
    </row>
    <row r="113" spans="1:27" ht="32" thickBot="1">
      <c r="A113" s="679"/>
      <c r="B113" s="679"/>
      <c r="C113" s="679"/>
      <c r="D113" s="679"/>
      <c r="E113" s="679"/>
      <c r="F113" s="679"/>
      <c r="G113" s="679"/>
      <c r="H113" s="679"/>
      <c r="I113" s="679"/>
      <c r="J113" s="679"/>
      <c r="K113" s="679"/>
      <c r="L113" s="679"/>
      <c r="M113" s="679"/>
      <c r="N113" s="679"/>
      <c r="O113" s="679"/>
      <c r="P113" s="679"/>
      <c r="Q113" s="679"/>
      <c r="R113" s="679"/>
      <c r="S113" s="679"/>
      <c r="T113" s="679"/>
      <c r="U113" s="679"/>
      <c r="V113" s="690">
        <f>SUM(V100:V112)</f>
        <v>4055</v>
      </c>
    </row>
    <row r="114" spans="1:27" ht="31">
      <c r="A114" s="679"/>
      <c r="B114" s="679"/>
      <c r="C114" s="679"/>
      <c r="D114" s="679"/>
      <c r="E114" s="679"/>
      <c r="F114" s="679"/>
      <c r="G114" s="679"/>
      <c r="H114" s="679"/>
      <c r="I114" s="679"/>
      <c r="J114" s="679"/>
      <c r="K114" s="679"/>
      <c r="L114" s="679"/>
      <c r="M114" s="679"/>
      <c r="N114" s="679"/>
      <c r="O114" s="679"/>
      <c r="P114" s="679"/>
      <c r="Q114" s="679"/>
      <c r="R114" s="679"/>
      <c r="S114" s="679"/>
      <c r="T114" s="679"/>
      <c r="U114" s="679"/>
      <c r="V114" s="581"/>
    </row>
    <row r="115" spans="1:27" ht="26">
      <c r="A115" s="679"/>
      <c r="B115" s="679"/>
      <c r="C115" s="679"/>
      <c r="D115" s="679"/>
      <c r="E115" s="679"/>
      <c r="F115" s="679"/>
      <c r="G115" s="679"/>
      <c r="H115" s="679"/>
      <c r="I115" s="679"/>
      <c r="J115" s="679"/>
      <c r="K115" s="679"/>
      <c r="L115" s="679"/>
      <c r="M115" s="679"/>
      <c r="N115" s="679"/>
      <c r="O115" s="679"/>
      <c r="P115" s="679"/>
      <c r="Q115" s="679"/>
      <c r="R115" s="679"/>
      <c r="S115" s="679"/>
      <c r="T115" s="679"/>
      <c r="U115" s="679"/>
      <c r="V115" s="679"/>
    </row>
    <row r="116" spans="1:27" ht="26">
      <c r="A116" s="679"/>
      <c r="B116" s="679"/>
      <c r="C116" s="679"/>
      <c r="D116" s="679"/>
      <c r="E116" s="679"/>
      <c r="F116" s="679"/>
      <c r="G116" s="679"/>
      <c r="H116" s="679"/>
      <c r="I116" s="679"/>
      <c r="J116" s="679"/>
      <c r="K116" s="679"/>
      <c r="L116" s="679"/>
      <c r="M116" s="679"/>
      <c r="N116" s="679"/>
      <c r="O116" s="679"/>
      <c r="P116" s="679"/>
      <c r="Q116" s="679"/>
      <c r="R116" s="679"/>
      <c r="S116" s="679"/>
      <c r="T116" s="679"/>
      <c r="U116" s="679"/>
      <c r="V116" s="679"/>
    </row>
    <row r="117" spans="1:27" ht="15" customHeight="1">
      <c r="A117" s="679"/>
      <c r="B117" s="691" t="s">
        <v>219</v>
      </c>
      <c r="C117" s="691"/>
      <c r="D117" s="691"/>
      <c r="E117" s="691"/>
      <c r="F117" s="691"/>
      <c r="G117" s="691"/>
      <c r="H117" s="691"/>
      <c r="I117" s="691"/>
      <c r="J117" s="691"/>
      <c r="K117" s="691"/>
      <c r="L117" s="691"/>
      <c r="M117" s="691"/>
      <c r="N117" s="679"/>
      <c r="O117" s="679"/>
      <c r="P117" s="679"/>
      <c r="Q117" s="679"/>
      <c r="R117" s="679"/>
      <c r="S117" s="679"/>
      <c r="T117" s="679"/>
      <c r="U117" s="679"/>
      <c r="V117" s="679"/>
    </row>
    <row r="118" spans="1:27" ht="15" customHeight="1">
      <c r="A118" s="679"/>
      <c r="B118" s="691"/>
      <c r="C118" s="691"/>
      <c r="D118" s="691"/>
      <c r="E118" s="691"/>
      <c r="F118" s="691"/>
      <c r="G118" s="691"/>
      <c r="H118" s="691"/>
      <c r="I118" s="691"/>
      <c r="J118" s="691"/>
      <c r="K118" s="691"/>
      <c r="L118" s="691"/>
      <c r="M118" s="691"/>
      <c r="N118" s="679"/>
      <c r="O118" s="679"/>
      <c r="P118" s="679"/>
      <c r="Q118" s="679"/>
      <c r="R118" s="679"/>
      <c r="S118" s="679"/>
      <c r="T118" s="679"/>
      <c r="U118" s="679"/>
      <c r="V118" s="679"/>
    </row>
    <row r="119" spans="1:27" ht="15" customHeight="1">
      <c r="A119" s="679"/>
      <c r="B119" s="691"/>
      <c r="C119" s="691"/>
      <c r="D119" s="691"/>
      <c r="E119" s="691"/>
      <c r="F119" s="691"/>
      <c r="G119" s="691"/>
      <c r="H119" s="691"/>
      <c r="I119" s="691"/>
      <c r="J119" s="691"/>
      <c r="K119" s="691"/>
      <c r="L119" s="691"/>
      <c r="M119" s="691"/>
      <c r="N119" s="679"/>
      <c r="O119" s="679"/>
      <c r="P119" s="679"/>
      <c r="Q119" s="679"/>
      <c r="R119" s="679"/>
      <c r="S119" s="679"/>
      <c r="T119" s="679"/>
      <c r="U119" s="679"/>
      <c r="V119" s="679"/>
    </row>
    <row r="120" spans="1:27" ht="15" customHeight="1">
      <c r="A120" s="679"/>
      <c r="B120" s="691"/>
      <c r="C120" s="691"/>
      <c r="D120" s="691"/>
      <c r="E120" s="691"/>
      <c r="F120" s="691"/>
      <c r="G120" s="691"/>
      <c r="H120" s="691"/>
      <c r="I120" s="691"/>
      <c r="J120" s="691"/>
      <c r="K120" s="691"/>
      <c r="L120" s="691"/>
      <c r="M120" s="691"/>
      <c r="N120" s="679"/>
      <c r="O120" s="679"/>
      <c r="P120" s="679"/>
      <c r="Q120" s="679"/>
      <c r="R120" s="679"/>
      <c r="S120" s="679"/>
      <c r="T120" s="679"/>
      <c r="U120" s="679"/>
      <c r="V120" s="679"/>
    </row>
    <row r="121" spans="1:27" ht="26">
      <c r="A121" s="679"/>
      <c r="B121" s="679"/>
      <c r="C121" s="679"/>
      <c r="D121" s="679"/>
      <c r="E121" s="679"/>
      <c r="F121" s="679"/>
      <c r="G121" s="679"/>
      <c r="H121" s="679"/>
      <c r="I121" s="679"/>
      <c r="J121" s="679"/>
      <c r="K121" s="679"/>
      <c r="L121" s="679"/>
      <c r="M121" s="679"/>
      <c r="N121" s="679"/>
      <c r="O121" s="679"/>
      <c r="P121" s="679"/>
      <c r="Q121" s="679"/>
      <c r="R121" s="679"/>
      <c r="S121" s="679"/>
      <c r="T121" s="679"/>
      <c r="U121" s="679"/>
      <c r="V121" s="679"/>
    </row>
    <row r="122" spans="1:27" ht="30">
      <c r="A122" s="679"/>
      <c r="B122" s="692" t="s">
        <v>220</v>
      </c>
      <c r="C122" s="692"/>
      <c r="D122" s="692"/>
      <c r="E122" s="692"/>
      <c r="F122" s="692"/>
      <c r="G122" s="692"/>
      <c r="H122" s="692"/>
      <c r="I122" s="692"/>
      <c r="J122" s="692"/>
      <c r="K122" s="692"/>
      <c r="L122" s="692"/>
      <c r="M122" s="692"/>
      <c r="N122" s="679"/>
      <c r="O122" s="679"/>
      <c r="P122" s="679"/>
      <c r="Q122" s="679"/>
      <c r="R122" s="679"/>
      <c r="S122" s="679"/>
      <c r="T122" s="679"/>
      <c r="U122" s="679"/>
      <c r="V122" s="679"/>
    </row>
    <row r="123" spans="1:27" s="696" customFormat="1" ht="16.5" customHeight="1">
      <c r="A123" s="693"/>
      <c r="B123" s="694" t="s">
        <v>48</v>
      </c>
      <c r="C123" s="694"/>
      <c r="D123" s="694"/>
      <c r="E123" s="694"/>
      <c r="F123" s="694"/>
      <c r="G123" s="694"/>
      <c r="H123" s="694"/>
      <c r="I123" s="694"/>
      <c r="J123" s="694"/>
      <c r="K123" s="694"/>
      <c r="L123" s="694"/>
      <c r="M123" s="694"/>
      <c r="N123" s="693"/>
      <c r="O123" s="693"/>
      <c r="P123" s="693"/>
      <c r="Q123" s="693"/>
      <c r="R123" s="693"/>
      <c r="S123" s="693"/>
      <c r="T123" s="693"/>
      <c r="U123" s="693"/>
      <c r="V123" s="693"/>
      <c r="W123" s="695"/>
      <c r="X123" s="695"/>
      <c r="Y123" s="695"/>
      <c r="Z123" s="695"/>
      <c r="AA123" s="695"/>
    </row>
    <row r="124" spans="1:27" ht="27" thickBot="1">
      <c r="A124" s="679"/>
      <c r="B124" s="697" t="s">
        <v>90</v>
      </c>
      <c r="C124" s="698"/>
      <c r="D124" s="699" t="s">
        <v>10</v>
      </c>
      <c r="E124" s="699" t="s">
        <v>53</v>
      </c>
      <c r="F124" s="699" t="s">
        <v>54</v>
      </c>
      <c r="G124" s="699" t="s">
        <v>55</v>
      </c>
      <c r="H124" s="699" t="s">
        <v>56</v>
      </c>
      <c r="I124" s="699" t="s">
        <v>15</v>
      </c>
      <c r="J124" s="699" t="s">
        <v>16</v>
      </c>
      <c r="K124" s="699" t="s">
        <v>17</v>
      </c>
      <c r="L124" s="699" t="s">
        <v>18</v>
      </c>
      <c r="M124" s="699" t="s">
        <v>57</v>
      </c>
      <c r="N124" s="679"/>
      <c r="O124" s="679"/>
      <c r="P124" s="679"/>
      <c r="Q124" s="679"/>
      <c r="R124" s="679"/>
      <c r="S124" s="679"/>
      <c r="T124" s="679"/>
      <c r="U124" s="679"/>
      <c r="V124" s="679"/>
    </row>
    <row r="125" spans="1:27" ht="27" thickBot="1">
      <c r="A125" s="679"/>
      <c r="B125" s="700" t="s">
        <v>221</v>
      </c>
      <c r="C125" s="701"/>
      <c r="D125" s="567">
        <v>0</v>
      </c>
      <c r="E125" s="567">
        <f>7-2-2-3+18-1-1-1-1-2-2-1-1-8</f>
        <v>0</v>
      </c>
      <c r="F125" s="567">
        <f>0+1</f>
        <v>1</v>
      </c>
      <c r="G125" s="567">
        <v>0</v>
      </c>
      <c r="H125" s="567">
        <v>0</v>
      </c>
      <c r="I125" s="567">
        <f>2+5</f>
        <v>7</v>
      </c>
      <c r="J125" s="567"/>
      <c r="K125" s="566">
        <v>1</v>
      </c>
      <c r="L125" s="568">
        <v>10</v>
      </c>
      <c r="M125" s="702">
        <f t="shared" ref="M125:M132" si="6">SUM(D125:L125)</f>
        <v>19</v>
      </c>
      <c r="N125" s="679"/>
      <c r="O125" s="679"/>
      <c r="P125" s="679"/>
      <c r="Q125" s="679"/>
      <c r="R125" s="679"/>
      <c r="S125" s="679"/>
      <c r="T125" s="679"/>
      <c r="U125" s="679"/>
      <c r="V125" s="679"/>
    </row>
    <row r="126" spans="1:27" ht="27" thickBot="1">
      <c r="A126" s="679"/>
      <c r="B126" s="703" t="s">
        <v>222</v>
      </c>
      <c r="C126" s="704"/>
      <c r="D126" s="567">
        <f>0+7-1-2-1-1-2</f>
        <v>0</v>
      </c>
      <c r="E126" s="567">
        <v>0</v>
      </c>
      <c r="F126" s="567">
        <f>8+30-1-1-1-15-2-1-1-5-1-1-1-1-2-1+8</f>
        <v>12</v>
      </c>
      <c r="G126" s="567">
        <f>9+45-1-7-1-1-1-1-1</f>
        <v>41</v>
      </c>
      <c r="H126" s="567">
        <f>3+1-4+5-1-1</f>
        <v>3</v>
      </c>
      <c r="I126" s="567">
        <v>3</v>
      </c>
      <c r="J126" s="567">
        <f>3-1-1</f>
        <v>1</v>
      </c>
      <c r="K126" s="566">
        <v>10</v>
      </c>
      <c r="L126" s="568">
        <v>10</v>
      </c>
      <c r="M126" s="702">
        <f>SUM(D126:L126)</f>
        <v>80</v>
      </c>
      <c r="N126" s="679"/>
      <c r="O126" s="679"/>
      <c r="P126" s="679"/>
      <c r="Q126" s="679"/>
      <c r="R126" s="679"/>
      <c r="S126" s="679"/>
      <c r="T126" s="679"/>
      <c r="U126" s="679"/>
      <c r="V126" s="679"/>
    </row>
    <row r="127" spans="1:27" ht="27" thickBot="1">
      <c r="A127" s="679"/>
      <c r="B127" s="700" t="s">
        <v>223</v>
      </c>
      <c r="C127" s="701"/>
      <c r="D127" s="567">
        <f>5-2-3</f>
        <v>0</v>
      </c>
      <c r="E127" s="567">
        <f>10-3-1+3-7+11</f>
        <v>13</v>
      </c>
      <c r="F127" s="567">
        <f>8-4-1-1-1-1</f>
        <v>0</v>
      </c>
      <c r="G127" s="567">
        <f>18-3-1</f>
        <v>14</v>
      </c>
      <c r="H127" s="567">
        <f>6-3-1</f>
        <v>2</v>
      </c>
      <c r="I127" s="567">
        <v>6</v>
      </c>
      <c r="J127" s="567">
        <f>1+5-2</f>
        <v>4</v>
      </c>
      <c r="K127" s="566">
        <v>20</v>
      </c>
      <c r="L127" s="568">
        <v>4</v>
      </c>
      <c r="M127" s="702">
        <f t="shared" si="6"/>
        <v>63</v>
      </c>
      <c r="N127" s="679"/>
      <c r="O127" s="679"/>
      <c r="P127" s="679"/>
      <c r="Q127" s="679"/>
      <c r="R127" s="679"/>
      <c r="S127" s="679"/>
      <c r="T127" s="679"/>
      <c r="U127" s="679"/>
      <c r="V127" s="679"/>
    </row>
    <row r="128" spans="1:27" ht="27" thickBot="1">
      <c r="A128" s="679"/>
      <c r="B128" s="700" t="s">
        <v>224</v>
      </c>
      <c r="C128" s="701"/>
      <c r="D128" s="567">
        <f>6-1-1-1-1</f>
        <v>2</v>
      </c>
      <c r="E128" s="567">
        <f>7-1</f>
        <v>6</v>
      </c>
      <c r="F128" s="567">
        <f>6-1</f>
        <v>5</v>
      </c>
      <c r="G128" s="567">
        <f>13-1-1</f>
        <v>11</v>
      </c>
      <c r="H128" s="567">
        <v>12</v>
      </c>
      <c r="I128" s="567">
        <f>3-1-1</f>
        <v>1</v>
      </c>
      <c r="J128" s="567">
        <v>2</v>
      </c>
      <c r="K128" s="566">
        <v>0</v>
      </c>
      <c r="L128" s="568">
        <v>0</v>
      </c>
      <c r="M128" s="702">
        <f t="shared" si="6"/>
        <v>39</v>
      </c>
      <c r="N128" s="679"/>
      <c r="O128" s="679"/>
      <c r="P128" s="679"/>
      <c r="Q128" s="679"/>
      <c r="R128" s="679"/>
      <c r="S128" s="679"/>
      <c r="T128" s="679"/>
      <c r="U128" s="679"/>
      <c r="V128" s="679"/>
    </row>
    <row r="129" spans="1:22" ht="27" thickBot="1">
      <c r="A129" s="679"/>
      <c r="B129" s="700" t="s">
        <v>188</v>
      </c>
      <c r="C129" s="701"/>
      <c r="D129" s="567">
        <f>10-1</f>
        <v>9</v>
      </c>
      <c r="E129" s="567">
        <f>11+5-2-1-1-1</f>
        <v>11</v>
      </c>
      <c r="F129" s="567">
        <f>7+10-4-1-1-1</f>
        <v>10</v>
      </c>
      <c r="G129" s="567">
        <f>13-4-1</f>
        <v>8</v>
      </c>
      <c r="H129" s="567">
        <f>14-3-1-1-1+1</f>
        <v>9</v>
      </c>
      <c r="I129" s="567">
        <f>0+5-1-1</f>
        <v>3</v>
      </c>
      <c r="J129" s="567">
        <f>0+6-1</f>
        <v>5</v>
      </c>
      <c r="K129" s="566">
        <v>5</v>
      </c>
      <c r="L129" s="568">
        <v>5</v>
      </c>
      <c r="M129" s="702">
        <f t="shared" si="6"/>
        <v>65</v>
      </c>
      <c r="N129" s="679"/>
      <c r="O129" s="679"/>
      <c r="P129" s="679"/>
      <c r="Q129" s="679"/>
      <c r="R129" s="679"/>
      <c r="S129" s="679"/>
      <c r="T129" s="679"/>
      <c r="U129" s="679"/>
      <c r="V129" s="679"/>
    </row>
    <row r="130" spans="1:22" s="459" customFormat="1" ht="27" thickBot="1">
      <c r="A130" s="679"/>
      <c r="B130" s="705" t="s">
        <v>225</v>
      </c>
      <c r="C130" s="706"/>
      <c r="D130" s="622">
        <v>0</v>
      </c>
      <c r="E130" s="622">
        <v>0</v>
      </c>
      <c r="F130" s="622">
        <f>11-1-1-1-3-1</f>
        <v>4</v>
      </c>
      <c r="G130" s="622">
        <v>0</v>
      </c>
      <c r="H130" s="622">
        <v>0</v>
      </c>
      <c r="I130" s="622">
        <f>8-1</f>
        <v>7</v>
      </c>
      <c r="J130" s="622">
        <v>0</v>
      </c>
      <c r="K130" s="621">
        <v>0</v>
      </c>
      <c r="L130" s="707">
        <v>0</v>
      </c>
      <c r="M130" s="702">
        <f t="shared" si="6"/>
        <v>11</v>
      </c>
      <c r="N130" s="679"/>
      <c r="O130" s="679"/>
      <c r="P130" s="679"/>
      <c r="Q130" s="679"/>
      <c r="R130" s="679"/>
      <c r="S130" s="679"/>
      <c r="T130" s="679"/>
      <c r="U130" s="679"/>
      <c r="V130" s="679"/>
    </row>
    <row r="131" spans="1:22" s="459" customFormat="1" ht="27" thickBot="1">
      <c r="A131" s="679"/>
      <c r="B131" s="708" t="s">
        <v>226</v>
      </c>
      <c r="C131" s="709"/>
      <c r="D131" s="710">
        <v>0</v>
      </c>
      <c r="E131" s="567">
        <f>5-1-1-1-2</f>
        <v>0</v>
      </c>
      <c r="F131" s="567">
        <f>6-1-1-1-1-2</f>
        <v>0</v>
      </c>
      <c r="G131" s="567">
        <f>7+5-6-2-1-1-1</f>
        <v>1</v>
      </c>
      <c r="H131" s="567">
        <f>20-1</f>
        <v>19</v>
      </c>
      <c r="I131" s="567">
        <v>0</v>
      </c>
      <c r="J131" s="567">
        <v>0</v>
      </c>
      <c r="K131" s="566">
        <v>2</v>
      </c>
      <c r="L131" s="568">
        <v>0</v>
      </c>
      <c r="M131" s="702">
        <f t="shared" si="6"/>
        <v>22</v>
      </c>
      <c r="N131" s="679"/>
      <c r="O131" s="679"/>
      <c r="P131" s="679"/>
      <c r="Q131" s="679"/>
      <c r="R131" s="679"/>
      <c r="S131" s="679"/>
      <c r="T131" s="679"/>
      <c r="U131" s="679"/>
      <c r="V131" s="679"/>
    </row>
    <row r="132" spans="1:22" s="459" customFormat="1" ht="26">
      <c r="A132" s="679"/>
      <c r="B132" s="700" t="s">
        <v>104</v>
      </c>
      <c r="C132" s="701"/>
      <c r="D132" s="567">
        <v>8</v>
      </c>
      <c r="E132" s="567">
        <f>2+16-10-1-1</f>
        <v>6</v>
      </c>
      <c r="F132" s="567">
        <f>15-1-1</f>
        <v>13</v>
      </c>
      <c r="G132" s="567">
        <f>13-1</f>
        <v>12</v>
      </c>
      <c r="H132" s="567">
        <f>12-2</f>
        <v>10</v>
      </c>
      <c r="I132" s="567">
        <v>4</v>
      </c>
      <c r="J132" s="567">
        <v>0</v>
      </c>
      <c r="K132" s="566">
        <v>0</v>
      </c>
      <c r="L132" s="568">
        <v>0</v>
      </c>
      <c r="M132" s="702">
        <f t="shared" si="6"/>
        <v>53</v>
      </c>
      <c r="N132" s="679"/>
      <c r="O132" s="679"/>
      <c r="P132" s="679"/>
      <c r="Q132" s="679"/>
      <c r="R132" s="679"/>
      <c r="S132" s="679"/>
      <c r="T132" s="679"/>
      <c r="U132" s="679"/>
      <c r="V132" s="679"/>
    </row>
    <row r="133" spans="1:22" s="459" customFormat="1" ht="32" thickBot="1">
      <c r="A133" s="679"/>
      <c r="B133" s="679"/>
      <c r="C133" s="679"/>
      <c r="D133" s="679"/>
      <c r="E133" s="679"/>
      <c r="F133" s="679"/>
      <c r="G133" s="679"/>
      <c r="H133" s="679"/>
      <c r="I133" s="679"/>
      <c r="J133" s="679"/>
      <c r="K133" s="679"/>
      <c r="L133" s="679"/>
      <c r="M133" s="711">
        <f>SUM(M125:M132)</f>
        <v>352</v>
      </c>
      <c r="N133" s="679"/>
      <c r="O133" s="679"/>
      <c r="P133" s="679"/>
      <c r="Q133" s="679"/>
      <c r="R133" s="679"/>
      <c r="S133" s="679"/>
      <c r="T133" s="679"/>
      <c r="U133" s="679"/>
      <c r="V133" s="679"/>
    </row>
    <row r="134" spans="1:22" s="459" customFormat="1" ht="26">
      <c r="A134" s="679"/>
      <c r="B134" s="679"/>
      <c r="C134" s="679"/>
      <c r="D134" s="679"/>
      <c r="E134" s="679"/>
      <c r="F134" s="679"/>
      <c r="G134" s="679"/>
      <c r="H134" s="679"/>
      <c r="I134" s="679"/>
      <c r="J134" s="679"/>
      <c r="K134" s="679"/>
      <c r="L134" s="679"/>
      <c r="M134" s="679"/>
      <c r="N134" s="679"/>
      <c r="O134" s="679"/>
      <c r="P134" s="679"/>
      <c r="Q134" s="679"/>
      <c r="R134" s="679"/>
      <c r="S134" s="679"/>
      <c r="T134" s="679"/>
      <c r="U134" s="679"/>
      <c r="V134" s="679"/>
    </row>
    <row r="135" spans="1:22" s="459" customFormat="1" ht="26">
      <c r="A135" s="679"/>
      <c r="B135" s="679"/>
      <c r="C135" s="679"/>
      <c r="D135" s="679"/>
      <c r="E135" s="679"/>
      <c r="F135" s="679"/>
      <c r="G135" s="679"/>
      <c r="H135" s="679"/>
      <c r="I135" s="679"/>
      <c r="J135" s="679"/>
      <c r="K135" s="679"/>
      <c r="L135" s="679"/>
      <c r="M135" s="679"/>
      <c r="N135" s="679"/>
      <c r="O135" s="679"/>
      <c r="P135" s="679"/>
      <c r="Q135" s="679"/>
      <c r="R135" s="679"/>
      <c r="S135" s="679"/>
      <c r="T135" s="679"/>
      <c r="U135" s="679"/>
      <c r="V135" s="679"/>
    </row>
    <row r="136" spans="1:22" s="459" customFormat="1" ht="30">
      <c r="A136" s="679"/>
      <c r="B136" s="692" t="s">
        <v>227</v>
      </c>
      <c r="C136" s="692"/>
      <c r="D136" s="692"/>
      <c r="E136" s="692"/>
      <c r="F136" s="692"/>
      <c r="G136" s="692"/>
      <c r="H136" s="692"/>
      <c r="I136" s="692"/>
      <c r="J136" s="692"/>
      <c r="K136" s="692"/>
      <c r="L136" s="692"/>
      <c r="M136" s="692"/>
      <c r="N136" s="679"/>
      <c r="O136" s="679"/>
      <c r="P136" s="679"/>
      <c r="Q136" s="679"/>
      <c r="R136" s="679"/>
      <c r="S136" s="679"/>
      <c r="T136" s="679"/>
      <c r="U136" s="679"/>
      <c r="V136" s="679"/>
    </row>
    <row r="137" spans="1:22" s="459" customFormat="1" ht="26">
      <c r="A137" s="679"/>
      <c r="B137" s="694" t="s">
        <v>48</v>
      </c>
      <c r="C137" s="694"/>
      <c r="D137" s="694"/>
      <c r="E137" s="694"/>
      <c r="F137" s="694"/>
      <c r="G137" s="694"/>
      <c r="H137" s="694"/>
      <c r="I137" s="694"/>
      <c r="J137" s="694"/>
      <c r="K137" s="694"/>
      <c r="L137" s="694"/>
      <c r="M137" s="694"/>
      <c r="N137" s="679"/>
      <c r="O137" s="679"/>
      <c r="P137" s="679"/>
      <c r="Q137" s="679"/>
      <c r="R137" s="679"/>
      <c r="S137" s="679"/>
      <c r="T137" s="679"/>
      <c r="U137" s="679"/>
      <c r="V137" s="679"/>
    </row>
    <row r="138" spans="1:22" s="459" customFormat="1" ht="27" thickBot="1">
      <c r="A138" s="679"/>
      <c r="B138" s="697" t="s">
        <v>90</v>
      </c>
      <c r="C138" s="698"/>
      <c r="D138" s="553" t="s">
        <v>10</v>
      </c>
      <c r="E138" s="553" t="s">
        <v>53</v>
      </c>
      <c r="F138" s="553" t="s">
        <v>54</v>
      </c>
      <c r="G138" s="553" t="s">
        <v>55</v>
      </c>
      <c r="H138" s="553" t="s">
        <v>56</v>
      </c>
      <c r="I138" s="553" t="s">
        <v>15</v>
      </c>
      <c r="J138" s="553" t="s">
        <v>16</v>
      </c>
      <c r="K138" s="553" t="s">
        <v>17</v>
      </c>
      <c r="L138" s="553" t="s">
        <v>18</v>
      </c>
      <c r="M138" s="699" t="s">
        <v>57</v>
      </c>
      <c r="N138" s="679"/>
      <c r="O138" s="679"/>
      <c r="P138" s="679"/>
      <c r="Q138" s="679"/>
      <c r="R138" s="679"/>
      <c r="S138" s="679"/>
      <c r="T138" s="679"/>
      <c r="U138" s="679"/>
      <c r="V138" s="679"/>
    </row>
    <row r="139" spans="1:22" s="459" customFormat="1" ht="27" thickBot="1">
      <c r="A139" s="679"/>
      <c r="B139" s="700" t="s">
        <v>19</v>
      </c>
      <c r="C139" s="701"/>
      <c r="D139" s="567">
        <f>9-1-2-4</f>
        <v>2</v>
      </c>
      <c r="E139" s="567">
        <f>3-1+5-3+10-1-1-2-1-1-1-1-2-1-1+9-4-1-4-1-1</f>
        <v>0</v>
      </c>
      <c r="F139" s="567">
        <f>9-8-1</f>
        <v>0</v>
      </c>
      <c r="G139" s="567">
        <f>4-4+13-11-1-1</f>
        <v>0</v>
      </c>
      <c r="H139" s="567">
        <f>5-1-1-2-1+6-5</f>
        <v>1</v>
      </c>
      <c r="I139" s="567">
        <f>4-1+1-2-1-1</f>
        <v>0</v>
      </c>
      <c r="J139" s="567">
        <v>0</v>
      </c>
      <c r="K139" s="566">
        <f>1-1</f>
        <v>0</v>
      </c>
      <c r="L139" s="568">
        <v>2</v>
      </c>
      <c r="M139" s="702">
        <f t="shared" ref="M139:M144" si="7">SUM(D139:L139)</f>
        <v>5</v>
      </c>
      <c r="N139" s="679"/>
      <c r="O139" s="679"/>
      <c r="P139" s="679"/>
      <c r="Q139" s="679"/>
      <c r="R139" s="679"/>
      <c r="S139" s="679"/>
      <c r="T139" s="679"/>
      <c r="U139" s="679"/>
      <c r="V139" s="679"/>
    </row>
    <row r="140" spans="1:22" s="459" customFormat="1" ht="27" thickBot="1">
      <c r="A140" s="679"/>
      <c r="B140" s="700" t="s">
        <v>20</v>
      </c>
      <c r="C140" s="701"/>
      <c r="D140" s="567">
        <v>8</v>
      </c>
      <c r="E140" s="567">
        <f>0+10</f>
        <v>10</v>
      </c>
      <c r="F140" s="567">
        <f>8-1-4-1</f>
        <v>2</v>
      </c>
      <c r="G140" s="567">
        <f>6-2-1-1</f>
        <v>2</v>
      </c>
      <c r="H140" s="567">
        <f>1-1</f>
        <v>0</v>
      </c>
      <c r="I140" s="567">
        <v>6</v>
      </c>
      <c r="J140" s="567">
        <f>5-1</f>
        <v>4</v>
      </c>
      <c r="K140" s="566">
        <v>3</v>
      </c>
      <c r="L140" s="568">
        <v>10</v>
      </c>
      <c r="M140" s="702">
        <f t="shared" si="7"/>
        <v>45</v>
      </c>
      <c r="N140" s="679"/>
      <c r="O140" s="679"/>
      <c r="P140" s="679"/>
      <c r="Q140" s="679"/>
      <c r="R140" s="679"/>
      <c r="S140" s="679"/>
      <c r="T140" s="679"/>
      <c r="U140" s="679"/>
      <c r="V140" s="679"/>
    </row>
    <row r="141" spans="1:22" s="459" customFormat="1" ht="27" thickBot="1">
      <c r="A141" s="679"/>
      <c r="B141" s="700" t="s">
        <v>224</v>
      </c>
      <c r="C141" s="701"/>
      <c r="D141" s="567">
        <v>6</v>
      </c>
      <c r="E141" s="567">
        <f>5-1</f>
        <v>4</v>
      </c>
      <c r="F141" s="567">
        <f>16-1-1-1</f>
        <v>13</v>
      </c>
      <c r="G141" s="567">
        <f>17+5-1-1-1-1</f>
        <v>18</v>
      </c>
      <c r="H141" s="567">
        <v>9</v>
      </c>
      <c r="I141" s="567">
        <f>9-1</f>
        <v>8</v>
      </c>
      <c r="J141" s="567">
        <f>6-1-2</f>
        <v>3</v>
      </c>
      <c r="K141" s="566">
        <f>2-1</f>
        <v>1</v>
      </c>
      <c r="L141" s="568">
        <f>2-1</f>
        <v>1</v>
      </c>
      <c r="M141" s="702">
        <f t="shared" si="7"/>
        <v>63</v>
      </c>
      <c r="N141" s="679"/>
      <c r="O141" s="679"/>
      <c r="P141" s="679"/>
      <c r="Q141" s="679"/>
      <c r="R141" s="679"/>
      <c r="S141" s="679"/>
      <c r="T141" s="679"/>
      <c r="U141" s="679"/>
      <c r="V141" s="679"/>
    </row>
    <row r="142" spans="1:22" s="459" customFormat="1" ht="27" thickBot="1">
      <c r="A142" s="679"/>
      <c r="B142" s="700" t="s">
        <v>188</v>
      </c>
      <c r="C142" s="701"/>
      <c r="D142" s="567">
        <f>2-2+5-1-1</f>
        <v>3</v>
      </c>
      <c r="E142" s="567">
        <v>11</v>
      </c>
      <c r="F142" s="567">
        <v>1</v>
      </c>
      <c r="G142" s="567">
        <v>0</v>
      </c>
      <c r="H142" s="567">
        <v>0</v>
      </c>
      <c r="I142" s="567">
        <v>3</v>
      </c>
      <c r="J142" s="567">
        <v>3</v>
      </c>
      <c r="K142" s="566">
        <v>0</v>
      </c>
      <c r="L142" s="568">
        <v>1</v>
      </c>
      <c r="M142" s="702">
        <f t="shared" si="7"/>
        <v>22</v>
      </c>
      <c r="N142" s="679"/>
      <c r="O142" s="679"/>
      <c r="P142" s="679"/>
      <c r="Q142" s="679"/>
      <c r="R142" s="679"/>
      <c r="S142" s="679"/>
      <c r="T142" s="679"/>
      <c r="U142" s="679"/>
      <c r="V142" s="679"/>
    </row>
    <row r="143" spans="1:22" s="459" customFormat="1" ht="27" thickBot="1">
      <c r="A143" s="679"/>
      <c r="B143" s="700" t="s">
        <v>94</v>
      </c>
      <c r="C143" s="701"/>
      <c r="D143" s="567">
        <v>0</v>
      </c>
      <c r="E143" s="567">
        <f>4-1</f>
        <v>3</v>
      </c>
      <c r="F143" s="567">
        <f>10-1-1-1+11-11-1-1-2-1</f>
        <v>2</v>
      </c>
      <c r="G143" s="567">
        <v>0</v>
      </c>
      <c r="H143" s="567">
        <f>9+3-3</f>
        <v>9</v>
      </c>
      <c r="I143" s="567">
        <v>1</v>
      </c>
      <c r="J143" s="567">
        <v>2</v>
      </c>
      <c r="K143" s="566">
        <v>0</v>
      </c>
      <c r="L143" s="568">
        <v>0</v>
      </c>
      <c r="M143" s="702">
        <f t="shared" si="7"/>
        <v>17</v>
      </c>
      <c r="N143" s="679"/>
      <c r="O143" s="679"/>
      <c r="P143" s="679"/>
      <c r="Q143" s="679"/>
      <c r="R143" s="679"/>
      <c r="S143" s="679"/>
      <c r="T143" s="679"/>
      <c r="U143" s="679"/>
      <c r="V143" s="679"/>
    </row>
    <row r="144" spans="1:22" s="459" customFormat="1" ht="26">
      <c r="A144" s="679"/>
      <c r="B144" s="700" t="s">
        <v>104</v>
      </c>
      <c r="C144" s="701"/>
      <c r="D144" s="567">
        <v>4</v>
      </c>
      <c r="E144" s="567">
        <v>6</v>
      </c>
      <c r="F144" s="567">
        <f>6-1</f>
        <v>5</v>
      </c>
      <c r="G144" s="567">
        <f>16-1</f>
        <v>15</v>
      </c>
      <c r="H144" s="567">
        <v>6</v>
      </c>
      <c r="I144" s="567">
        <f>2-1</f>
        <v>1</v>
      </c>
      <c r="J144" s="567">
        <v>1</v>
      </c>
      <c r="K144" s="566">
        <v>3</v>
      </c>
      <c r="L144" s="568">
        <v>4</v>
      </c>
      <c r="M144" s="702">
        <f t="shared" si="7"/>
        <v>45</v>
      </c>
      <c r="N144" s="679"/>
      <c r="O144" s="679"/>
      <c r="P144" s="679"/>
      <c r="Q144" s="679"/>
      <c r="R144" s="679"/>
      <c r="S144" s="679"/>
      <c r="T144" s="679"/>
      <c r="U144" s="679"/>
      <c r="V144" s="679"/>
    </row>
    <row r="145" spans="1:22" s="459" customFormat="1" ht="32" thickBot="1">
      <c r="A145" s="679"/>
      <c r="B145" s="679"/>
      <c r="C145" s="679"/>
      <c r="D145" s="679"/>
      <c r="E145" s="679"/>
      <c r="F145" s="679"/>
      <c r="G145" s="679"/>
      <c r="H145" s="679"/>
      <c r="I145" s="679"/>
      <c r="J145" s="679"/>
      <c r="K145" s="679"/>
      <c r="L145" s="679"/>
      <c r="M145" s="711">
        <f>SUM(M139:M144)</f>
        <v>197</v>
      </c>
      <c r="N145" s="679"/>
      <c r="O145" s="679"/>
      <c r="P145" s="679"/>
      <c r="Q145" s="679"/>
      <c r="R145" s="679"/>
      <c r="S145" s="679"/>
      <c r="T145" s="679"/>
      <c r="U145" s="679"/>
      <c r="V145" s="679"/>
    </row>
    <row r="146" spans="1:22" ht="26">
      <c r="A146" s="679"/>
      <c r="B146" s="679"/>
      <c r="C146" s="679"/>
      <c r="D146" s="679"/>
      <c r="E146" s="679"/>
      <c r="F146" s="679"/>
      <c r="G146" s="679"/>
      <c r="H146" s="679"/>
      <c r="I146" s="679"/>
      <c r="J146" s="679"/>
      <c r="K146" s="679"/>
      <c r="L146" s="679"/>
      <c r="M146" s="679"/>
      <c r="N146" s="679"/>
      <c r="O146" s="679"/>
      <c r="P146" s="679"/>
      <c r="Q146" s="679"/>
      <c r="R146" s="679"/>
      <c r="S146" s="679"/>
      <c r="T146" s="679"/>
      <c r="U146" s="679"/>
      <c r="V146" s="679"/>
    </row>
    <row r="147" spans="1:22" ht="26">
      <c r="A147" s="679"/>
      <c r="B147" s="679"/>
      <c r="C147" s="679"/>
      <c r="D147" s="679"/>
      <c r="E147" s="679"/>
      <c r="F147" s="679"/>
      <c r="G147" s="679"/>
      <c r="H147" s="679"/>
      <c r="I147" s="679"/>
      <c r="J147" s="679"/>
      <c r="K147" s="679"/>
      <c r="L147" s="679"/>
      <c r="M147" s="679"/>
      <c r="N147" s="679"/>
      <c r="O147" s="679"/>
      <c r="P147" s="679"/>
      <c r="Q147" s="679"/>
      <c r="R147" s="679"/>
      <c r="S147" s="679"/>
      <c r="T147" s="679"/>
      <c r="U147" s="679"/>
      <c r="V147" s="679"/>
    </row>
    <row r="148" spans="1:22" ht="30">
      <c r="A148" s="679"/>
      <c r="B148" s="692" t="s">
        <v>228</v>
      </c>
      <c r="C148" s="692"/>
      <c r="D148" s="692"/>
      <c r="E148" s="692"/>
      <c r="F148" s="692"/>
      <c r="G148" s="692"/>
      <c r="H148" s="692"/>
      <c r="I148" s="692"/>
      <c r="J148" s="692"/>
      <c r="K148" s="692"/>
      <c r="L148" s="692"/>
      <c r="M148" s="692"/>
      <c r="N148" s="679"/>
      <c r="O148" s="679"/>
      <c r="P148" s="679"/>
      <c r="Q148" s="679"/>
      <c r="R148" s="679"/>
      <c r="S148" s="679"/>
      <c r="T148" s="679"/>
      <c r="U148" s="679"/>
      <c r="V148" s="679"/>
    </row>
    <row r="149" spans="1:22" ht="26">
      <c r="A149" s="679"/>
      <c r="B149" s="694" t="s">
        <v>48</v>
      </c>
      <c r="C149" s="694"/>
      <c r="D149" s="694"/>
      <c r="E149" s="694"/>
      <c r="F149" s="694"/>
      <c r="G149" s="694"/>
      <c r="H149" s="694"/>
      <c r="I149" s="694"/>
      <c r="J149" s="694"/>
      <c r="K149" s="694"/>
      <c r="L149" s="694"/>
      <c r="M149" s="694"/>
      <c r="N149" s="679"/>
      <c r="O149" s="679"/>
      <c r="P149" s="679"/>
      <c r="Q149" s="679"/>
      <c r="R149" s="679"/>
      <c r="S149" s="679"/>
      <c r="T149" s="679"/>
      <c r="U149" s="679"/>
      <c r="V149" s="679"/>
    </row>
    <row r="150" spans="1:22" ht="27" thickBot="1">
      <c r="A150" s="679"/>
      <c r="B150" s="697" t="s">
        <v>90</v>
      </c>
      <c r="C150" s="698"/>
      <c r="D150" s="553" t="s">
        <v>10</v>
      </c>
      <c r="E150" s="553" t="s">
        <v>53</v>
      </c>
      <c r="F150" s="553" t="s">
        <v>54</v>
      </c>
      <c r="G150" s="553" t="s">
        <v>55</v>
      </c>
      <c r="H150" s="553" t="s">
        <v>56</v>
      </c>
      <c r="I150" s="553" t="s">
        <v>15</v>
      </c>
      <c r="J150" s="553" t="s">
        <v>16</v>
      </c>
      <c r="K150" s="553" t="s">
        <v>17</v>
      </c>
      <c r="L150" s="553" t="s">
        <v>18</v>
      </c>
      <c r="M150" s="699" t="s">
        <v>57</v>
      </c>
      <c r="N150" s="679"/>
      <c r="O150" s="679"/>
      <c r="P150" s="679"/>
      <c r="Q150" s="679"/>
      <c r="R150" s="679"/>
      <c r="S150" s="679"/>
      <c r="T150" s="679"/>
      <c r="U150" s="679"/>
      <c r="V150" s="679"/>
    </row>
    <row r="151" spans="1:22" ht="27" thickBot="1">
      <c r="A151" s="679"/>
      <c r="B151" s="712" t="s">
        <v>19</v>
      </c>
      <c r="C151" s="713"/>
      <c r="D151" s="622">
        <f>4-1-1-1-1+2-2</f>
        <v>0</v>
      </c>
      <c r="E151" s="622">
        <f>3-1-2+7-1-1-1-1-1-1-1+4-1</f>
        <v>3</v>
      </c>
      <c r="F151" s="622">
        <f>5-1-1-1-2</f>
        <v>0</v>
      </c>
      <c r="G151" s="622">
        <f>0+5-1-1</f>
        <v>3</v>
      </c>
      <c r="H151" s="622">
        <f>0+6-1-1-1-1-1-1+2-2+1-1</f>
        <v>0</v>
      </c>
      <c r="I151" s="622">
        <f>11-1</f>
        <v>10</v>
      </c>
      <c r="J151" s="622">
        <v>11</v>
      </c>
      <c r="K151" s="621">
        <f>11-1</f>
        <v>10</v>
      </c>
      <c r="L151" s="707">
        <f>11-1</f>
        <v>10</v>
      </c>
      <c r="M151" s="702">
        <f t="shared" ref="M151:M156" si="8">SUM(D151:L151)</f>
        <v>47</v>
      </c>
      <c r="N151" s="679"/>
      <c r="O151" s="679"/>
      <c r="P151" s="679"/>
      <c r="Q151" s="679"/>
      <c r="R151" s="679"/>
      <c r="S151" s="679"/>
      <c r="T151" s="679"/>
      <c r="U151" s="679"/>
      <c r="V151" s="679"/>
    </row>
    <row r="152" spans="1:22" ht="27" thickBot="1">
      <c r="A152" s="679"/>
      <c r="B152" s="712" t="s">
        <v>20</v>
      </c>
      <c r="C152" s="713"/>
      <c r="D152" s="622">
        <v>4</v>
      </c>
      <c r="E152" s="622">
        <v>0</v>
      </c>
      <c r="F152" s="622">
        <v>0</v>
      </c>
      <c r="G152" s="622">
        <v>21</v>
      </c>
      <c r="H152" s="622">
        <f>1-1</f>
        <v>0</v>
      </c>
      <c r="I152" s="622">
        <v>10</v>
      </c>
      <c r="J152" s="622">
        <v>0</v>
      </c>
      <c r="K152" s="621">
        <v>11</v>
      </c>
      <c r="L152" s="707">
        <v>5</v>
      </c>
      <c r="M152" s="702">
        <f t="shared" si="8"/>
        <v>51</v>
      </c>
      <c r="N152" s="679"/>
      <c r="O152" s="679"/>
      <c r="P152" s="679"/>
      <c r="Q152" s="679"/>
      <c r="R152" s="679"/>
      <c r="S152" s="679"/>
      <c r="T152" s="679"/>
      <c r="U152" s="679"/>
      <c r="V152" s="679"/>
    </row>
    <row r="153" spans="1:22" ht="27" thickBot="1">
      <c r="A153" s="679"/>
      <c r="B153" s="712" t="s">
        <v>224</v>
      </c>
      <c r="C153" s="713"/>
      <c r="D153" s="622">
        <f>1-1</f>
        <v>0</v>
      </c>
      <c r="E153" s="622">
        <f>2-1-1</f>
        <v>0</v>
      </c>
      <c r="F153" s="622">
        <v>0</v>
      </c>
      <c r="G153" s="622">
        <f>2-1+2-1-1-1</f>
        <v>0</v>
      </c>
      <c r="H153" s="622">
        <v>0</v>
      </c>
      <c r="I153" s="622">
        <v>0</v>
      </c>
      <c r="J153" s="622">
        <v>5</v>
      </c>
      <c r="K153" s="621">
        <v>7</v>
      </c>
      <c r="L153" s="707">
        <v>4</v>
      </c>
      <c r="M153" s="702">
        <f t="shared" si="8"/>
        <v>16</v>
      </c>
      <c r="N153" s="679"/>
      <c r="O153" s="679"/>
      <c r="P153" s="679"/>
      <c r="Q153" s="679"/>
      <c r="R153" s="679"/>
      <c r="S153" s="679"/>
      <c r="T153" s="679"/>
      <c r="U153" s="679"/>
      <c r="V153" s="679"/>
    </row>
    <row r="154" spans="1:22" ht="27" thickBot="1">
      <c r="A154" s="679"/>
      <c r="B154" s="712" t="s">
        <v>188</v>
      </c>
      <c r="C154" s="713"/>
      <c r="D154" s="622">
        <v>4</v>
      </c>
      <c r="E154" s="622">
        <f>8-1</f>
        <v>7</v>
      </c>
      <c r="F154" s="622">
        <v>0</v>
      </c>
      <c r="G154" s="622">
        <v>0</v>
      </c>
      <c r="H154" s="622">
        <f>11-1</f>
        <v>10</v>
      </c>
      <c r="I154" s="622">
        <v>0</v>
      </c>
      <c r="J154" s="622">
        <v>12</v>
      </c>
      <c r="K154" s="621">
        <v>4</v>
      </c>
      <c r="L154" s="707">
        <v>4</v>
      </c>
      <c r="M154" s="702">
        <f t="shared" si="8"/>
        <v>41</v>
      </c>
      <c r="N154" s="679"/>
      <c r="O154" s="679"/>
      <c r="P154" s="679"/>
      <c r="Q154" s="679"/>
      <c r="R154" s="679"/>
      <c r="S154" s="679"/>
      <c r="T154" s="679"/>
      <c r="U154" s="679"/>
      <c r="V154" s="679"/>
    </row>
    <row r="155" spans="1:22" ht="27" thickBot="1">
      <c r="A155" s="679"/>
      <c r="B155" s="712" t="s">
        <v>94</v>
      </c>
      <c r="C155" s="713"/>
      <c r="D155" s="622">
        <v>0</v>
      </c>
      <c r="E155" s="622">
        <f>0+3-2-1</f>
        <v>0</v>
      </c>
      <c r="F155" s="622">
        <f>1-1</f>
        <v>0</v>
      </c>
      <c r="G155" s="622">
        <v>0</v>
      </c>
      <c r="H155" s="622">
        <v>0</v>
      </c>
      <c r="I155" s="622">
        <v>2</v>
      </c>
      <c r="J155" s="622">
        <v>0</v>
      </c>
      <c r="K155" s="621">
        <v>0</v>
      </c>
      <c r="L155" s="707">
        <v>0</v>
      </c>
      <c r="M155" s="702">
        <f t="shared" si="8"/>
        <v>2</v>
      </c>
      <c r="N155" s="679"/>
      <c r="O155" s="679"/>
      <c r="P155" s="679"/>
      <c r="Q155" s="679"/>
      <c r="R155" s="679"/>
      <c r="S155" s="679"/>
      <c r="T155" s="679"/>
      <c r="U155" s="679"/>
      <c r="V155" s="679"/>
    </row>
    <row r="156" spans="1:22" ht="26">
      <c r="A156" s="679"/>
      <c r="B156" s="712" t="s">
        <v>104</v>
      </c>
      <c r="C156" s="713"/>
      <c r="D156" s="622">
        <v>23</v>
      </c>
      <c r="E156" s="622">
        <f>17-1-1</f>
        <v>15</v>
      </c>
      <c r="F156" s="622">
        <f>6-1</f>
        <v>5</v>
      </c>
      <c r="G156" s="622">
        <f>11-1-1</f>
        <v>9</v>
      </c>
      <c r="H156" s="622">
        <v>6</v>
      </c>
      <c r="I156" s="622">
        <v>0</v>
      </c>
      <c r="J156" s="622">
        <f>5-1</f>
        <v>4</v>
      </c>
      <c r="K156" s="621">
        <v>10</v>
      </c>
      <c r="L156" s="707">
        <v>5</v>
      </c>
      <c r="M156" s="702">
        <f t="shared" si="8"/>
        <v>77</v>
      </c>
      <c r="N156" s="679"/>
      <c r="O156" s="679"/>
      <c r="P156" s="679"/>
      <c r="Q156" s="679"/>
      <c r="R156" s="679"/>
      <c r="S156" s="679"/>
      <c r="T156" s="679"/>
      <c r="U156" s="679"/>
      <c r="V156" s="679"/>
    </row>
    <row r="157" spans="1:22" ht="32" thickBot="1">
      <c r="A157" s="679"/>
      <c r="B157" s="679"/>
      <c r="C157" s="679"/>
      <c r="D157" s="679"/>
      <c r="E157" s="679"/>
      <c r="F157" s="679"/>
      <c r="G157" s="679"/>
      <c r="H157" s="679"/>
      <c r="I157" s="679"/>
      <c r="J157" s="679"/>
      <c r="K157" s="679"/>
      <c r="L157" s="679"/>
      <c r="M157" s="714">
        <f>SUM(M151:M156)</f>
        <v>234</v>
      </c>
      <c r="N157" s="679"/>
      <c r="O157" s="679"/>
      <c r="P157" s="679"/>
      <c r="Q157" s="679"/>
      <c r="R157" s="679"/>
      <c r="S157" s="679"/>
      <c r="T157" s="679"/>
      <c r="U157" s="679"/>
      <c r="V157" s="679"/>
    </row>
    <row r="158" spans="1:22" ht="26">
      <c r="A158" s="679"/>
      <c r="B158" s="679"/>
      <c r="C158" s="679"/>
      <c r="D158" s="679"/>
      <c r="E158" s="679"/>
      <c r="F158" s="679"/>
      <c r="G158" s="679"/>
      <c r="H158" s="679"/>
      <c r="I158" s="679"/>
      <c r="J158" s="679"/>
      <c r="K158" s="679"/>
      <c r="L158" s="679"/>
      <c r="M158" s="679"/>
      <c r="N158" s="679"/>
      <c r="O158" s="679"/>
      <c r="P158" s="679"/>
      <c r="Q158" s="679"/>
      <c r="R158" s="679"/>
      <c r="S158" s="679"/>
      <c r="T158" s="679"/>
      <c r="U158" s="679"/>
      <c r="V158" s="679"/>
    </row>
    <row r="159" spans="1:22" ht="26">
      <c r="A159" s="679"/>
      <c r="B159" s="679"/>
      <c r="C159" s="679"/>
      <c r="D159" s="679"/>
      <c r="E159" s="679"/>
      <c r="F159" s="679"/>
      <c r="G159" s="679"/>
      <c r="H159" s="679"/>
      <c r="I159" s="679"/>
      <c r="J159" s="679"/>
      <c r="K159" s="679"/>
      <c r="L159" s="679"/>
      <c r="M159" s="679"/>
      <c r="N159" s="679"/>
      <c r="O159" s="679"/>
      <c r="P159" s="679"/>
      <c r="Q159" s="679"/>
      <c r="R159" s="679"/>
      <c r="S159" s="679"/>
      <c r="T159" s="679"/>
      <c r="U159" s="679"/>
      <c r="V159" s="679"/>
    </row>
    <row r="160" spans="1:22" ht="30">
      <c r="A160" s="679"/>
      <c r="B160" s="692" t="s">
        <v>229</v>
      </c>
      <c r="C160" s="692"/>
      <c r="D160" s="692"/>
      <c r="E160" s="692"/>
      <c r="F160" s="692"/>
      <c r="G160" s="692"/>
      <c r="H160" s="692"/>
      <c r="I160" s="692"/>
      <c r="J160" s="692"/>
      <c r="K160" s="692"/>
      <c r="L160" s="692"/>
      <c r="M160" s="692"/>
      <c r="N160" s="679"/>
      <c r="O160" s="679"/>
      <c r="P160" s="679"/>
      <c r="Q160" s="679"/>
      <c r="R160" s="679"/>
      <c r="S160" s="679"/>
      <c r="T160" s="679"/>
      <c r="U160" s="679"/>
      <c r="V160" s="679"/>
    </row>
    <row r="161" spans="1:27" s="696" customFormat="1" ht="26">
      <c r="A161" s="693"/>
      <c r="B161" s="694" t="s">
        <v>48</v>
      </c>
      <c r="C161" s="694"/>
      <c r="D161" s="694"/>
      <c r="E161" s="694"/>
      <c r="F161" s="694"/>
      <c r="G161" s="694"/>
      <c r="H161" s="694"/>
      <c r="I161" s="694"/>
      <c r="J161" s="694"/>
      <c r="K161" s="694"/>
      <c r="L161" s="694"/>
      <c r="M161" s="694"/>
      <c r="N161" s="693"/>
      <c r="O161" s="693"/>
      <c r="P161" s="693"/>
      <c r="Q161" s="693"/>
      <c r="R161" s="693"/>
      <c r="S161" s="693"/>
      <c r="T161" s="693"/>
      <c r="U161" s="693"/>
      <c r="V161" s="693"/>
      <c r="W161" s="695"/>
      <c r="X161" s="695"/>
      <c r="Y161" s="695"/>
      <c r="Z161" s="695"/>
      <c r="AA161" s="695"/>
    </row>
    <row r="162" spans="1:27" ht="27" thickBot="1">
      <c r="A162" s="679"/>
      <c r="B162" s="697" t="s">
        <v>90</v>
      </c>
      <c r="C162" s="698"/>
      <c r="D162" s="553" t="s">
        <v>10</v>
      </c>
      <c r="E162" s="553" t="s">
        <v>53</v>
      </c>
      <c r="F162" s="553" t="s">
        <v>54</v>
      </c>
      <c r="G162" s="553" t="s">
        <v>55</v>
      </c>
      <c r="H162" s="553" t="s">
        <v>56</v>
      </c>
      <c r="I162" s="553" t="s">
        <v>15</v>
      </c>
      <c r="J162" s="553" t="s">
        <v>16</v>
      </c>
      <c r="K162" s="553" t="s">
        <v>17</v>
      </c>
      <c r="L162" s="553" t="s">
        <v>18</v>
      </c>
      <c r="M162" s="699" t="s">
        <v>57</v>
      </c>
      <c r="N162" s="679"/>
      <c r="O162" s="679"/>
      <c r="P162" s="679"/>
      <c r="Q162" s="679"/>
      <c r="R162" s="679"/>
      <c r="S162" s="679"/>
      <c r="T162" s="679"/>
      <c r="U162" s="679"/>
      <c r="V162" s="679"/>
    </row>
    <row r="163" spans="1:27" ht="27" thickBot="1">
      <c r="A163" s="679"/>
      <c r="B163" s="712" t="s">
        <v>19</v>
      </c>
      <c r="C163" s="713"/>
      <c r="D163" s="622">
        <f>9-2+5-12+6-2-1</f>
        <v>3</v>
      </c>
      <c r="E163" s="622">
        <f>19-2-2-2+5-12-1+4+11</f>
        <v>20</v>
      </c>
      <c r="F163" s="622">
        <f>1-1+10</f>
        <v>10</v>
      </c>
      <c r="G163" s="622">
        <f>9-1-1-4-1-1-1+5-1-1-1-1-1+12-12+5-1-1-1+8</f>
        <v>10</v>
      </c>
      <c r="H163" s="622">
        <f>14+5-1-1-2-1-1-1-2</f>
        <v>10</v>
      </c>
      <c r="I163" s="622">
        <f>2-2</f>
        <v>0</v>
      </c>
      <c r="J163" s="622">
        <f>4-1</f>
        <v>3</v>
      </c>
      <c r="K163" s="621">
        <v>0</v>
      </c>
      <c r="L163" s="707">
        <v>0</v>
      </c>
      <c r="M163" s="702">
        <f t="shared" ref="M163:M168" si="9">SUM(D163:L163)</f>
        <v>56</v>
      </c>
      <c r="N163" s="679"/>
      <c r="O163" s="679"/>
      <c r="P163" s="679"/>
      <c r="Q163" s="679"/>
      <c r="R163" s="679"/>
      <c r="S163" s="679"/>
      <c r="T163" s="679"/>
      <c r="U163" s="679"/>
      <c r="V163" s="679"/>
    </row>
    <row r="164" spans="1:27" ht="27" thickBot="1">
      <c r="A164" s="679"/>
      <c r="B164" s="712" t="s">
        <v>20</v>
      </c>
      <c r="C164" s="713"/>
      <c r="D164" s="622">
        <f>8+6-3-1-1-1</f>
        <v>8</v>
      </c>
      <c r="E164" s="622">
        <f>2-1-1</f>
        <v>0</v>
      </c>
      <c r="F164" s="622">
        <f>2-2+5</f>
        <v>5</v>
      </c>
      <c r="G164" s="622">
        <f>0+5-1-1+10-5-1-1+5-1-5-5+4</f>
        <v>4</v>
      </c>
      <c r="H164" s="622">
        <f>13+5-4-12-2</f>
        <v>0</v>
      </c>
      <c r="I164" s="622">
        <f>1+5-2-3</f>
        <v>1</v>
      </c>
      <c r="J164" s="622">
        <f>1-1</f>
        <v>0</v>
      </c>
      <c r="K164" s="621">
        <v>0</v>
      </c>
      <c r="L164" s="707">
        <v>0</v>
      </c>
      <c r="M164" s="702">
        <f t="shared" si="9"/>
        <v>18</v>
      </c>
      <c r="N164" s="679"/>
      <c r="O164" s="679"/>
      <c r="P164" s="679"/>
      <c r="Q164" s="679"/>
      <c r="R164" s="679"/>
      <c r="S164" s="679"/>
      <c r="T164" s="679"/>
      <c r="U164" s="679"/>
      <c r="V164" s="679"/>
    </row>
    <row r="165" spans="1:27" ht="27" thickBot="1">
      <c r="A165" s="679"/>
      <c r="B165" s="712" t="s">
        <v>224</v>
      </c>
      <c r="C165" s="713"/>
      <c r="D165" s="622">
        <f>4-1-1</f>
        <v>2</v>
      </c>
      <c r="E165" s="622">
        <f>9-1-1-1-2-1-1-1-1</f>
        <v>0</v>
      </c>
      <c r="F165" s="622">
        <f>9-1+1-1-2-1-1</f>
        <v>4</v>
      </c>
      <c r="G165" s="622">
        <f>11-1-1-1-1-1-1-1</f>
        <v>4</v>
      </c>
      <c r="H165" s="622">
        <f>13-1</f>
        <v>12</v>
      </c>
      <c r="I165" s="622">
        <f>1-1+4-1</f>
        <v>3</v>
      </c>
      <c r="J165" s="622">
        <v>0</v>
      </c>
      <c r="K165" s="621">
        <v>2</v>
      </c>
      <c r="L165" s="707">
        <v>1</v>
      </c>
      <c r="M165" s="702">
        <f t="shared" si="9"/>
        <v>28</v>
      </c>
      <c r="N165" s="679"/>
      <c r="O165" s="679"/>
      <c r="P165" s="679"/>
      <c r="Q165" s="679"/>
      <c r="R165" s="679"/>
      <c r="S165" s="679"/>
      <c r="T165" s="679"/>
      <c r="U165" s="679"/>
      <c r="V165" s="679"/>
    </row>
    <row r="166" spans="1:27" ht="27" thickBot="1">
      <c r="A166" s="679"/>
      <c r="B166" s="712" t="s">
        <v>188</v>
      </c>
      <c r="C166" s="713"/>
      <c r="D166" s="622">
        <f>11-9</f>
        <v>2</v>
      </c>
      <c r="E166" s="622">
        <f>8+10-4</f>
        <v>14</v>
      </c>
      <c r="F166" s="622">
        <f>9+39-7-1-1-1</f>
        <v>38</v>
      </c>
      <c r="G166" s="622">
        <f>9-1+1-4</f>
        <v>5</v>
      </c>
      <c r="H166" s="622">
        <f>13-3</f>
        <v>10</v>
      </c>
      <c r="I166" s="622">
        <f>3+20</f>
        <v>23</v>
      </c>
      <c r="J166" s="622">
        <f>4+20</f>
        <v>24</v>
      </c>
      <c r="K166" s="621">
        <v>3</v>
      </c>
      <c r="L166" s="707">
        <v>4</v>
      </c>
      <c r="M166" s="702">
        <f t="shared" si="9"/>
        <v>123</v>
      </c>
      <c r="N166" s="679"/>
      <c r="O166" s="679"/>
      <c r="P166" s="679"/>
      <c r="Q166" s="679"/>
      <c r="R166" s="679"/>
      <c r="S166" s="679"/>
      <c r="T166" s="679"/>
      <c r="U166" s="679"/>
      <c r="V166" s="679"/>
    </row>
    <row r="167" spans="1:27" ht="27" thickBot="1">
      <c r="A167" s="679"/>
      <c r="B167" s="715" t="s">
        <v>22</v>
      </c>
      <c r="C167" s="716"/>
      <c r="D167" s="622">
        <f>2-1</f>
        <v>1</v>
      </c>
      <c r="E167" s="622">
        <f>3-1-1-1</f>
        <v>0</v>
      </c>
      <c r="F167" s="622">
        <f>4+1-1+5-2-2</f>
        <v>5</v>
      </c>
      <c r="G167" s="622">
        <f>15-1-1-4-2</f>
        <v>7</v>
      </c>
      <c r="H167" s="622">
        <f>5+7-1-1-1+1</f>
        <v>10</v>
      </c>
      <c r="I167" s="622">
        <f>0+2</f>
        <v>2</v>
      </c>
      <c r="J167" s="622">
        <f>2+1</f>
        <v>3</v>
      </c>
      <c r="K167" s="621">
        <v>3</v>
      </c>
      <c r="L167" s="707">
        <f>3-1</f>
        <v>2</v>
      </c>
      <c r="M167" s="702">
        <f t="shared" si="9"/>
        <v>33</v>
      </c>
      <c r="N167" s="679"/>
      <c r="O167" s="679"/>
      <c r="P167" s="679"/>
      <c r="Q167" s="679"/>
      <c r="R167" s="679"/>
      <c r="S167" s="679"/>
      <c r="T167" s="679"/>
      <c r="U167" s="679"/>
      <c r="V167" s="679"/>
    </row>
    <row r="168" spans="1:27" ht="26">
      <c r="A168" s="679"/>
      <c r="B168" s="712" t="s">
        <v>104</v>
      </c>
      <c r="C168" s="713"/>
      <c r="D168" s="622">
        <f>4-1</f>
        <v>3</v>
      </c>
      <c r="E168" s="622">
        <f>1+1+5-3-1</f>
        <v>3</v>
      </c>
      <c r="F168" s="622">
        <f>3-1</f>
        <v>2</v>
      </c>
      <c r="G168" s="622">
        <f>0+10-1</f>
        <v>9</v>
      </c>
      <c r="H168" s="622">
        <v>2</v>
      </c>
      <c r="I168" s="622">
        <v>4</v>
      </c>
      <c r="J168" s="622">
        <v>0</v>
      </c>
      <c r="K168" s="621">
        <v>9</v>
      </c>
      <c r="L168" s="707">
        <v>4</v>
      </c>
      <c r="M168" s="702">
        <f t="shared" si="9"/>
        <v>36</v>
      </c>
      <c r="N168" s="679"/>
      <c r="O168" s="679"/>
      <c r="P168" s="679"/>
      <c r="Q168" s="679"/>
      <c r="R168" s="679"/>
      <c r="S168" s="679"/>
      <c r="T168" s="679"/>
      <c r="U168" s="679"/>
      <c r="V168" s="679"/>
    </row>
    <row r="169" spans="1:27" ht="32" thickBot="1">
      <c r="A169" s="679"/>
      <c r="B169" s="679"/>
      <c r="C169" s="679"/>
      <c r="D169" s="679"/>
      <c r="E169" s="679"/>
      <c r="F169" s="679"/>
      <c r="G169" s="679"/>
      <c r="H169" s="679"/>
      <c r="I169" s="679"/>
      <c r="J169" s="679"/>
      <c r="K169" s="679"/>
      <c r="L169" s="679"/>
      <c r="M169" s="711">
        <f>SUM(M163:M168)</f>
        <v>294</v>
      </c>
      <c r="N169" s="679"/>
      <c r="O169" s="679"/>
      <c r="P169" s="679"/>
      <c r="Q169" s="679"/>
      <c r="R169" s="679"/>
      <c r="S169" s="679"/>
      <c r="T169" s="679"/>
      <c r="U169" s="679"/>
      <c r="V169" s="679"/>
    </row>
    <row r="170" spans="1:27" ht="26">
      <c r="A170" s="679"/>
      <c r="B170" s="679"/>
      <c r="C170" s="679"/>
      <c r="D170" s="679"/>
      <c r="E170" s="679"/>
      <c r="F170" s="679"/>
      <c r="G170" s="679"/>
      <c r="H170" s="679"/>
      <c r="I170" s="679"/>
      <c r="J170" s="679"/>
      <c r="K170" s="679"/>
      <c r="L170" s="679"/>
      <c r="M170" s="679"/>
      <c r="N170" s="679"/>
      <c r="O170" s="679"/>
      <c r="P170" s="679"/>
      <c r="Q170" s="679"/>
      <c r="R170" s="679"/>
      <c r="S170" s="679"/>
      <c r="T170" s="679"/>
      <c r="U170" s="679"/>
      <c r="V170" s="679"/>
    </row>
    <row r="171" spans="1:27" ht="26">
      <c r="A171" s="679"/>
      <c r="B171" s="679"/>
      <c r="C171" s="679"/>
      <c r="D171" s="679"/>
      <c r="E171" s="679"/>
      <c r="F171" s="679"/>
      <c r="G171" s="679"/>
      <c r="H171" s="679"/>
      <c r="I171" s="679"/>
      <c r="J171" s="679"/>
      <c r="K171" s="679"/>
      <c r="L171" s="679"/>
      <c r="M171" s="679"/>
      <c r="N171" s="679"/>
      <c r="O171" s="679"/>
      <c r="P171" s="679"/>
      <c r="Q171" s="679"/>
      <c r="R171" s="679"/>
      <c r="S171" s="679"/>
      <c r="T171" s="679"/>
      <c r="U171" s="679"/>
      <c r="V171" s="679"/>
    </row>
    <row r="172" spans="1:27" ht="30">
      <c r="A172" s="679"/>
      <c r="B172" s="692" t="s">
        <v>230</v>
      </c>
      <c r="C172" s="692"/>
      <c r="D172" s="692"/>
      <c r="E172" s="692"/>
      <c r="F172" s="692"/>
      <c r="G172" s="692"/>
      <c r="H172" s="692"/>
      <c r="I172" s="692"/>
      <c r="J172" s="692"/>
      <c r="K172" s="692"/>
      <c r="L172" s="692"/>
      <c r="M172" s="692"/>
      <c r="N172" s="679"/>
      <c r="O172" s="679"/>
      <c r="P172" s="679"/>
      <c r="Q172" s="679"/>
      <c r="R172" s="679"/>
      <c r="S172" s="679"/>
      <c r="T172" s="679"/>
      <c r="U172" s="679"/>
      <c r="V172" s="679"/>
    </row>
    <row r="173" spans="1:27" s="696" customFormat="1" ht="26">
      <c r="A173" s="693"/>
      <c r="B173" s="694" t="s">
        <v>48</v>
      </c>
      <c r="C173" s="694"/>
      <c r="D173" s="694"/>
      <c r="E173" s="694"/>
      <c r="F173" s="694"/>
      <c r="G173" s="694"/>
      <c r="H173" s="694"/>
      <c r="I173" s="694"/>
      <c r="J173" s="694"/>
      <c r="K173" s="694"/>
      <c r="L173" s="694"/>
      <c r="M173" s="694"/>
      <c r="N173" s="693"/>
      <c r="O173" s="693"/>
      <c r="P173" s="693"/>
      <c r="Q173" s="693"/>
      <c r="R173" s="693"/>
      <c r="S173" s="693"/>
      <c r="T173" s="693"/>
      <c r="U173" s="693"/>
      <c r="V173" s="693"/>
      <c r="W173" s="695"/>
      <c r="X173" s="695"/>
      <c r="Y173" s="695"/>
      <c r="Z173" s="695"/>
      <c r="AA173" s="695"/>
    </row>
    <row r="174" spans="1:27" ht="27" thickBot="1">
      <c r="A174" s="679"/>
      <c r="B174" s="697" t="s">
        <v>90</v>
      </c>
      <c r="C174" s="698"/>
      <c r="D174" s="553" t="s">
        <v>10</v>
      </c>
      <c r="E174" s="553" t="s">
        <v>53</v>
      </c>
      <c r="F174" s="553" t="s">
        <v>54</v>
      </c>
      <c r="G174" s="553" t="s">
        <v>55</v>
      </c>
      <c r="H174" s="553" t="s">
        <v>56</v>
      </c>
      <c r="I174" s="553" t="s">
        <v>15</v>
      </c>
      <c r="J174" s="553" t="s">
        <v>16</v>
      </c>
      <c r="K174" s="553" t="s">
        <v>17</v>
      </c>
      <c r="L174" s="553" t="s">
        <v>18</v>
      </c>
      <c r="M174" s="699" t="s">
        <v>57</v>
      </c>
      <c r="N174" s="679"/>
      <c r="O174" s="679"/>
      <c r="P174" s="679"/>
      <c r="Q174" s="679"/>
      <c r="R174" s="679"/>
      <c r="S174" s="679"/>
      <c r="T174" s="679"/>
      <c r="U174" s="679"/>
      <c r="V174" s="679"/>
    </row>
    <row r="175" spans="1:27" ht="27" thickBot="1">
      <c r="A175" s="679"/>
      <c r="B175" s="712" t="s">
        <v>19</v>
      </c>
      <c r="C175" s="713"/>
      <c r="D175" s="622">
        <f>14-1-1-2+2+1-1-3-1-1</f>
        <v>7</v>
      </c>
      <c r="E175" s="622">
        <f>9-1-1-4+10-8-1+8-8-2+5-2-3-2</f>
        <v>0</v>
      </c>
      <c r="F175" s="622">
        <f>3-3+15-1-8+10-9-1+5-10+8-4-1+1+12-12-3+10-4-3-1-1-1-1-1</f>
        <v>0</v>
      </c>
      <c r="G175" s="622">
        <f>2-2+25-1-1-1-10-1-2-3+10-10+2-2-1-4-1+10-1-2-1-1-1</f>
        <v>4</v>
      </c>
      <c r="H175" s="622">
        <f>15+10-1-1+7-7-2-1-1-1</f>
        <v>18</v>
      </c>
      <c r="I175" s="622">
        <f>0+10-1+1-1-1-1-1</f>
        <v>6</v>
      </c>
      <c r="J175" s="622">
        <v>0</v>
      </c>
      <c r="K175" s="621">
        <f>0+3-1+1-1</f>
        <v>2</v>
      </c>
      <c r="L175" s="707">
        <v>2</v>
      </c>
      <c r="M175" s="702">
        <f>SUM(D175:L175)</f>
        <v>39</v>
      </c>
      <c r="N175" s="679"/>
      <c r="O175" s="679"/>
      <c r="P175" s="679"/>
      <c r="Q175" s="679"/>
      <c r="R175" s="679"/>
      <c r="S175" s="679"/>
      <c r="T175" s="679"/>
      <c r="U175" s="679"/>
      <c r="V175" s="679"/>
    </row>
    <row r="176" spans="1:27" ht="27" thickBot="1">
      <c r="A176" s="679"/>
      <c r="B176" s="700" t="s">
        <v>20</v>
      </c>
      <c r="C176" s="701"/>
      <c r="D176" s="567">
        <f>1-1</f>
        <v>0</v>
      </c>
      <c r="E176" s="567">
        <f>5+15+1-1-1-1-2</f>
        <v>16</v>
      </c>
      <c r="F176" s="567">
        <f>3-1-1</f>
        <v>1</v>
      </c>
      <c r="G176" s="567">
        <f>30+9-1</f>
        <v>38</v>
      </c>
      <c r="H176" s="567">
        <f>7+10-7-1+32-1</f>
        <v>40</v>
      </c>
      <c r="I176" s="567">
        <f>1+7-1-1</f>
        <v>6</v>
      </c>
      <c r="J176" s="567">
        <f>5-2-2+24</f>
        <v>25</v>
      </c>
      <c r="K176" s="566">
        <f>6+2</f>
        <v>8</v>
      </c>
      <c r="L176" s="568">
        <v>11</v>
      </c>
      <c r="M176" s="702">
        <f>SUM(D176:L176)</f>
        <v>145</v>
      </c>
      <c r="N176" s="679"/>
      <c r="O176" s="679"/>
      <c r="P176" s="679"/>
      <c r="Q176" s="679"/>
      <c r="R176" s="679"/>
      <c r="S176" s="679"/>
      <c r="T176" s="679"/>
      <c r="U176" s="679"/>
      <c r="V176" s="679"/>
    </row>
    <row r="177" spans="1:27" ht="26">
      <c r="A177" s="679"/>
      <c r="B177" s="700" t="s">
        <v>224</v>
      </c>
      <c r="C177" s="701"/>
      <c r="D177" s="567">
        <f>9+10</f>
        <v>19</v>
      </c>
      <c r="E177" s="567">
        <f>7+5</f>
        <v>12</v>
      </c>
      <c r="F177" s="567">
        <f>32-2-1-1-1-3-1</f>
        <v>23</v>
      </c>
      <c r="G177" s="567">
        <f>14-2-2</f>
        <v>10</v>
      </c>
      <c r="H177" s="567">
        <f>9+15-2-1-3</f>
        <v>18</v>
      </c>
      <c r="I177" s="567">
        <f>6+8</f>
        <v>14</v>
      </c>
      <c r="J177" s="567">
        <v>3</v>
      </c>
      <c r="K177" s="566">
        <v>10</v>
      </c>
      <c r="L177" s="568">
        <v>0</v>
      </c>
      <c r="M177" s="702">
        <f>SUM(D177:L177)</f>
        <v>109</v>
      </c>
      <c r="N177" s="679"/>
      <c r="O177" s="679"/>
      <c r="P177" s="679"/>
      <c r="Q177" s="679"/>
      <c r="R177" s="679"/>
      <c r="S177" s="679"/>
      <c r="T177" s="679"/>
      <c r="U177" s="679"/>
      <c r="V177" s="679"/>
    </row>
    <row r="178" spans="1:27" ht="32" thickBot="1">
      <c r="A178" s="679"/>
      <c r="B178" s="679"/>
      <c r="C178" s="679"/>
      <c r="D178" s="679"/>
      <c r="E178" s="679"/>
      <c r="F178" s="679"/>
      <c r="G178" s="679"/>
      <c r="H178" s="679"/>
      <c r="I178" s="679"/>
      <c r="J178" s="679"/>
      <c r="K178" s="679"/>
      <c r="L178" s="679"/>
      <c r="M178" s="711">
        <f>SUM(M171:M177)</f>
        <v>293</v>
      </c>
      <c r="N178" s="679"/>
      <c r="O178" s="679"/>
      <c r="P178" s="679"/>
      <c r="Q178" s="679"/>
      <c r="R178" s="679"/>
      <c r="S178" s="679"/>
      <c r="T178" s="679"/>
      <c r="U178" s="679"/>
      <c r="V178" s="679"/>
    </row>
    <row r="183" spans="1:27" ht="15" customHeight="1">
      <c r="B183" s="717" t="s">
        <v>231</v>
      </c>
      <c r="C183" s="717"/>
      <c r="D183" s="717"/>
      <c r="E183" s="717"/>
      <c r="F183" s="717"/>
      <c r="G183" s="717"/>
      <c r="H183" s="717"/>
      <c r="I183" s="717"/>
      <c r="J183" s="717"/>
      <c r="K183" s="717"/>
      <c r="L183" s="717"/>
      <c r="M183" s="717"/>
    </row>
    <row r="184" spans="1:27" ht="15" customHeight="1">
      <c r="B184" s="717"/>
      <c r="C184" s="717"/>
      <c r="D184" s="717"/>
      <c r="E184" s="717"/>
      <c r="F184" s="717"/>
      <c r="G184" s="717"/>
      <c r="H184" s="717"/>
      <c r="I184" s="717"/>
      <c r="J184" s="717"/>
      <c r="K184" s="717"/>
      <c r="L184" s="717"/>
      <c r="M184" s="717"/>
    </row>
    <row r="185" spans="1:27" ht="15" customHeight="1">
      <c r="B185" s="717"/>
      <c r="C185" s="717"/>
      <c r="D185" s="717"/>
      <c r="E185" s="717"/>
      <c r="F185" s="717"/>
      <c r="G185" s="717"/>
      <c r="H185" s="717"/>
      <c r="I185" s="717"/>
      <c r="J185" s="717"/>
      <c r="K185" s="717"/>
      <c r="L185" s="717"/>
      <c r="M185" s="717"/>
    </row>
    <row r="186" spans="1:27" ht="15" customHeight="1">
      <c r="B186" s="717"/>
      <c r="C186" s="717"/>
      <c r="D186" s="717"/>
      <c r="E186" s="717"/>
      <c r="F186" s="717"/>
      <c r="G186" s="717"/>
      <c r="H186" s="717"/>
      <c r="I186" s="717"/>
      <c r="J186" s="717"/>
      <c r="K186" s="717"/>
      <c r="L186" s="717"/>
      <c r="M186" s="717"/>
    </row>
    <row r="189" spans="1:27" ht="36">
      <c r="B189" s="718" t="s">
        <v>232</v>
      </c>
      <c r="C189" s="718"/>
      <c r="D189" s="718"/>
      <c r="E189" s="718"/>
      <c r="F189" s="718"/>
      <c r="G189" s="718"/>
      <c r="H189" s="718"/>
      <c r="I189" s="718"/>
      <c r="J189" s="718"/>
      <c r="K189" s="718"/>
      <c r="L189" s="718"/>
      <c r="M189" s="718"/>
    </row>
    <row r="190" spans="1:27" s="696" customFormat="1" ht="26">
      <c r="A190" s="695"/>
      <c r="B190" s="694" t="s">
        <v>48</v>
      </c>
      <c r="C190" s="694"/>
      <c r="D190" s="694"/>
      <c r="E190" s="694"/>
      <c r="F190" s="694"/>
      <c r="G190" s="694"/>
      <c r="H190" s="694"/>
      <c r="I190" s="694"/>
      <c r="J190" s="694"/>
      <c r="K190" s="694"/>
      <c r="L190" s="694"/>
      <c r="M190" s="694"/>
      <c r="N190" s="695"/>
      <c r="O190" s="695"/>
      <c r="P190" s="695"/>
      <c r="Q190" s="695"/>
      <c r="R190" s="695"/>
      <c r="S190" s="695"/>
      <c r="T190" s="695"/>
      <c r="U190" s="695"/>
      <c r="V190" s="695"/>
      <c r="W190" s="695"/>
      <c r="X190" s="695"/>
      <c r="Y190" s="695"/>
      <c r="Z190" s="695"/>
      <c r="AA190" s="695"/>
    </row>
    <row r="191" spans="1:27" ht="27" thickBot="1">
      <c r="B191" s="719" t="s">
        <v>90</v>
      </c>
      <c r="C191" s="720"/>
      <c r="D191" s="679" t="s">
        <v>233</v>
      </c>
      <c r="E191" s="699" t="s">
        <v>10</v>
      </c>
      <c r="F191" s="699" t="s">
        <v>53</v>
      </c>
      <c r="G191" s="699" t="s">
        <v>54</v>
      </c>
      <c r="H191" s="699" t="s">
        <v>55</v>
      </c>
      <c r="I191" s="699" t="s">
        <v>56</v>
      </c>
      <c r="J191" s="699" t="s">
        <v>15</v>
      </c>
      <c r="K191" s="699" t="s">
        <v>16</v>
      </c>
      <c r="L191" s="699" t="s">
        <v>17</v>
      </c>
      <c r="M191" s="699" t="s">
        <v>18</v>
      </c>
      <c r="N191" s="699" t="s">
        <v>57</v>
      </c>
    </row>
    <row r="192" spans="1:27" ht="26">
      <c r="B192" s="721" t="s">
        <v>234</v>
      </c>
      <c r="C192" s="722"/>
      <c r="D192" s="567">
        <v>21</v>
      </c>
      <c r="E192" s="567">
        <v>78</v>
      </c>
      <c r="F192" s="567">
        <f>54+1-7-6+7</f>
        <v>49</v>
      </c>
      <c r="G192" s="567">
        <f>38-1-1</f>
        <v>36</v>
      </c>
      <c r="H192" s="567">
        <f>27-1-1-1-1</f>
        <v>23</v>
      </c>
      <c r="I192" s="567">
        <f>31-12-1-6-1</f>
        <v>11</v>
      </c>
      <c r="J192" s="567">
        <v>34</v>
      </c>
      <c r="K192" s="566">
        <f>9-1</f>
        <v>8</v>
      </c>
      <c r="L192" s="568">
        <f>15-1</f>
        <v>14</v>
      </c>
      <c r="M192" s="723">
        <v>0</v>
      </c>
      <c r="N192" s="724">
        <f>SUM(D192:M192)</f>
        <v>274</v>
      </c>
    </row>
    <row r="193" spans="1:27" ht="26">
      <c r="B193" s="725" t="s">
        <v>235</v>
      </c>
      <c r="C193" s="726"/>
      <c r="D193" s="567">
        <v>20</v>
      </c>
      <c r="E193" s="567">
        <v>16</v>
      </c>
      <c r="F193" s="567">
        <v>57</v>
      </c>
      <c r="G193" s="567">
        <f>25-2-9-1-1-1-1</f>
        <v>10</v>
      </c>
      <c r="H193" s="567">
        <f>4-1-3</f>
        <v>0</v>
      </c>
      <c r="I193" s="567">
        <v>18</v>
      </c>
      <c r="J193" s="567">
        <f>12-3</f>
        <v>9</v>
      </c>
      <c r="K193" s="566">
        <f>9-1</f>
        <v>8</v>
      </c>
      <c r="L193" s="568">
        <f>14-1</f>
        <v>13</v>
      </c>
      <c r="M193" s="723">
        <v>0</v>
      </c>
      <c r="N193" s="724">
        <f>SUM(D193:M193)</f>
        <v>151</v>
      </c>
    </row>
    <row r="194" spans="1:27" ht="32" thickBot="1">
      <c r="D194" s="679"/>
      <c r="E194" s="679"/>
      <c r="F194" s="679"/>
      <c r="G194" s="679"/>
      <c r="H194" s="679"/>
      <c r="I194" s="679"/>
      <c r="J194" s="679"/>
      <c r="K194" s="679"/>
      <c r="L194" s="679"/>
      <c r="N194" s="728">
        <f>SUM(N192:N193)</f>
        <v>425</v>
      </c>
    </row>
    <row r="195" spans="1:27">
      <c r="D195" s="729"/>
      <c r="E195" s="729"/>
      <c r="F195" s="729"/>
      <c r="G195" s="729"/>
      <c r="H195" s="729"/>
      <c r="I195" s="729"/>
      <c r="J195" s="729"/>
      <c r="K195" s="729"/>
      <c r="L195" s="729"/>
      <c r="M195" s="729"/>
      <c r="N195" s="729"/>
      <c r="O195" s="729"/>
      <c r="P195" s="729"/>
    </row>
    <row r="197" spans="1:27" ht="36">
      <c r="B197" s="730" t="s">
        <v>236</v>
      </c>
      <c r="C197" s="730"/>
      <c r="D197" s="730"/>
      <c r="E197" s="730"/>
      <c r="F197" s="730"/>
      <c r="G197" s="730"/>
      <c r="H197" s="730"/>
      <c r="I197" s="730"/>
      <c r="J197" s="730"/>
      <c r="K197" s="730"/>
      <c r="L197" s="730"/>
      <c r="M197" s="730"/>
    </row>
    <row r="198" spans="1:27" s="696" customFormat="1" ht="26">
      <c r="A198" s="695"/>
      <c r="B198" s="731" t="s">
        <v>48</v>
      </c>
      <c r="C198" s="732"/>
      <c r="D198" s="732"/>
      <c r="E198" s="732"/>
      <c r="F198" s="732"/>
      <c r="G198" s="732"/>
      <c r="H198" s="732"/>
      <c r="I198" s="732"/>
      <c r="J198" s="732"/>
      <c r="K198" s="732"/>
      <c r="L198" s="732"/>
      <c r="M198" s="733"/>
      <c r="N198" s="695"/>
      <c r="O198" s="695"/>
      <c r="P198" s="695"/>
      <c r="Q198" s="695"/>
      <c r="R198" s="695"/>
      <c r="S198" s="695"/>
      <c r="T198" s="695"/>
      <c r="U198" s="695"/>
      <c r="V198" s="695"/>
      <c r="W198" s="695"/>
      <c r="X198" s="695"/>
      <c r="Y198" s="695"/>
      <c r="Z198" s="695"/>
      <c r="AA198" s="695"/>
    </row>
    <row r="199" spans="1:27" ht="27" thickBot="1">
      <c r="B199" s="719" t="s">
        <v>90</v>
      </c>
      <c r="C199" s="720"/>
      <c r="D199" s="679" t="s">
        <v>233</v>
      </c>
      <c r="E199" s="553" t="s">
        <v>10</v>
      </c>
      <c r="F199" s="553" t="s">
        <v>53</v>
      </c>
      <c r="G199" s="553" t="s">
        <v>54</v>
      </c>
      <c r="H199" s="553" t="s">
        <v>55</v>
      </c>
      <c r="I199" s="553" t="s">
        <v>56</v>
      </c>
      <c r="J199" s="553" t="s">
        <v>15</v>
      </c>
      <c r="K199" s="553" t="s">
        <v>16</v>
      </c>
      <c r="L199" s="553" t="s">
        <v>17</v>
      </c>
      <c r="M199" s="553" t="s">
        <v>18</v>
      </c>
      <c r="N199" s="553" t="s">
        <v>57</v>
      </c>
    </row>
    <row r="200" spans="1:27" ht="26">
      <c r="B200" s="721" t="s">
        <v>234</v>
      </c>
      <c r="C200" s="722"/>
      <c r="D200" s="567">
        <v>28</v>
      </c>
      <c r="E200" s="567">
        <f>28-1</f>
        <v>27</v>
      </c>
      <c r="F200" s="567">
        <v>5</v>
      </c>
      <c r="G200" s="567">
        <v>4</v>
      </c>
      <c r="H200" s="567">
        <f>32-12-1-1-5-1-1-2-1+25-24-5-1-1-1-1</f>
        <v>0</v>
      </c>
      <c r="I200" s="567">
        <f>6-1</f>
        <v>5</v>
      </c>
      <c r="J200" s="567">
        <v>32</v>
      </c>
      <c r="K200" s="566">
        <v>5</v>
      </c>
      <c r="L200" s="566">
        <v>14</v>
      </c>
      <c r="M200" s="723">
        <v>0</v>
      </c>
      <c r="N200" s="724">
        <f>SUM(D200:M200)</f>
        <v>120</v>
      </c>
    </row>
    <row r="201" spans="1:27" ht="26">
      <c r="A201" s="734">
        <f ca="1">+A201+H201</f>
        <v>0</v>
      </c>
      <c r="B201" s="725" t="s">
        <v>235</v>
      </c>
      <c r="C201" s="726"/>
      <c r="D201" s="567">
        <v>9</v>
      </c>
      <c r="E201" s="567">
        <f>32-4-1-1</f>
        <v>26</v>
      </c>
      <c r="F201" s="567">
        <f>36-20-1</f>
        <v>15</v>
      </c>
      <c r="G201" s="567">
        <f>44-24-9-3-1</f>
        <v>7</v>
      </c>
      <c r="H201" s="567">
        <f>20-1-1-1-3-3-3-1-6-1</f>
        <v>0</v>
      </c>
      <c r="I201" s="567">
        <f>15-6-2-1-2-4</f>
        <v>0</v>
      </c>
      <c r="J201" s="567">
        <f>13-6-3-2</f>
        <v>2</v>
      </c>
      <c r="K201" s="566">
        <f>9-4+3-1</f>
        <v>7</v>
      </c>
      <c r="L201" s="566">
        <v>7</v>
      </c>
      <c r="M201" s="723">
        <v>0</v>
      </c>
      <c r="N201" s="724">
        <f>SUM(D201:M201)</f>
        <v>73</v>
      </c>
    </row>
    <row r="202" spans="1:27" ht="32" thickBot="1">
      <c r="D202" s="679"/>
      <c r="E202" s="679"/>
      <c r="F202" s="679"/>
      <c r="G202" s="679"/>
      <c r="H202" s="679"/>
      <c r="I202" s="679"/>
      <c r="J202" s="679"/>
      <c r="K202" s="679"/>
      <c r="L202" s="679"/>
      <c r="N202" s="728">
        <f>SUM(N200:N201)</f>
        <v>193</v>
      </c>
    </row>
    <row r="204" spans="1:27">
      <c r="D204" s="729"/>
      <c r="E204" s="729"/>
      <c r="F204" s="729"/>
      <c r="G204" s="729"/>
      <c r="H204" s="729"/>
      <c r="I204" s="729"/>
      <c r="J204" s="729"/>
      <c r="K204" s="729"/>
      <c r="L204" s="729"/>
      <c r="M204" s="729"/>
      <c r="N204" s="729"/>
      <c r="O204" s="729"/>
      <c r="P204" s="729"/>
      <c r="Q204" s="729"/>
      <c r="R204" s="729"/>
      <c r="S204" s="729"/>
      <c r="T204" s="729"/>
      <c r="U204" s="729"/>
      <c r="V204" s="729"/>
    </row>
    <row r="205" spans="1:27" ht="36">
      <c r="B205" s="730" t="s">
        <v>237</v>
      </c>
      <c r="C205" s="730"/>
      <c r="D205" s="730"/>
      <c r="E205" s="730"/>
      <c r="F205" s="730"/>
      <c r="G205" s="730"/>
      <c r="H205" s="730"/>
      <c r="I205" s="730"/>
      <c r="J205" s="730"/>
      <c r="K205" s="730"/>
      <c r="L205" s="730"/>
      <c r="M205" s="730"/>
    </row>
    <row r="206" spans="1:27" s="696" customFormat="1" ht="26">
      <c r="A206" s="695"/>
      <c r="B206" s="731" t="s">
        <v>48</v>
      </c>
      <c r="C206" s="732"/>
      <c r="D206" s="732"/>
      <c r="E206" s="732"/>
      <c r="F206" s="732"/>
      <c r="G206" s="732"/>
      <c r="H206" s="732"/>
      <c r="I206" s="732"/>
      <c r="J206" s="732"/>
      <c r="K206" s="732"/>
      <c r="L206" s="732"/>
      <c r="M206" s="733"/>
      <c r="N206" s="695"/>
      <c r="O206" s="695"/>
      <c r="P206" s="695"/>
      <c r="Q206" s="695"/>
      <c r="R206" s="695"/>
      <c r="S206" s="695"/>
      <c r="T206" s="695"/>
      <c r="U206" s="695"/>
      <c r="V206" s="695"/>
      <c r="W206" s="695"/>
      <c r="X206" s="695"/>
      <c r="Y206" s="695"/>
      <c r="Z206" s="695"/>
      <c r="AA206" s="695"/>
    </row>
    <row r="207" spans="1:27" ht="27" thickBot="1">
      <c r="B207" s="719" t="s">
        <v>90</v>
      </c>
      <c r="C207" s="720"/>
      <c r="D207" s="553" t="s">
        <v>10</v>
      </c>
      <c r="E207" s="553" t="s">
        <v>53</v>
      </c>
      <c r="F207" s="553" t="s">
        <v>54</v>
      </c>
      <c r="G207" s="553" t="s">
        <v>55</v>
      </c>
      <c r="H207" s="553" t="s">
        <v>56</v>
      </c>
      <c r="I207" s="553" t="s">
        <v>15</v>
      </c>
      <c r="J207" s="553" t="s">
        <v>16</v>
      </c>
      <c r="K207" s="553" t="s">
        <v>17</v>
      </c>
      <c r="L207" s="553" t="s">
        <v>18</v>
      </c>
      <c r="M207" s="699" t="s">
        <v>57</v>
      </c>
    </row>
    <row r="208" spans="1:27" ht="26">
      <c r="B208" s="735" t="s">
        <v>42</v>
      </c>
      <c r="C208" s="736"/>
      <c r="D208" s="622">
        <f>61-1</f>
        <v>60</v>
      </c>
      <c r="E208" s="622">
        <f>22-3-1-1</f>
        <v>17</v>
      </c>
      <c r="F208" s="622">
        <f>48-1+11-15-1-10-1</f>
        <v>31</v>
      </c>
      <c r="G208" s="622">
        <f>10+8-11-4-2-1+140-5-1-1-1-2-1</f>
        <v>129</v>
      </c>
      <c r="H208" s="622">
        <f>20-5-1-1-1</f>
        <v>12</v>
      </c>
      <c r="I208" s="622">
        <f>2-1</f>
        <v>1</v>
      </c>
      <c r="J208" s="622">
        <f>5-1-1</f>
        <v>3</v>
      </c>
      <c r="K208" s="621">
        <f>19-1</f>
        <v>18</v>
      </c>
      <c r="L208" s="707">
        <v>0</v>
      </c>
      <c r="M208" s="702">
        <f>SUM(D208:L208)</f>
        <v>271</v>
      </c>
    </row>
    <row r="209" spans="1:27" ht="26">
      <c r="B209" s="737" t="s">
        <v>41</v>
      </c>
      <c r="C209" s="738"/>
      <c r="D209" s="739">
        <v>40</v>
      </c>
      <c r="E209" s="739">
        <v>46</v>
      </c>
      <c r="F209" s="739">
        <f>49-1</f>
        <v>48</v>
      </c>
      <c r="G209" s="739">
        <f>32-1-1-2</f>
        <v>28</v>
      </c>
      <c r="H209" s="739">
        <f>18-1</f>
        <v>17</v>
      </c>
      <c r="I209" s="739">
        <v>3</v>
      </c>
      <c r="J209" s="739">
        <v>1</v>
      </c>
      <c r="K209" s="740">
        <v>24</v>
      </c>
      <c r="L209" s="741">
        <v>0</v>
      </c>
      <c r="M209" s="702">
        <f>SUM(D209:L209)</f>
        <v>207</v>
      </c>
    </row>
    <row r="210" spans="1:27" ht="26">
      <c r="B210" s="742" t="s">
        <v>19</v>
      </c>
      <c r="C210" s="743"/>
      <c r="D210" s="622">
        <f>1-1</f>
        <v>0</v>
      </c>
      <c r="E210" s="622">
        <f>62-1-1+60+1-3-1-1-1-1</f>
        <v>114</v>
      </c>
      <c r="F210" s="622">
        <f>32-1+147-1+2-6-1-1-1-1-1</f>
        <v>168</v>
      </c>
      <c r="G210" s="622">
        <f>23-1+1+37-1-1-3-1-1-1-2-1-1</f>
        <v>48</v>
      </c>
      <c r="H210" s="622">
        <f>31-1-1-1-2</f>
        <v>26</v>
      </c>
      <c r="I210" s="622">
        <f>21-1-1</f>
        <v>19</v>
      </c>
      <c r="J210" s="622">
        <f>1-1</f>
        <v>0</v>
      </c>
      <c r="K210" s="621">
        <v>0</v>
      </c>
      <c r="L210" s="621">
        <v>0</v>
      </c>
      <c r="M210" s="702">
        <f>SUM(D210:L210)</f>
        <v>375</v>
      </c>
    </row>
    <row r="211" spans="1:27" ht="32" thickBot="1">
      <c r="D211" s="679"/>
      <c r="E211" s="679"/>
      <c r="F211" s="679"/>
      <c r="G211" s="679"/>
      <c r="H211" s="679"/>
      <c r="I211" s="679"/>
      <c r="J211" s="679"/>
      <c r="K211" s="679"/>
      <c r="L211" s="679"/>
      <c r="M211" s="728">
        <f>SUM(M208:M209)</f>
        <v>478</v>
      </c>
    </row>
    <row r="214" spans="1:27" ht="36">
      <c r="B214" s="730" t="s">
        <v>238</v>
      </c>
      <c r="C214" s="730"/>
      <c r="D214" s="730"/>
      <c r="E214" s="730"/>
      <c r="F214" s="730"/>
      <c r="G214" s="730"/>
      <c r="H214" s="730"/>
      <c r="I214" s="730"/>
      <c r="J214" s="730"/>
      <c r="K214" s="730"/>
      <c r="L214" s="730"/>
      <c r="M214" s="730"/>
    </row>
    <row r="215" spans="1:27" s="696" customFormat="1" ht="26">
      <c r="A215" s="695"/>
      <c r="B215" s="731" t="s">
        <v>48</v>
      </c>
      <c r="C215" s="732"/>
      <c r="D215" s="732"/>
      <c r="E215" s="732"/>
      <c r="F215" s="732"/>
      <c r="G215" s="732"/>
      <c r="H215" s="732"/>
      <c r="I215" s="732"/>
      <c r="J215" s="732"/>
      <c r="K215" s="732"/>
      <c r="L215" s="732"/>
      <c r="M215" s="733"/>
      <c r="N215" s="695"/>
      <c r="O215" s="695"/>
      <c r="P215" s="695"/>
      <c r="Q215" s="695"/>
      <c r="R215" s="695"/>
      <c r="S215" s="695"/>
      <c r="T215" s="695"/>
      <c r="U215" s="695"/>
      <c r="V215" s="695"/>
      <c r="W215" s="695"/>
      <c r="X215" s="695"/>
      <c r="Y215" s="695"/>
      <c r="Z215" s="695"/>
      <c r="AA215" s="695"/>
    </row>
    <row r="216" spans="1:27" ht="27" thickBot="1">
      <c r="B216" s="719" t="s">
        <v>90</v>
      </c>
      <c r="C216" s="720"/>
      <c r="D216" s="553" t="s">
        <v>10</v>
      </c>
      <c r="E216" s="553" t="s">
        <v>53</v>
      </c>
      <c r="F216" s="553" t="s">
        <v>54</v>
      </c>
      <c r="G216" s="553" t="s">
        <v>55</v>
      </c>
      <c r="H216" s="553" t="s">
        <v>56</v>
      </c>
      <c r="I216" s="553" t="s">
        <v>15</v>
      </c>
      <c r="J216" s="553" t="s">
        <v>16</v>
      </c>
      <c r="K216" s="553" t="s">
        <v>17</v>
      </c>
      <c r="L216" s="553" t="s">
        <v>18</v>
      </c>
      <c r="M216" s="699" t="s">
        <v>57</v>
      </c>
    </row>
    <row r="217" spans="1:27" ht="26">
      <c r="B217" s="721" t="s">
        <v>234</v>
      </c>
      <c r="C217" s="722"/>
      <c r="D217" s="567">
        <v>13</v>
      </c>
      <c r="E217" s="567">
        <v>8</v>
      </c>
      <c r="F217" s="567">
        <f>12-1-1</f>
        <v>10</v>
      </c>
      <c r="G217" s="567">
        <f>10-1-1-1</f>
        <v>7</v>
      </c>
      <c r="H217" s="567">
        <v>8</v>
      </c>
      <c r="I217" s="567">
        <v>4</v>
      </c>
      <c r="J217" s="567">
        <v>0</v>
      </c>
      <c r="K217" s="566">
        <f>4+5</f>
        <v>9</v>
      </c>
      <c r="L217" s="568">
        <v>0</v>
      </c>
      <c r="M217" s="702">
        <f>SUM(D217:L217)</f>
        <v>59</v>
      </c>
    </row>
    <row r="218" spans="1:27" ht="26">
      <c r="B218" s="725" t="s">
        <v>235</v>
      </c>
      <c r="C218" s="726"/>
      <c r="D218" s="567">
        <v>16</v>
      </c>
      <c r="E218" s="567">
        <v>18</v>
      </c>
      <c r="F218" s="567">
        <f>5-1-1</f>
        <v>3</v>
      </c>
      <c r="G218" s="567">
        <f>12-12+15-1-1</f>
        <v>13</v>
      </c>
      <c r="H218" s="567">
        <f>11-2-2-2</f>
        <v>5</v>
      </c>
      <c r="I218" s="567">
        <f>9-1-3</f>
        <v>5</v>
      </c>
      <c r="J218" s="567">
        <v>2</v>
      </c>
      <c r="K218" s="566">
        <v>2</v>
      </c>
      <c r="L218" s="568">
        <v>0</v>
      </c>
      <c r="M218" s="702">
        <f>SUM(D218:L218)</f>
        <v>64</v>
      </c>
    </row>
    <row r="219" spans="1:27" ht="32" thickBot="1">
      <c r="D219" s="679"/>
      <c r="E219" s="679"/>
      <c r="F219" s="679"/>
      <c r="G219" s="679"/>
      <c r="H219" s="679"/>
      <c r="I219" s="679"/>
      <c r="J219" s="679"/>
      <c r="K219" s="679"/>
      <c r="L219" s="679"/>
      <c r="M219" s="728">
        <f>SUM(M217:M218)</f>
        <v>123</v>
      </c>
    </row>
    <row r="222" spans="1:27" ht="36">
      <c r="B222" s="730" t="s">
        <v>239</v>
      </c>
      <c r="C222" s="730"/>
      <c r="D222" s="730"/>
      <c r="E222" s="730"/>
      <c r="F222" s="730"/>
      <c r="G222" s="730"/>
      <c r="H222" s="730"/>
      <c r="I222" s="730"/>
      <c r="J222" s="730"/>
      <c r="K222" s="730"/>
      <c r="L222" s="730"/>
      <c r="M222" s="730"/>
    </row>
    <row r="223" spans="1:27" s="696" customFormat="1" ht="26">
      <c r="A223" s="695"/>
      <c r="B223" s="731" t="s">
        <v>48</v>
      </c>
      <c r="C223" s="732"/>
      <c r="D223" s="732"/>
      <c r="E223" s="732"/>
      <c r="F223" s="732"/>
      <c r="G223" s="732"/>
      <c r="H223" s="732"/>
      <c r="I223" s="732"/>
      <c r="J223" s="732"/>
      <c r="K223" s="732"/>
      <c r="L223" s="732"/>
      <c r="M223" s="733"/>
      <c r="N223" s="695"/>
      <c r="O223" s="695"/>
      <c r="P223" s="695"/>
      <c r="Q223" s="695"/>
      <c r="R223" s="695"/>
      <c r="S223" s="695"/>
      <c r="T223" s="695"/>
      <c r="U223" s="695"/>
      <c r="V223" s="695"/>
      <c r="W223" s="695"/>
      <c r="X223" s="695"/>
      <c r="Y223" s="695"/>
      <c r="Z223" s="695"/>
      <c r="AA223" s="695"/>
    </row>
    <row r="224" spans="1:27" ht="27" thickBot="1">
      <c r="B224" s="719" t="s">
        <v>90</v>
      </c>
      <c r="C224" s="720"/>
      <c r="D224" s="553" t="s">
        <v>10</v>
      </c>
      <c r="E224" s="553" t="s">
        <v>53</v>
      </c>
      <c r="F224" s="553" t="s">
        <v>54</v>
      </c>
      <c r="G224" s="553" t="s">
        <v>55</v>
      </c>
      <c r="H224" s="553" t="s">
        <v>56</v>
      </c>
      <c r="I224" s="553" t="s">
        <v>15</v>
      </c>
      <c r="J224" s="553" t="s">
        <v>16</v>
      </c>
      <c r="K224" s="553" t="s">
        <v>17</v>
      </c>
      <c r="L224" s="553" t="s">
        <v>18</v>
      </c>
      <c r="M224" s="699" t="s">
        <v>57</v>
      </c>
    </row>
    <row r="225" spans="2:14" ht="26">
      <c r="B225" s="721" t="s">
        <v>33</v>
      </c>
      <c r="C225" s="722"/>
      <c r="D225" s="567">
        <v>6</v>
      </c>
      <c r="E225" s="567">
        <v>8</v>
      </c>
      <c r="F225" s="567">
        <v>13</v>
      </c>
      <c r="G225" s="567">
        <f>15-1</f>
        <v>14</v>
      </c>
      <c r="H225" s="567">
        <v>10</v>
      </c>
      <c r="I225" s="567">
        <v>14</v>
      </c>
      <c r="J225" s="567">
        <v>1</v>
      </c>
      <c r="K225" s="566">
        <v>4</v>
      </c>
      <c r="L225" s="568">
        <v>0</v>
      </c>
      <c r="M225" s="702">
        <f>SUM(D225:L225)</f>
        <v>70</v>
      </c>
    </row>
    <row r="226" spans="2:14" s="459" customFormat="1" ht="26">
      <c r="B226" s="725" t="s">
        <v>166</v>
      </c>
      <c r="C226" s="726"/>
      <c r="D226" s="567">
        <v>18</v>
      </c>
      <c r="E226" s="567">
        <v>12</v>
      </c>
      <c r="F226" s="567">
        <f>13-5</f>
        <v>8</v>
      </c>
      <c r="G226" s="567">
        <f>31-17-1</f>
        <v>13</v>
      </c>
      <c r="H226" s="567">
        <f>17-2</f>
        <v>15</v>
      </c>
      <c r="I226" s="567">
        <f>13-1</f>
        <v>12</v>
      </c>
      <c r="J226" s="567">
        <v>0</v>
      </c>
      <c r="K226" s="566">
        <v>0</v>
      </c>
      <c r="L226" s="568">
        <v>0</v>
      </c>
      <c r="M226" s="702">
        <f>SUM(D226:L226)</f>
        <v>78</v>
      </c>
    </row>
    <row r="227" spans="2:14" s="459" customFormat="1" ht="32" thickBot="1">
      <c r="B227" s="727"/>
      <c r="C227" s="727"/>
      <c r="D227" s="679"/>
      <c r="E227" s="679"/>
      <c r="F227" s="679"/>
      <c r="G227" s="679"/>
      <c r="H227" s="679"/>
      <c r="I227" s="679"/>
      <c r="J227" s="679"/>
      <c r="K227" s="679"/>
      <c r="L227" s="679"/>
      <c r="M227" s="728">
        <f>SUM(M225:M226)</f>
        <v>148</v>
      </c>
    </row>
    <row r="229" spans="2:14" s="459" customFormat="1" ht="36">
      <c r="B229" s="718" t="s">
        <v>240</v>
      </c>
      <c r="C229" s="718"/>
      <c r="D229" s="718"/>
      <c r="E229" s="718"/>
      <c r="F229" s="718"/>
      <c r="G229" s="718"/>
      <c r="H229" s="718"/>
      <c r="I229" s="718"/>
      <c r="J229" s="718"/>
      <c r="K229" s="718"/>
      <c r="L229" s="718"/>
      <c r="M229" s="718"/>
    </row>
    <row r="230" spans="2:14" s="459" customFormat="1" ht="24" customHeight="1">
      <c r="B230" s="694" t="s">
        <v>48</v>
      </c>
      <c r="C230" s="694"/>
      <c r="D230" s="694"/>
      <c r="E230" s="694"/>
      <c r="F230" s="694"/>
      <c r="G230" s="694"/>
      <c r="H230" s="694"/>
      <c r="I230" s="694"/>
      <c r="J230" s="694"/>
      <c r="K230" s="694"/>
      <c r="L230" s="694"/>
      <c r="M230" s="694"/>
      <c r="N230" s="695"/>
    </row>
    <row r="231" spans="2:14" s="459" customFormat="1" ht="24.75" customHeight="1" thickBot="1">
      <c r="B231" s="719" t="s">
        <v>90</v>
      </c>
      <c r="C231" s="720"/>
      <c r="D231" s="699" t="s">
        <v>10</v>
      </c>
      <c r="E231" s="699" t="s">
        <v>53</v>
      </c>
      <c r="F231" s="699" t="s">
        <v>54</v>
      </c>
      <c r="G231" s="699" t="s">
        <v>55</v>
      </c>
      <c r="H231" s="699" t="s">
        <v>56</v>
      </c>
      <c r="I231" s="699" t="s">
        <v>15</v>
      </c>
      <c r="J231" s="699" t="s">
        <v>16</v>
      </c>
      <c r="K231" s="699" t="s">
        <v>17</v>
      </c>
      <c r="L231" s="699" t="s">
        <v>18</v>
      </c>
      <c r="M231" s="699" t="s">
        <v>57</v>
      </c>
    </row>
    <row r="232" spans="2:14" s="459" customFormat="1" ht="24.75" customHeight="1">
      <c r="B232" s="735" t="s">
        <v>166</v>
      </c>
      <c r="C232" s="736"/>
      <c r="D232" s="622">
        <f>40-5+5</f>
        <v>40</v>
      </c>
      <c r="E232" s="622">
        <f>60-1+1</f>
        <v>60</v>
      </c>
      <c r="F232" s="622">
        <f>60-5-2+7</f>
        <v>60</v>
      </c>
      <c r="G232" s="622">
        <f>60-5-1+6-1</f>
        <v>59</v>
      </c>
      <c r="H232" s="622">
        <f>30-5+5</f>
        <v>30</v>
      </c>
      <c r="I232" s="622">
        <v>20</v>
      </c>
      <c r="J232" s="622">
        <f>10-2+2</f>
        <v>10</v>
      </c>
      <c r="K232" s="621">
        <v>0</v>
      </c>
      <c r="L232" s="707">
        <v>0</v>
      </c>
      <c r="M232" s="702">
        <f>SUM(D232:L232)</f>
        <v>279</v>
      </c>
    </row>
    <row r="233" spans="2:14" s="459" customFormat="1" ht="24.75" customHeight="1">
      <c r="B233" s="744" t="s">
        <v>33</v>
      </c>
      <c r="C233" s="743"/>
      <c r="D233" s="622">
        <f>0+20-1-1</f>
        <v>18</v>
      </c>
      <c r="E233" s="622">
        <f>0+30</f>
        <v>30</v>
      </c>
      <c r="F233" s="622">
        <f>30-5+5-1</f>
        <v>29</v>
      </c>
      <c r="G233" s="622">
        <f>30-5+5-1</f>
        <v>29</v>
      </c>
      <c r="H233" s="622">
        <f>0+10</f>
        <v>10</v>
      </c>
      <c r="I233" s="622">
        <f>0+15</f>
        <v>15</v>
      </c>
      <c r="J233" s="622">
        <f>0+10-1</f>
        <v>9</v>
      </c>
      <c r="K233" s="621">
        <v>0</v>
      </c>
      <c r="L233" s="707">
        <v>0</v>
      </c>
      <c r="M233" s="702">
        <f>SUM(D233:L233)</f>
        <v>140</v>
      </c>
    </row>
    <row r="234" spans="2:14" s="459" customFormat="1" ht="23.25" customHeight="1">
      <c r="B234" s="744" t="s">
        <v>20</v>
      </c>
      <c r="C234" s="743"/>
      <c r="D234" s="622">
        <f>10-5+25</f>
        <v>30</v>
      </c>
      <c r="E234" s="622">
        <f>10-5+25</f>
        <v>30</v>
      </c>
      <c r="F234" s="622">
        <f>13+12-1-1-10-1</f>
        <v>12</v>
      </c>
      <c r="G234" s="622">
        <f>8+22-1-1-7-1</f>
        <v>20</v>
      </c>
      <c r="H234" s="622">
        <f>0+10-1</f>
        <v>9</v>
      </c>
      <c r="I234" s="622">
        <f>9+1-1</f>
        <v>9</v>
      </c>
      <c r="J234" s="622">
        <f>0+10</f>
        <v>10</v>
      </c>
      <c r="K234" s="621">
        <v>0</v>
      </c>
      <c r="L234" s="707">
        <v>0</v>
      </c>
      <c r="M234" s="702">
        <f>SUM(D234:L234)</f>
        <v>120</v>
      </c>
    </row>
    <row r="235" spans="2:14" s="459" customFormat="1" ht="32" thickBot="1">
      <c r="B235" s="727"/>
      <c r="C235" s="727"/>
      <c r="D235" s="679"/>
      <c r="E235" s="679"/>
      <c r="F235" s="679"/>
      <c r="G235" s="679"/>
      <c r="H235" s="679"/>
      <c r="I235" s="679"/>
      <c r="J235" s="679"/>
      <c r="K235" s="679"/>
      <c r="L235" s="679"/>
      <c r="M235" s="728">
        <f>SUM(M232:M234)</f>
        <v>539</v>
      </c>
    </row>
    <row r="237" spans="2:14" s="459" customFormat="1" ht="36">
      <c r="B237" s="718" t="s">
        <v>143</v>
      </c>
      <c r="C237" s="718"/>
      <c r="D237" s="718"/>
      <c r="E237" s="718"/>
      <c r="F237" s="718"/>
      <c r="G237" s="718"/>
      <c r="H237" s="718"/>
      <c r="I237" s="718"/>
      <c r="J237" s="718"/>
      <c r="K237" s="718"/>
      <c r="L237" s="718"/>
      <c r="M237" s="718"/>
    </row>
    <row r="238" spans="2:14" s="459" customFormat="1" ht="26">
      <c r="B238" s="694" t="s">
        <v>48</v>
      </c>
      <c r="C238" s="694"/>
      <c r="D238" s="694"/>
      <c r="E238" s="694"/>
      <c r="F238" s="694"/>
      <c r="G238" s="694"/>
      <c r="H238" s="694"/>
      <c r="I238" s="694"/>
      <c r="J238" s="694"/>
      <c r="K238" s="694"/>
      <c r="L238" s="694"/>
      <c r="M238" s="694"/>
      <c r="N238" s="695"/>
    </row>
    <row r="239" spans="2:14" s="459" customFormat="1" ht="27" thickBot="1">
      <c r="B239" s="719" t="s">
        <v>90</v>
      </c>
      <c r="C239" s="720"/>
      <c r="D239" s="745" t="s">
        <v>140</v>
      </c>
      <c r="E239" s="746"/>
      <c r="F239" s="746"/>
      <c r="G239" s="746"/>
      <c r="H239" s="746"/>
      <c r="I239" s="746"/>
      <c r="J239" s="746"/>
      <c r="K239" s="746"/>
      <c r="L239" s="747"/>
      <c r="M239" s="699" t="s">
        <v>57</v>
      </c>
    </row>
    <row r="240" spans="2:14" s="459" customFormat="1" ht="26">
      <c r="B240" s="748" t="s">
        <v>241</v>
      </c>
      <c r="C240" s="749"/>
      <c r="D240" s="745">
        <v>5</v>
      </c>
      <c r="E240" s="746"/>
      <c r="F240" s="746"/>
      <c r="G240" s="746"/>
      <c r="H240" s="746"/>
      <c r="I240" s="746"/>
      <c r="J240" s="746"/>
      <c r="K240" s="746"/>
      <c r="L240" s="747"/>
      <c r="M240" s="702">
        <v>5</v>
      </c>
    </row>
    <row r="241" spans="2:14" s="459" customFormat="1" ht="26">
      <c r="B241" s="748" t="s">
        <v>145</v>
      </c>
      <c r="C241" s="749"/>
      <c r="D241" s="745">
        <v>5</v>
      </c>
      <c r="E241" s="746"/>
      <c r="F241" s="746"/>
      <c r="G241" s="746"/>
      <c r="H241" s="746"/>
      <c r="I241" s="746"/>
      <c r="J241" s="746"/>
      <c r="K241" s="746"/>
      <c r="L241" s="747"/>
      <c r="M241" s="702">
        <v>5</v>
      </c>
    </row>
    <row r="242" spans="2:14" s="459" customFormat="1" ht="26">
      <c r="B242" s="748" t="s">
        <v>146</v>
      </c>
      <c r="C242" s="749"/>
      <c r="D242" s="745">
        <v>5</v>
      </c>
      <c r="E242" s="746"/>
      <c r="F242" s="746"/>
      <c r="G242" s="746"/>
      <c r="H242" s="746"/>
      <c r="I242" s="746"/>
      <c r="J242" s="746"/>
      <c r="K242" s="746"/>
      <c r="L242" s="747"/>
      <c r="M242" s="702">
        <v>5</v>
      </c>
    </row>
    <row r="243" spans="2:14" s="459" customFormat="1" ht="26">
      <c r="B243" s="748" t="s">
        <v>147</v>
      </c>
      <c r="C243" s="749"/>
      <c r="D243" s="745">
        <v>5</v>
      </c>
      <c r="E243" s="746"/>
      <c r="F243" s="746"/>
      <c r="G243" s="746"/>
      <c r="H243" s="746"/>
      <c r="I243" s="746"/>
      <c r="J243" s="746"/>
      <c r="K243" s="746"/>
      <c r="L243" s="747"/>
      <c r="M243" s="702">
        <v>5</v>
      </c>
    </row>
    <row r="244" spans="2:14" s="459" customFormat="1" ht="26">
      <c r="B244" s="748" t="s">
        <v>22</v>
      </c>
      <c r="C244" s="749"/>
      <c r="D244" s="745">
        <v>5</v>
      </c>
      <c r="E244" s="746"/>
      <c r="F244" s="746"/>
      <c r="G244" s="746"/>
      <c r="H244" s="746"/>
      <c r="I244" s="746"/>
      <c r="J244" s="746"/>
      <c r="K244" s="746"/>
      <c r="L244" s="747"/>
      <c r="M244" s="702">
        <v>5</v>
      </c>
    </row>
    <row r="245" spans="2:14" s="459" customFormat="1" ht="26">
      <c r="B245" s="748" t="s">
        <v>28</v>
      </c>
      <c r="C245" s="749"/>
      <c r="D245" s="745">
        <v>5</v>
      </c>
      <c r="E245" s="746"/>
      <c r="F245" s="746"/>
      <c r="G245" s="746"/>
      <c r="H245" s="746"/>
      <c r="I245" s="746"/>
      <c r="J245" s="746"/>
      <c r="K245" s="746"/>
      <c r="L245" s="747"/>
      <c r="M245" s="702">
        <v>5</v>
      </c>
    </row>
    <row r="246" spans="2:14" s="459" customFormat="1" ht="26">
      <c r="B246" s="748" t="s">
        <v>94</v>
      </c>
      <c r="C246" s="749"/>
      <c r="D246" s="745">
        <v>5</v>
      </c>
      <c r="E246" s="746"/>
      <c r="F246" s="746"/>
      <c r="G246" s="746"/>
      <c r="H246" s="746"/>
      <c r="I246" s="746"/>
      <c r="J246" s="746"/>
      <c r="K246" s="746"/>
      <c r="L246" s="747"/>
      <c r="M246" s="702">
        <v>5</v>
      </c>
    </row>
    <row r="247" spans="2:14" s="459" customFormat="1" ht="26">
      <c r="B247" s="748" t="s">
        <v>26</v>
      </c>
      <c r="C247" s="749"/>
      <c r="D247" s="745">
        <f>5-1-1</f>
        <v>3</v>
      </c>
      <c r="E247" s="746"/>
      <c r="F247" s="746"/>
      <c r="G247" s="746"/>
      <c r="H247" s="746"/>
      <c r="I247" s="746"/>
      <c r="J247" s="746"/>
      <c r="K247" s="746"/>
      <c r="L247" s="747"/>
      <c r="M247" s="702">
        <v>5</v>
      </c>
    </row>
    <row r="248" spans="2:14" s="459" customFormat="1" ht="26">
      <c r="B248" s="748" t="s">
        <v>23</v>
      </c>
      <c r="C248" s="749"/>
      <c r="D248" s="745">
        <v>5</v>
      </c>
      <c r="E248" s="746"/>
      <c r="F248" s="746"/>
      <c r="G248" s="746"/>
      <c r="H248" s="746"/>
      <c r="I248" s="746"/>
      <c r="J248" s="746"/>
      <c r="K248" s="746"/>
      <c r="L248" s="747"/>
      <c r="M248" s="702">
        <f>SUM(D248)</f>
        <v>5</v>
      </c>
    </row>
    <row r="249" spans="2:14" s="459" customFormat="1" ht="26">
      <c r="B249" s="748" t="s">
        <v>20</v>
      </c>
      <c r="C249" s="749"/>
      <c r="D249" s="745">
        <v>5</v>
      </c>
      <c r="E249" s="746"/>
      <c r="F249" s="746"/>
      <c r="G249" s="746"/>
      <c r="H249" s="746"/>
      <c r="I249" s="746"/>
      <c r="J249" s="746"/>
      <c r="K249" s="746"/>
      <c r="L249" s="747"/>
      <c r="M249" s="702">
        <f t="shared" ref="M249:M251" si="10">SUM(D249)</f>
        <v>5</v>
      </c>
    </row>
    <row r="250" spans="2:14" s="459" customFormat="1" ht="26">
      <c r="B250" s="748" t="s">
        <v>19</v>
      </c>
      <c r="C250" s="749"/>
      <c r="D250" s="745">
        <v>5</v>
      </c>
      <c r="E250" s="746"/>
      <c r="F250" s="746"/>
      <c r="G250" s="746"/>
      <c r="H250" s="746"/>
      <c r="I250" s="746"/>
      <c r="J250" s="746"/>
      <c r="K250" s="746"/>
      <c r="L250" s="747"/>
      <c r="M250" s="702">
        <f t="shared" si="10"/>
        <v>5</v>
      </c>
    </row>
    <row r="251" spans="2:14" s="459" customFormat="1" ht="26">
      <c r="B251" s="748" t="s">
        <v>28</v>
      </c>
      <c r="C251" s="749"/>
      <c r="D251" s="745">
        <v>5</v>
      </c>
      <c r="E251" s="746"/>
      <c r="F251" s="746"/>
      <c r="G251" s="746"/>
      <c r="H251" s="746"/>
      <c r="I251" s="746"/>
      <c r="J251" s="746"/>
      <c r="K251" s="746"/>
      <c r="L251" s="747"/>
      <c r="M251" s="702">
        <f t="shared" si="10"/>
        <v>5</v>
      </c>
    </row>
    <row r="252" spans="2:14" s="459" customFormat="1" ht="32" thickBot="1">
      <c r="B252" s="727"/>
      <c r="C252" s="727"/>
      <c r="D252" s="679"/>
      <c r="E252" s="679"/>
      <c r="F252" s="679"/>
      <c r="G252" s="679"/>
      <c r="H252" s="679"/>
      <c r="I252" s="679"/>
      <c r="J252" s="679"/>
      <c r="K252" s="679"/>
      <c r="L252" s="679"/>
      <c r="M252" s="750">
        <f>SUM(M240:M251)</f>
        <v>60</v>
      </c>
    </row>
    <row r="254" spans="2:14" s="459" customFormat="1" ht="36">
      <c r="B254" s="718" t="s">
        <v>138</v>
      </c>
      <c r="C254" s="718"/>
      <c r="D254" s="718"/>
      <c r="E254" s="718"/>
      <c r="F254" s="718"/>
      <c r="G254" s="718"/>
      <c r="H254" s="718"/>
      <c r="I254" s="718"/>
      <c r="J254" s="718"/>
      <c r="K254" s="718"/>
      <c r="L254" s="718"/>
      <c r="M254" s="718"/>
    </row>
    <row r="255" spans="2:14" s="459" customFormat="1" ht="26">
      <c r="B255" s="694" t="s">
        <v>48</v>
      </c>
      <c r="C255" s="694"/>
      <c r="D255" s="694"/>
      <c r="E255" s="694"/>
      <c r="F255" s="694"/>
      <c r="G255" s="694"/>
      <c r="H255" s="694"/>
      <c r="I255" s="694"/>
      <c r="J255" s="694"/>
      <c r="K255" s="694"/>
      <c r="L255" s="694"/>
      <c r="M255" s="694"/>
      <c r="N255" s="695"/>
    </row>
    <row r="256" spans="2:14" s="459" customFormat="1" ht="27" thickBot="1">
      <c r="B256" s="719" t="s">
        <v>90</v>
      </c>
      <c r="C256" s="720"/>
      <c r="D256" s="699" t="s">
        <v>10</v>
      </c>
      <c r="E256" s="699" t="s">
        <v>53</v>
      </c>
      <c r="F256" s="699" t="s">
        <v>54</v>
      </c>
      <c r="G256" s="699" t="s">
        <v>55</v>
      </c>
      <c r="H256" s="699" t="s">
        <v>56</v>
      </c>
      <c r="I256" s="699" t="s">
        <v>15</v>
      </c>
      <c r="J256" s="699" t="s">
        <v>16</v>
      </c>
      <c r="K256" s="699" t="s">
        <v>17</v>
      </c>
      <c r="L256" s="699" t="s">
        <v>18</v>
      </c>
      <c r="M256" s="699" t="s">
        <v>57</v>
      </c>
    </row>
    <row r="257" spans="2:22" s="459" customFormat="1" ht="26">
      <c r="B257" s="748" t="s">
        <v>141</v>
      </c>
      <c r="C257" s="749"/>
      <c r="D257" s="622"/>
      <c r="E257" s="622"/>
      <c r="F257" s="622"/>
      <c r="G257" s="622"/>
      <c r="H257" s="622"/>
      <c r="I257" s="622"/>
      <c r="J257" s="622"/>
      <c r="K257" s="621"/>
      <c r="L257" s="707"/>
      <c r="M257" s="702"/>
    </row>
    <row r="258" spans="2:22" s="459" customFormat="1" ht="26">
      <c r="B258" s="748" t="s">
        <v>142</v>
      </c>
      <c r="C258" s="749"/>
      <c r="D258" s="622"/>
      <c r="E258" s="622"/>
      <c r="F258" s="622"/>
      <c r="G258" s="622"/>
      <c r="H258" s="622"/>
      <c r="I258" s="622"/>
      <c r="J258" s="622"/>
      <c r="K258" s="621"/>
      <c r="L258" s="707"/>
      <c r="M258" s="702"/>
    </row>
    <row r="259" spans="2:22" s="459" customFormat="1" ht="32" thickBot="1">
      <c r="B259" s="727"/>
      <c r="C259" s="727"/>
      <c r="D259" s="679"/>
      <c r="E259" s="679"/>
      <c r="F259" s="679"/>
      <c r="G259" s="679"/>
      <c r="H259" s="679"/>
      <c r="I259" s="679"/>
      <c r="J259" s="679"/>
      <c r="K259" s="679"/>
      <c r="L259" s="679"/>
      <c r="M259" s="750">
        <f>SUM(M257:M258)</f>
        <v>0</v>
      </c>
    </row>
    <row r="260" spans="2:22" s="459" customFormat="1" ht="26" thickBot="1">
      <c r="B260" s="727"/>
      <c r="C260" s="727"/>
    </row>
    <row r="261" spans="2:22" s="459" customFormat="1" ht="32" thickBot="1">
      <c r="B261" s="751" t="s">
        <v>242</v>
      </c>
      <c r="C261" s="752"/>
      <c r="D261" s="752"/>
      <c r="E261" s="752"/>
      <c r="F261" s="752"/>
      <c r="G261" s="752"/>
      <c r="H261" s="752"/>
      <c r="I261" s="752"/>
      <c r="J261" s="752"/>
      <c r="K261" s="752"/>
      <c r="L261" s="752"/>
      <c r="M261" s="752"/>
      <c r="N261" s="752"/>
      <c r="O261" s="752"/>
      <c r="P261" s="752"/>
      <c r="Q261" s="752"/>
      <c r="R261" s="752"/>
      <c r="S261" s="752"/>
      <c r="T261" s="752"/>
      <c r="U261" s="752"/>
      <c r="V261" s="753"/>
    </row>
    <row r="262" spans="2:22" s="459" customFormat="1" ht="27" thickBot="1">
      <c r="B262" s="544"/>
      <c r="C262" s="545"/>
      <c r="D262" s="754" t="s">
        <v>215</v>
      </c>
      <c r="E262" s="754"/>
      <c r="F262" s="754"/>
      <c r="G262" s="754"/>
      <c r="H262" s="754"/>
      <c r="I262" s="754"/>
      <c r="J262" s="754"/>
      <c r="K262" s="754"/>
      <c r="L262" s="754"/>
      <c r="M262" s="547" t="s">
        <v>149</v>
      </c>
      <c r="N262" s="548"/>
      <c r="O262" s="548"/>
      <c r="P262" s="548"/>
      <c r="Q262" s="548"/>
      <c r="R262" s="548"/>
      <c r="S262" s="548"/>
      <c r="T262" s="548"/>
      <c r="U262" s="549"/>
      <c r="V262" s="665" t="s">
        <v>69</v>
      </c>
    </row>
    <row r="263" spans="2:22" s="459" customFormat="1" ht="26">
      <c r="B263" s="755" t="s">
        <v>90</v>
      </c>
      <c r="C263" s="756"/>
      <c r="D263" s="553"/>
      <c r="E263" s="553">
        <v>30</v>
      </c>
      <c r="F263" s="553">
        <v>32</v>
      </c>
      <c r="G263" s="553">
        <v>34</v>
      </c>
      <c r="H263" s="553">
        <v>36</v>
      </c>
      <c r="I263" s="553">
        <v>38</v>
      </c>
      <c r="J263" s="553">
        <v>48</v>
      </c>
      <c r="K263" s="553"/>
      <c r="L263" s="554"/>
      <c r="M263" s="555">
        <v>28</v>
      </c>
      <c r="N263" s="553">
        <v>30</v>
      </c>
      <c r="O263" s="553">
        <v>32</v>
      </c>
      <c r="P263" s="553">
        <v>34</v>
      </c>
      <c r="Q263" s="553">
        <v>36</v>
      </c>
      <c r="R263" s="553">
        <v>38</v>
      </c>
      <c r="S263" s="553">
        <v>40</v>
      </c>
      <c r="T263" s="553">
        <v>42</v>
      </c>
      <c r="U263" s="556">
        <v>44</v>
      </c>
      <c r="V263" s="668"/>
    </row>
    <row r="264" spans="2:22" s="459" customFormat="1" ht="27" thickBot="1">
      <c r="B264" s="757"/>
      <c r="C264" s="758"/>
      <c r="D264" s="759" t="s">
        <v>10</v>
      </c>
      <c r="E264" s="759" t="s">
        <v>53</v>
      </c>
      <c r="F264" s="759" t="s">
        <v>54</v>
      </c>
      <c r="G264" s="759" t="s">
        <v>55</v>
      </c>
      <c r="H264" s="759" t="s">
        <v>56</v>
      </c>
      <c r="I264" s="759" t="s">
        <v>15</v>
      </c>
      <c r="J264" s="759" t="s">
        <v>16</v>
      </c>
      <c r="K264" s="759" t="s">
        <v>17</v>
      </c>
      <c r="L264" s="760" t="s">
        <v>18</v>
      </c>
      <c r="M264" s="761" t="s">
        <v>10</v>
      </c>
      <c r="N264" s="759" t="s">
        <v>53</v>
      </c>
      <c r="O264" s="759" t="s">
        <v>54</v>
      </c>
      <c r="P264" s="759" t="s">
        <v>55</v>
      </c>
      <c r="Q264" s="759" t="s">
        <v>56</v>
      </c>
      <c r="R264" s="759" t="s">
        <v>15</v>
      </c>
      <c r="S264" s="759" t="s">
        <v>16</v>
      </c>
      <c r="T264" s="759" t="s">
        <v>17</v>
      </c>
      <c r="U264" s="762" t="s">
        <v>18</v>
      </c>
      <c r="V264" s="591"/>
    </row>
    <row r="265" spans="2:22" s="459" customFormat="1" ht="26">
      <c r="B265" s="563" t="s">
        <v>243</v>
      </c>
      <c r="C265" s="601"/>
      <c r="D265" s="565">
        <v>0</v>
      </c>
      <c r="E265" s="566">
        <v>0</v>
      </c>
      <c r="F265" s="567">
        <v>10</v>
      </c>
      <c r="G265" s="567">
        <v>9</v>
      </c>
      <c r="H265" s="567">
        <v>14</v>
      </c>
      <c r="I265" s="567">
        <v>5</v>
      </c>
      <c r="J265" s="566">
        <v>5</v>
      </c>
      <c r="K265" s="566">
        <v>5</v>
      </c>
      <c r="L265" s="568">
        <v>5</v>
      </c>
      <c r="M265" s="569">
        <v>5</v>
      </c>
      <c r="N265" s="567">
        <f>34-1</f>
        <v>33</v>
      </c>
      <c r="O265" s="567">
        <f>18-2-2</f>
        <v>14</v>
      </c>
      <c r="P265" s="567">
        <f>19-1-2</f>
        <v>16</v>
      </c>
      <c r="Q265" s="567" t="s">
        <v>1</v>
      </c>
      <c r="R265" s="567">
        <v>17</v>
      </c>
      <c r="S265" s="567">
        <v>13</v>
      </c>
      <c r="T265" s="566">
        <v>5</v>
      </c>
      <c r="U265" s="570">
        <v>5</v>
      </c>
      <c r="V265" s="763">
        <f>SUM(D265:U265)</f>
        <v>161</v>
      </c>
    </row>
    <row r="267" spans="2:22" s="459" customFormat="1" ht="15" customHeight="1">
      <c r="B267" s="727"/>
      <c r="C267" s="727"/>
    </row>
    <row r="268" spans="2:22" s="459" customFormat="1" ht="15" customHeight="1">
      <c r="B268" s="727"/>
      <c r="C268" s="727"/>
    </row>
    <row r="269" spans="2:22" s="459" customFormat="1" ht="15">
      <c r="B269" s="764" t="s">
        <v>244</v>
      </c>
      <c r="C269" s="764"/>
      <c r="D269" s="764"/>
      <c r="E269" s="764"/>
      <c r="F269" s="764"/>
      <c r="G269" s="764"/>
      <c r="H269" s="764"/>
      <c r="I269" s="764"/>
      <c r="J269" s="764"/>
      <c r="K269" s="764"/>
      <c r="L269" s="764"/>
      <c r="M269" s="764"/>
    </row>
    <row r="270" spans="2:22" s="459" customFormat="1" ht="15">
      <c r="B270" s="764"/>
      <c r="C270" s="764"/>
      <c r="D270" s="764"/>
      <c r="E270" s="764"/>
      <c r="F270" s="764"/>
      <c r="G270" s="764"/>
      <c r="H270" s="764"/>
      <c r="I270" s="764"/>
      <c r="J270" s="764"/>
      <c r="K270" s="764"/>
      <c r="L270" s="764"/>
      <c r="M270" s="764"/>
    </row>
    <row r="271" spans="2:22" s="459" customFormat="1" ht="15">
      <c r="B271" s="765"/>
      <c r="C271" s="765"/>
      <c r="D271" s="765"/>
      <c r="E271" s="765"/>
      <c r="F271" s="765"/>
      <c r="G271" s="765"/>
      <c r="H271" s="765"/>
      <c r="I271" s="765"/>
      <c r="J271" s="765"/>
      <c r="K271" s="765"/>
      <c r="L271" s="765"/>
      <c r="M271" s="765"/>
    </row>
    <row r="272" spans="2:22" s="459" customFormat="1" ht="26">
      <c r="B272" s="731" t="s">
        <v>48</v>
      </c>
      <c r="C272" s="732"/>
      <c r="D272" s="732"/>
      <c r="E272" s="732"/>
      <c r="F272" s="732"/>
      <c r="G272" s="732"/>
      <c r="H272" s="732"/>
      <c r="I272" s="732"/>
      <c r="J272" s="732"/>
      <c r="K272" s="732"/>
      <c r="L272" s="732"/>
      <c r="M272" s="733"/>
    </row>
    <row r="273" spans="2:13" s="459" customFormat="1" ht="27" thickBot="1">
      <c r="B273" s="766" t="s">
        <v>90</v>
      </c>
      <c r="C273" s="767"/>
      <c r="D273" s="699" t="s">
        <v>10</v>
      </c>
      <c r="E273" s="699" t="s">
        <v>53</v>
      </c>
      <c r="F273" s="699" t="s">
        <v>54</v>
      </c>
      <c r="G273" s="699" t="s">
        <v>55</v>
      </c>
      <c r="H273" s="699" t="s">
        <v>56</v>
      </c>
      <c r="I273" s="699" t="s">
        <v>15</v>
      </c>
      <c r="J273" s="699" t="s">
        <v>16</v>
      </c>
      <c r="K273" s="699" t="s">
        <v>17</v>
      </c>
      <c r="L273" s="699" t="s">
        <v>18</v>
      </c>
      <c r="M273" s="699" t="s">
        <v>57</v>
      </c>
    </row>
    <row r="274" spans="2:13" s="459" customFormat="1" ht="27" thickBot="1">
      <c r="B274" s="721" t="s">
        <v>245</v>
      </c>
      <c r="C274" s="722"/>
      <c r="D274" s="567">
        <v>8</v>
      </c>
      <c r="E274" s="567">
        <f>4+15</f>
        <v>19</v>
      </c>
      <c r="F274" s="567">
        <f>21-1</f>
        <v>20</v>
      </c>
      <c r="G274" s="567">
        <v>17</v>
      </c>
      <c r="H274" s="567">
        <v>11</v>
      </c>
      <c r="I274" s="567">
        <f>5+10</f>
        <v>15</v>
      </c>
      <c r="J274" s="567">
        <f>10-1-3-1</f>
        <v>5</v>
      </c>
      <c r="K274" s="566">
        <v>0</v>
      </c>
      <c r="L274" s="568">
        <v>0</v>
      </c>
      <c r="M274" s="702">
        <f t="shared" ref="M274:M280" si="11">SUM(D274:L274)</f>
        <v>95</v>
      </c>
    </row>
    <row r="275" spans="2:13" s="459" customFormat="1" ht="27" thickBot="1">
      <c r="B275" s="768" t="s">
        <v>246</v>
      </c>
      <c r="C275" s="769"/>
      <c r="D275" s="622">
        <f>12-1</f>
        <v>11</v>
      </c>
      <c r="E275" s="622">
        <f>159-1-1</f>
        <v>157</v>
      </c>
      <c r="F275" s="622">
        <f>7+10-2-1-1-1+1</f>
        <v>13</v>
      </c>
      <c r="G275" s="622">
        <f>8+10-6-1-2-1</f>
        <v>8</v>
      </c>
      <c r="H275" s="622">
        <f>10-2-2-1</f>
        <v>5</v>
      </c>
      <c r="I275" s="622">
        <f>11-1-1-1</f>
        <v>8</v>
      </c>
      <c r="J275" s="622">
        <v>8</v>
      </c>
      <c r="K275" s="621">
        <v>0</v>
      </c>
      <c r="L275" s="707">
        <v>0</v>
      </c>
      <c r="M275" s="702">
        <f t="shared" si="11"/>
        <v>210</v>
      </c>
    </row>
    <row r="276" spans="2:13" s="459" customFormat="1" ht="27" thickBot="1">
      <c r="B276" s="770" t="s">
        <v>247</v>
      </c>
      <c r="C276" s="771"/>
      <c r="D276" s="567">
        <v>7</v>
      </c>
      <c r="E276" s="567">
        <v>20</v>
      </c>
      <c r="F276" s="567">
        <f>21+4</f>
        <v>25</v>
      </c>
      <c r="G276" s="567">
        <v>17</v>
      </c>
      <c r="H276" s="567">
        <v>37</v>
      </c>
      <c r="I276" s="567">
        <v>4</v>
      </c>
      <c r="J276" s="567">
        <f>18-5+1-1</f>
        <v>13</v>
      </c>
      <c r="K276" s="566">
        <v>0</v>
      </c>
      <c r="L276" s="568">
        <v>0</v>
      </c>
      <c r="M276" s="723">
        <f t="shared" si="11"/>
        <v>123</v>
      </c>
    </row>
    <row r="277" spans="2:13" s="459" customFormat="1" ht="27" thickBot="1">
      <c r="B277" s="770" t="s">
        <v>248</v>
      </c>
      <c r="C277" s="771"/>
      <c r="D277" s="567">
        <v>12</v>
      </c>
      <c r="E277" s="567">
        <f>2+15-1-15+7-7+10</f>
        <v>11</v>
      </c>
      <c r="F277" s="567">
        <f>9+15-1+40-50-1+8-8-1-1</f>
        <v>10</v>
      </c>
      <c r="G277" s="567">
        <v>8</v>
      </c>
      <c r="H277" s="567">
        <f>10+15-15+6-6</f>
        <v>10</v>
      </c>
      <c r="I277" s="567">
        <f>13-6</f>
        <v>7</v>
      </c>
      <c r="J277" s="567">
        <f>6-1</f>
        <v>5</v>
      </c>
      <c r="K277" s="566">
        <v>0</v>
      </c>
      <c r="L277" s="568">
        <v>0</v>
      </c>
      <c r="M277" s="723">
        <f t="shared" si="11"/>
        <v>63</v>
      </c>
    </row>
    <row r="278" spans="2:13" s="459" customFormat="1" ht="27" thickBot="1">
      <c r="B278" s="770" t="s">
        <v>249</v>
      </c>
      <c r="C278" s="771"/>
      <c r="D278" s="567">
        <v>17</v>
      </c>
      <c r="E278" s="567">
        <v>17</v>
      </c>
      <c r="F278" s="567">
        <f>15-1</f>
        <v>14</v>
      </c>
      <c r="G278" s="567">
        <v>20</v>
      </c>
      <c r="H278" s="567">
        <f>15-1</f>
        <v>14</v>
      </c>
      <c r="I278" s="567">
        <v>15</v>
      </c>
      <c r="J278" s="567">
        <f>7+2-2-5-1</f>
        <v>1</v>
      </c>
      <c r="K278" s="566">
        <v>0</v>
      </c>
      <c r="L278" s="568">
        <v>0</v>
      </c>
      <c r="M278" s="702">
        <f t="shared" si="11"/>
        <v>98</v>
      </c>
    </row>
    <row r="279" spans="2:13" s="459" customFormat="1" ht="27" thickBot="1">
      <c r="B279" s="768" t="s">
        <v>250</v>
      </c>
      <c r="C279" s="769"/>
      <c r="D279" s="622">
        <v>10</v>
      </c>
      <c r="E279" s="622">
        <f>16-1</f>
        <v>15</v>
      </c>
      <c r="F279" s="622">
        <f>18-1</f>
        <v>17</v>
      </c>
      <c r="G279" s="622">
        <f>8+10</f>
        <v>18</v>
      </c>
      <c r="H279" s="622">
        <f>6+15</f>
        <v>21</v>
      </c>
      <c r="I279" s="622">
        <v>4</v>
      </c>
      <c r="J279" s="622">
        <f>6+10-1</f>
        <v>15</v>
      </c>
      <c r="K279" s="621">
        <v>0</v>
      </c>
      <c r="L279" s="621">
        <v>0</v>
      </c>
      <c r="M279" s="702">
        <f t="shared" si="11"/>
        <v>100</v>
      </c>
    </row>
    <row r="280" spans="2:13" s="459" customFormat="1" ht="27" thickBot="1">
      <c r="B280" s="770" t="s">
        <v>251</v>
      </c>
      <c r="C280" s="771"/>
      <c r="D280" s="567">
        <v>9</v>
      </c>
      <c r="E280" s="567">
        <f>11-1-2-1</f>
        <v>7</v>
      </c>
      <c r="F280" s="567">
        <f>3+14-1-1-1-1-4</f>
        <v>9</v>
      </c>
      <c r="G280" s="567">
        <f>6+16-1-1-1-3</f>
        <v>16</v>
      </c>
      <c r="H280" s="567">
        <f>1+10</f>
        <v>11</v>
      </c>
      <c r="I280" s="567">
        <f>18-1</f>
        <v>17</v>
      </c>
      <c r="J280" s="567">
        <v>14</v>
      </c>
      <c r="K280" s="566">
        <v>0</v>
      </c>
      <c r="L280" s="566">
        <v>0</v>
      </c>
      <c r="M280" s="723">
        <f t="shared" si="11"/>
        <v>83</v>
      </c>
    </row>
    <row r="281" spans="2:13" s="459" customFormat="1" ht="32" thickBot="1">
      <c r="B281" s="727"/>
      <c r="C281" s="727"/>
      <c r="D281" s="679"/>
      <c r="E281" s="679"/>
      <c r="F281" s="679"/>
      <c r="G281" s="679"/>
      <c r="H281" s="679"/>
      <c r="I281" s="679"/>
      <c r="J281" s="679"/>
      <c r="K281" s="679"/>
      <c r="L281" s="679"/>
      <c r="M281" s="772">
        <f>SUM(M274:M278)</f>
        <v>589</v>
      </c>
    </row>
    <row r="282" spans="2:13" s="459" customFormat="1">
      <c r="B282" s="727"/>
      <c r="C282" s="727"/>
      <c r="D282" s="727"/>
      <c r="E282" s="727"/>
      <c r="F282" s="727"/>
      <c r="G282" s="727"/>
      <c r="H282" s="727"/>
      <c r="I282" s="727"/>
      <c r="J282" s="727"/>
      <c r="K282" s="727"/>
      <c r="L282" s="727"/>
      <c r="M282" s="727"/>
    </row>
  </sheetData>
  <mergeCells count="231">
    <mergeCell ref="B276:C276"/>
    <mergeCell ref="B277:C277"/>
    <mergeCell ref="B278:C278"/>
    <mergeCell ref="B279:C279"/>
    <mergeCell ref="B280:C280"/>
    <mergeCell ref="B265:C265"/>
    <mergeCell ref="B269:M271"/>
    <mergeCell ref="B272:M272"/>
    <mergeCell ref="B273:C273"/>
    <mergeCell ref="B274:C274"/>
    <mergeCell ref="B275:C275"/>
    <mergeCell ref="B256:C256"/>
    <mergeCell ref="B257:C257"/>
    <mergeCell ref="B258:C258"/>
    <mergeCell ref="B261:V261"/>
    <mergeCell ref="D262:L262"/>
    <mergeCell ref="M262:U262"/>
    <mergeCell ref="V262:V264"/>
    <mergeCell ref="B263:C264"/>
    <mergeCell ref="B250:C250"/>
    <mergeCell ref="D250:L250"/>
    <mergeCell ref="B251:C251"/>
    <mergeCell ref="D251:L251"/>
    <mergeCell ref="B254:M254"/>
    <mergeCell ref="B255:M255"/>
    <mergeCell ref="B247:C247"/>
    <mergeCell ref="D247:L247"/>
    <mergeCell ref="B248:C248"/>
    <mergeCell ref="D248:L248"/>
    <mergeCell ref="B249:C249"/>
    <mergeCell ref="D249:L249"/>
    <mergeCell ref="B244:C244"/>
    <mergeCell ref="D244:L244"/>
    <mergeCell ref="B245:C245"/>
    <mergeCell ref="D245:L245"/>
    <mergeCell ref="B246:C246"/>
    <mergeCell ref="D246:L246"/>
    <mergeCell ref="B241:C241"/>
    <mergeCell ref="D241:L241"/>
    <mergeCell ref="B242:C242"/>
    <mergeCell ref="D242:L242"/>
    <mergeCell ref="B243:C243"/>
    <mergeCell ref="D243:L243"/>
    <mergeCell ref="B237:M237"/>
    <mergeCell ref="B238:M238"/>
    <mergeCell ref="B239:C239"/>
    <mergeCell ref="D239:L239"/>
    <mergeCell ref="B240:C240"/>
    <mergeCell ref="D240:L240"/>
    <mergeCell ref="B229:M229"/>
    <mergeCell ref="B230:M230"/>
    <mergeCell ref="B231:C231"/>
    <mergeCell ref="B232:C232"/>
    <mergeCell ref="B233:C233"/>
    <mergeCell ref="B234:C234"/>
    <mergeCell ref="B218:C218"/>
    <mergeCell ref="B222:M222"/>
    <mergeCell ref="B223:M223"/>
    <mergeCell ref="B224:C224"/>
    <mergeCell ref="B225:C225"/>
    <mergeCell ref="B226:C226"/>
    <mergeCell ref="B209:C209"/>
    <mergeCell ref="B210:C210"/>
    <mergeCell ref="B214:M214"/>
    <mergeCell ref="B215:M215"/>
    <mergeCell ref="B216:C216"/>
    <mergeCell ref="B217:C217"/>
    <mergeCell ref="B200:C200"/>
    <mergeCell ref="B201:C201"/>
    <mergeCell ref="B205:M205"/>
    <mergeCell ref="B206:M206"/>
    <mergeCell ref="B207:C207"/>
    <mergeCell ref="B208:C208"/>
    <mergeCell ref="B191:C191"/>
    <mergeCell ref="B192:C192"/>
    <mergeCell ref="B193:C193"/>
    <mergeCell ref="B197:M197"/>
    <mergeCell ref="B198:M198"/>
    <mergeCell ref="B199:C199"/>
    <mergeCell ref="B175:C175"/>
    <mergeCell ref="B176:C176"/>
    <mergeCell ref="B177:C177"/>
    <mergeCell ref="B183:M186"/>
    <mergeCell ref="B189:M189"/>
    <mergeCell ref="B190:M190"/>
    <mergeCell ref="B166:C166"/>
    <mergeCell ref="B167:C167"/>
    <mergeCell ref="B168:C168"/>
    <mergeCell ref="B172:M172"/>
    <mergeCell ref="B173:M173"/>
    <mergeCell ref="B174:C174"/>
    <mergeCell ref="B160:M160"/>
    <mergeCell ref="B161:M161"/>
    <mergeCell ref="B162:C162"/>
    <mergeCell ref="B163:C163"/>
    <mergeCell ref="B164:C164"/>
    <mergeCell ref="B165:C165"/>
    <mergeCell ref="B151:C151"/>
    <mergeCell ref="B152:C152"/>
    <mergeCell ref="B153:C153"/>
    <mergeCell ref="B154:C154"/>
    <mergeCell ref="B155:C155"/>
    <mergeCell ref="B156:C156"/>
    <mergeCell ref="B142:C142"/>
    <mergeCell ref="B143:C143"/>
    <mergeCell ref="B144:C144"/>
    <mergeCell ref="B148:M148"/>
    <mergeCell ref="B149:M149"/>
    <mergeCell ref="B150:C150"/>
    <mergeCell ref="B136:M136"/>
    <mergeCell ref="B137:M137"/>
    <mergeCell ref="B138:C138"/>
    <mergeCell ref="B139:C139"/>
    <mergeCell ref="B140:C140"/>
    <mergeCell ref="B141:C141"/>
    <mergeCell ref="B127:C127"/>
    <mergeCell ref="B128:C128"/>
    <mergeCell ref="B129:C129"/>
    <mergeCell ref="B130:C130"/>
    <mergeCell ref="B131:C131"/>
    <mergeCell ref="B132:C132"/>
    <mergeCell ref="B117:M120"/>
    <mergeCell ref="B122:M122"/>
    <mergeCell ref="B123:M123"/>
    <mergeCell ref="B124:C124"/>
    <mergeCell ref="B125:C125"/>
    <mergeCell ref="B126:C126"/>
    <mergeCell ref="B106:C106"/>
    <mergeCell ref="B107:C107"/>
    <mergeCell ref="B108:C108"/>
    <mergeCell ref="B109:C109"/>
    <mergeCell ref="B111:C111"/>
    <mergeCell ref="B112:C112"/>
    <mergeCell ref="B100:C100"/>
    <mergeCell ref="B101:C101"/>
    <mergeCell ref="B102:C102"/>
    <mergeCell ref="B103:C103"/>
    <mergeCell ref="B104:C104"/>
    <mergeCell ref="B105:C105"/>
    <mergeCell ref="B89:H89"/>
    <mergeCell ref="B90:C91"/>
    <mergeCell ref="D90:I90"/>
    <mergeCell ref="B92:C92"/>
    <mergeCell ref="B96:V96"/>
    <mergeCell ref="D97:L97"/>
    <mergeCell ref="M97:U97"/>
    <mergeCell ref="V97:V99"/>
    <mergeCell ref="B98:C99"/>
    <mergeCell ref="B81:C81"/>
    <mergeCell ref="B83:H83"/>
    <mergeCell ref="B84:C85"/>
    <mergeCell ref="D84:H84"/>
    <mergeCell ref="B86:C86"/>
    <mergeCell ref="B87:C87"/>
    <mergeCell ref="B71:C71"/>
    <mergeCell ref="B73:H73"/>
    <mergeCell ref="B74:C75"/>
    <mergeCell ref="B76:C76"/>
    <mergeCell ref="B78:H78"/>
    <mergeCell ref="B79:C80"/>
    <mergeCell ref="D79:I79"/>
    <mergeCell ref="B64:C64"/>
    <mergeCell ref="K64:L64"/>
    <mergeCell ref="B65:C65"/>
    <mergeCell ref="K65:L65"/>
    <mergeCell ref="B68:H68"/>
    <mergeCell ref="B69:C70"/>
    <mergeCell ref="B57:C57"/>
    <mergeCell ref="O57:P57"/>
    <mergeCell ref="B61:H61"/>
    <mergeCell ref="K61:S61"/>
    <mergeCell ref="B62:C63"/>
    <mergeCell ref="D62:I62"/>
    <mergeCell ref="K62:L63"/>
    <mergeCell ref="M62:R62"/>
    <mergeCell ref="B53:C53"/>
    <mergeCell ref="B54:C54"/>
    <mergeCell ref="O54:X54"/>
    <mergeCell ref="B55:C55"/>
    <mergeCell ref="O55:P56"/>
    <mergeCell ref="R55:W55"/>
    <mergeCell ref="B56:C56"/>
    <mergeCell ref="B49:M49"/>
    <mergeCell ref="B50:C51"/>
    <mergeCell ref="D50:M50"/>
    <mergeCell ref="O50:P51"/>
    <mergeCell ref="B52:C52"/>
    <mergeCell ref="O52:P52"/>
    <mergeCell ref="B41:C41"/>
    <mergeCell ref="B42:C42"/>
    <mergeCell ref="B43:C43"/>
    <mergeCell ref="B44:C44"/>
    <mergeCell ref="B45:C45"/>
    <mergeCell ref="B46:C46"/>
    <mergeCell ref="B32:C32"/>
    <mergeCell ref="B36:V36"/>
    <mergeCell ref="D37:L37"/>
    <mergeCell ref="M37:U37"/>
    <mergeCell ref="B38:C39"/>
    <mergeCell ref="B40:C40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1:O1"/>
    <mergeCell ref="P1:V1"/>
    <mergeCell ref="B3:V3"/>
    <mergeCell ref="D5:L5"/>
    <mergeCell ref="M5:U5"/>
    <mergeCell ref="V5:V7"/>
    <mergeCell ref="B6:C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E61A3-56DF-6E4F-BCA6-67F281903AAA}">
  <dimension ref="B1:O124"/>
  <sheetViews>
    <sheetView tabSelected="1" workbookViewId="0">
      <selection activeCell="N5" sqref="N5"/>
    </sheetView>
  </sheetViews>
  <sheetFormatPr baseColWidth="10" defaultRowHeight="15"/>
  <cols>
    <col min="1" max="1" width="4.33203125" customWidth="1"/>
    <col min="2" max="2" width="26.6640625" customWidth="1"/>
  </cols>
  <sheetData>
    <row r="1" spans="2:14" ht="41">
      <c r="D1" s="773" t="s">
        <v>252</v>
      </c>
      <c r="E1" s="773"/>
      <c r="F1" s="773"/>
      <c r="G1" s="773"/>
      <c r="H1" s="773"/>
      <c r="I1" s="773"/>
      <c r="J1" s="773"/>
    </row>
    <row r="2" spans="2:14" ht="41">
      <c r="D2" s="774" t="s">
        <v>253</v>
      </c>
      <c r="E2" s="775"/>
      <c r="F2" s="775"/>
      <c r="G2" s="775"/>
      <c r="H2" s="775"/>
      <c r="I2" s="775"/>
      <c r="J2" s="773"/>
      <c r="M2" s="776"/>
    </row>
    <row r="3" spans="2:14" ht="37" thickBot="1">
      <c r="B3" s="777"/>
      <c r="C3" s="777"/>
      <c r="D3" s="777"/>
      <c r="E3" s="777"/>
      <c r="F3" s="777"/>
      <c r="G3" s="777"/>
      <c r="H3" s="777"/>
      <c r="I3" s="777"/>
      <c r="J3" s="777"/>
      <c r="K3" s="777"/>
      <c r="L3" s="777"/>
      <c r="M3" s="777"/>
      <c r="N3" s="776"/>
    </row>
    <row r="4" spans="2:14" ht="42" thickBot="1">
      <c r="B4" s="1"/>
      <c r="C4" s="778" t="s">
        <v>254</v>
      </c>
      <c r="D4" s="779"/>
      <c r="E4" s="779"/>
      <c r="F4" s="779"/>
      <c r="G4" s="779"/>
      <c r="H4" s="779"/>
      <c r="I4" s="779"/>
      <c r="J4" s="779"/>
      <c r="K4" s="780"/>
      <c r="L4" s="776"/>
    </row>
    <row r="5" spans="2:14" ht="16" thickBot="1">
      <c r="B5" s="1"/>
      <c r="C5" s="781" t="s">
        <v>48</v>
      </c>
      <c r="D5" s="782"/>
      <c r="E5" s="782"/>
      <c r="F5" s="782"/>
      <c r="G5" s="782"/>
      <c r="H5" s="782"/>
      <c r="I5" s="782"/>
      <c r="J5" s="782"/>
      <c r="K5" s="783"/>
      <c r="L5" s="1"/>
      <c r="M5" s="1"/>
    </row>
    <row r="6" spans="2:14" ht="22" thickBot="1">
      <c r="B6" s="784" t="s">
        <v>9</v>
      </c>
      <c r="C6" s="785" t="s">
        <v>10</v>
      </c>
      <c r="D6" s="786" t="s">
        <v>11</v>
      </c>
      <c r="E6" s="786" t="s">
        <v>12</v>
      </c>
      <c r="F6" s="786" t="s">
        <v>13</v>
      </c>
      <c r="G6" s="786" t="s">
        <v>14</v>
      </c>
      <c r="H6" s="786" t="s">
        <v>15</v>
      </c>
      <c r="I6" s="786" t="s">
        <v>16</v>
      </c>
      <c r="J6" s="786" t="s">
        <v>17</v>
      </c>
      <c r="K6" s="786" t="s">
        <v>18</v>
      </c>
      <c r="L6" s="160" t="s">
        <v>84</v>
      </c>
      <c r="M6" s="1"/>
    </row>
    <row r="7" spans="2:14" ht="18">
      <c r="B7" s="787" t="s">
        <v>222</v>
      </c>
      <c r="C7" s="788">
        <f>606-2-1-1-1-1-1-1-1-10+1-1-4-1-1+1-1-3-3-1-1-4-6-1-2-5-1-7-2-1-2-3-1-1-45-1-1-1-52-1-2-5-1-1-2-1</f>
        <v>424</v>
      </c>
      <c r="D7" s="788">
        <f>292-2-1-1-1-3-1-80-4-15-1-1-1-1-2-1-40-1-4-1-1-2-2-1-2-1-1-25-1-2-3-2-1-1-7-1-10-1-8-1+148-5-2-4-1-1-24-3-2-1-1-1-1-1-1-5+1+1-1-14-4-7+257-1-7-2-2-3-6-2-9-1-4-1-1-1+27-1-4-1-1-7-1-9-4-1-12-1-1-1-11-6-1-14-1-3-2-4-1-1-5-15-5-1-11-7-6-21-2-1-1-1-1-9-3-3-3-2-23-2-3-1-4-1-4-2-7-1-9-7-1-3-1-1-2-2-114+40+8-1-1-1-7-38</f>
        <v>0</v>
      </c>
      <c r="E7" s="788">
        <f>68-10-22-10+30-15-8-33</f>
        <v>0</v>
      </c>
      <c r="F7" s="788">
        <f>60-15-12+54-1-15-4-2</f>
        <v>65</v>
      </c>
      <c r="G7" s="788">
        <f>37-9-9+43-1-1-4-2</f>
        <v>54</v>
      </c>
      <c r="H7" s="788">
        <f>154+1-2-1-2-10-1-1-3-1-5-1+133-1-2-1-4-12-2-1-1-1-1-1-1-12-2-1-1-1-1-1-1-1-1-1-2-1-3-2-5-1-1-1-1-5-2-4-2-2-13-1-2-2-1-4-1-154+15-1-6-3</f>
        <v>5</v>
      </c>
      <c r="I7" s="788">
        <f>111-3-10-1-2-1-1+40-1-2-1-2-1-1-2-1-1-1-2-1-4-3-1-5-1-103+4+30</f>
        <v>34</v>
      </c>
      <c r="J7" s="788">
        <f>28-2-2-1-5-18+5-1+15</f>
        <v>19</v>
      </c>
      <c r="K7" s="788">
        <f>37+14+50-1-2-1-5-92+61-45</f>
        <v>16</v>
      </c>
      <c r="L7" s="789">
        <f t="shared" ref="L7:L12" si="0">SUM(C7:K7)</f>
        <v>617</v>
      </c>
      <c r="M7" s="1"/>
    </row>
    <row r="8" spans="2:14" ht="18">
      <c r="B8" s="787" t="s">
        <v>255</v>
      </c>
      <c r="C8" s="788">
        <f>50-1-17-6-1-1-2-1-1+50-2-1+5-1-1-1-1-2-1-1-1-4-1+29-2-2-1-1-1-10-2-1-1-1-1-1</f>
        <v>63</v>
      </c>
      <c r="D8" s="788">
        <f>150-50-1-2-2-20-10-1-2-2-1-3-1-1-1-1-1-1-3+79-2-2+5-5-1-4-2-3-3-20-1-1-2-6-1-1-1-1-2-22-1-2-1+78-4-1-4-2-2-2-2-3-5-1-1-2-1-1-10-1-2-16-8-10-1-2-2-2-1-2-1-2-3-1-1-1-1-1-1-1-20-2-2</f>
        <v>0</v>
      </c>
      <c r="E8" s="788">
        <f>199-96-3-5-1-1-5-4-26-10-1-2-2-5-2-2-1-5-3-1-1-3-3-2+2+152-20-2-2-1-1-1+13-1-1-1-8-1-3-1-1-2-2-1-9-2-1-1-1-1-1-30-3-1-6-1-1-6-12-3-2-8-1-6-1-36+159-6-1-1-6-2-1-1-1-4-1-2-4-1-2-1-1-1-3-1-1-2-8-2-50-28-28+120-2-1-1-2-1-1-1-4-1-2-1-1-4-1-2-1-1-1-1-2-1-6-1-1-80</f>
        <v>0</v>
      </c>
      <c r="F8" s="788">
        <f>200-97-2-6-8-9-10-5-2-1-5-5-5-1-1-1-2-5-2-1+152-30-1-1-1-3-1-1+11-3-1-1-1-4-2-1-1-1-2-1-2-2-1-1-1-1-1-21-30-1-5-1-1-2-2-5-1+155-1-4-3-1-1-1-8-1-1-1-8-35-2-1-1+2-5-1-3+99-2-1-4-2-1-4-6-1-2+99-1-2-2-5-46-18-1-2-30-1-1-1-10-1-1-1-11-1-1-2-1-1-1-2-1-1-8-1-1-1-15-8-1-5-45-69-10-6</f>
        <v>0</v>
      </c>
      <c r="G8" s="788">
        <f>100-50-8-3-4-10-1-1-1-2-2-2-2-1-1-3-2-1+100-1+7-1-1-2-1-1-4-2-2-2-1-1-1-2-1-1-20-10-2-1-5-2-1-1-3-16-1+80-3-1-1-1-1-1-2-2-5-5-1-2-1-4-3-3-2-10-1-22-8-1-10-1-1-1-1-4-3-1-1-2-1-1</f>
        <v>0</v>
      </c>
      <c r="H8" s="788">
        <f>50-24-1-1-1-5-1-1-1-1-1-1+50-1+5-1-1-1-4-1-20-1-1-1-1-1-1-1-1+29-1-1-1-2-3-1-1-1-10-4-10-1+7-1-1-1-1-1-1-1-1-2-20</f>
        <v>0</v>
      </c>
      <c r="I8" s="788">
        <f>30-11-1+18-1+1-1-1-20-1-1+18-1-4-1-1+26-15-1</f>
        <v>33</v>
      </c>
      <c r="J8" s="788">
        <f>20-2-1+10+2-1-10+19</f>
        <v>37</v>
      </c>
      <c r="K8" s="788">
        <f>20-1-1+10-2-1-10-1</f>
        <v>14</v>
      </c>
      <c r="L8" s="789">
        <f t="shared" si="0"/>
        <v>147</v>
      </c>
      <c r="M8" s="1"/>
    </row>
    <row r="9" spans="2:14" ht="18">
      <c r="B9" s="787" t="s">
        <v>223</v>
      </c>
      <c r="C9" s="790">
        <f>150-2-2-1-1-1-5-1-3-2-4-9-2-1+24-7+20-1-10-4+5-14+12+37-1-2+32-10-5+27-10-1-1-6-8-1-1-4-6-2+57-2-1-1-2-2-10-5-3</f>
        <v>210</v>
      </c>
      <c r="D9" s="790">
        <f>178-6-2-1-15-11-2-1-5-95-2-3-6-2-19-4-1-1+203-3-2-4-10-13-15-3-2+5-1-1-2-1+171-1+25-15-1+152-1-10-4+150-5-2-1-4-140-37-3-150-1-2+90+49-1-5-10-5+61-1-10-7-4+120-12-3-13-5-4-1-5-6-5-5-1-8-1-5-25-1-34-3-14-4-11-4-6-2-1-1-9-56-1-1-2-2-10-6-8-2-2+31-3-1-37-1-2-2-2-2-2-3--2-2-2-1-1-1-1-10-10-10-5-20-17-8-1-2-11-8-11</f>
        <v>129</v>
      </c>
      <c r="E9" s="790">
        <f>328+13-16-2-21-14-1-7-1-4-50-2-3-3-1-29-18-2-2-1-1+330-1-5+106-1-2-1-4+15-13-6-1-15-8-7+1+2-4-1-2-1-1-10-4-1-1-10-4-3-3+210-1-15-1-3-4-3-500-1-1-109-1+5+59+139-9-270-1-2+91-18-1-15-5-1+120+150+118+58-1-1-6-7-40-4-1-1-2-2-1-2-8-1-4-25-1-6-7-5-1-9-5-7-50-15-35-15-5-8-1-1-5-25-1-1-50-5-11-11-3-22-4-63-4-1-1-2-11+149-20-1-63-9-9-23-2-4-14-1-1+59-1-2-1-8-1-46+100-35-1-3-3-9-12-3-1-1-5-1-1-1-15-11+151-15+47-10-11-9-10-10-15-35-50-33</f>
        <v>0</v>
      </c>
      <c r="F9" s="790">
        <f>279+7-8-2-1-1-20-1-18-9-1-1-1-3-1-50-2-2-30-18-2-1-2+245-5+136+34-2-1-4+8-5-8-15-13-9+1-1-2-1-1-1-1-1+83-6-1-1+16-1-4-4-3+153-6-1-1-4-7-400-1-1-47+10+149-4-215-1-2+187-1-26-12-5-2-1-1+105-1-15-5-1-10-50-1-1-30-3-2-1-1-1-1-8-7-3-2-11-5-50-5-6-10-4-1-5-15-1-1-1-1-50-5-11-1-20-4-38-1-5-7-3-2-3-2+149-30-38-2-5-10-14-8-4-4-6-28+148-25-5-1-1-1-2-7-12-2-1-1-1-1-1-15+203-7-10-10-25-10-10-35-67-10-49-12-30</f>
        <v>0</v>
      </c>
      <c r="G9" s="790">
        <f>252+2-2-5-7-10-1-5-2-2-1-13-5-1-1+79+90-2+10-3-2-1-15-5-1-1-1-1+4-1-4-4-60-43+80-100-1-1-2+70-11-10-5-1+52-3-7-80-10-40-8-1-3-9-1-35-10-1-4-15-5-1-22-2-11-3-1-4-8-4-5-4-2-10+94-5-3-4+8-2-2-2-31-1-1-1-2-1-1-1-1-1-1-1-2-1-1-1-1-4-3-3-8-9-3-1-4+97-9-10-22-5-17-34</f>
        <v>0</v>
      </c>
      <c r="H9" s="790">
        <f>40+40+40+30+5+7-1-1-1-55-3-1-1-2-1-1+80-2+21-29-15-1-1-2+20+37-2-5+26-3-1-2-1-3-2-15-2-1-1-6-10-2-1-1-1-1-1+33-1-16-1-1-1-1-1-1-4-1-4-5</f>
        <v>164</v>
      </c>
      <c r="I9" s="790">
        <f>31+35+40+22+11+20-3-1-1-1-3-3-2-48-2-1-2-4-2-3-2-1-1-1-1-3-1+26-4-1-2-2-1-1-1-2-1-1-1-1-1-1-5-1</f>
        <v>73</v>
      </c>
      <c r="J9" s="790">
        <f>1+29+14+20-2-4-31-2-1-2-2-4-1-1-1</f>
        <v>13</v>
      </c>
      <c r="K9" s="790">
        <f>35-2-1-1-1-1</f>
        <v>29</v>
      </c>
      <c r="L9" s="789">
        <f t="shared" si="0"/>
        <v>618</v>
      </c>
      <c r="M9" s="1"/>
    </row>
    <row r="10" spans="2:14" ht="18">
      <c r="B10" s="787" t="s">
        <v>256</v>
      </c>
      <c r="C10" s="790">
        <f>99-8-1-5-5-1</f>
        <v>79</v>
      </c>
      <c r="D10" s="790">
        <f>157-20-1-1-1-12-16-5-8-1-2-6-1-3</f>
        <v>80</v>
      </c>
      <c r="E10" s="790">
        <f>118+123-100-1-1+100-100-1-5-44-28-5-2-1-6-6-8-12-1</f>
        <v>20</v>
      </c>
      <c r="F10" s="790">
        <f>248-100-2+148-148-1-1-1-15-1-37-40-1-5-2-2-1-1-1-2-1-2-12</f>
        <v>20</v>
      </c>
      <c r="G10" s="790">
        <f>135-100-15-1-12-7+49-12-4-17-16+15-1-1-1-3</f>
        <v>9</v>
      </c>
      <c r="H10" s="790">
        <f>67-5-14-10-1</f>
        <v>37</v>
      </c>
      <c r="I10" s="790">
        <f>41-1</f>
        <v>40</v>
      </c>
      <c r="J10" s="790">
        <v>10</v>
      </c>
      <c r="K10" s="790">
        <v>18</v>
      </c>
      <c r="L10" s="789">
        <f t="shared" si="0"/>
        <v>313</v>
      </c>
      <c r="M10" s="1"/>
    </row>
    <row r="11" spans="2:14" ht="18">
      <c r="B11" s="787" t="s">
        <v>46</v>
      </c>
      <c r="C11" s="790">
        <f>40+10+49+50+32+2-1-1-1-3-3-3-3-1-1-2-2-2-160+16-1+14-1-1+26-2-1-1-1-1-1-1</f>
        <v>45</v>
      </c>
      <c r="D11" s="790">
        <f>120+1-1-1-2-1-3-2-3-5-4-4-4-1+119-2-3-1-15-1-2-27-15-3-1-5-1-1-2-1-12-13-5-5-1-1-6-1-1-5-25-4-1-1-1-1-1-2-1-2-1-31-1-1-2-4+52-5</f>
        <v>47</v>
      </c>
      <c r="E11" s="790">
        <f>30+57+7+50+50+2-1-1-7-1-1-1-3-1-12-2-23-1-6-1-5-5-10-6-2+148-3+5+4-15-1-1-1-1-1-75-25-1-1-3-1-1-5-14-1-8-2-1-3-10-5-5-1-6-1-1-1-3-2-2-25-7-3-5-2-1-1-1-1-5-1-1-3-2-1-2-2+10-10+42+8-4-1-2-15-15-3-1-6-1-1-1+50+52-9</f>
        <v>93</v>
      </c>
      <c r="F11" s="790">
        <f>50+50+20+50+50+41+15+1+3-1-1-2-3-1-2-2-1-6-2-13-2-1-1-1-5-2+100-1-3-15-1-1-1-1-105-50-1-3-5-26-1-7-1-2-1-6-4-6-5-1-1-2-2-10-1-1-4-2-15-3-3-1-8-34+13-13+49-25-1-1-4-2-1-13-1-1+50+50-1-1-3</f>
        <v>95</v>
      </c>
      <c r="G11" s="790">
        <f>114-1-3-2+53-1-1-1+8-15-49-25-1-3-3-2-3-4-8-5-3-6-5-1-1-8-4-1-19+11-11+20-2-2-8-3-1+50+1+1-2</f>
        <v>54</v>
      </c>
      <c r="H11" s="790">
        <f>19-2-1+77+5+1-5-10-2-3-5-1-3-1-1-1-34-2-1-1-10-1-1-1-15+21-1</f>
        <v>21</v>
      </c>
      <c r="I11" s="790">
        <f>50+1-5-1-5-2-1-19-1-1-1-1-1-1+20</f>
        <v>32</v>
      </c>
      <c r="J11" s="790">
        <f>41-2-1-2-11</f>
        <v>25</v>
      </c>
      <c r="K11" s="790">
        <f>28-2</f>
        <v>26</v>
      </c>
      <c r="L11" s="789">
        <f t="shared" si="0"/>
        <v>438</v>
      </c>
      <c r="M11" s="1"/>
    </row>
    <row r="12" spans="2:14" ht="21">
      <c r="B12" s="787" t="s">
        <v>23</v>
      </c>
      <c r="C12" s="790">
        <f>12+19+1+1-21+9-19+1-1-2+17-4-1-1+3-1-3-1-4+20-1-4-1-1-1-1-1+15-12</f>
        <v>18</v>
      </c>
      <c r="D12" s="790">
        <f>32+6-2-1-1-1-2+51-51+53-51-1-16-1-10-2-1-1-1+14-15+1+86-2+1-1-1-1-10-58-8-1-5+45-4-8-7-1+5-1-1-16-12+5-5+15-12+39-14</f>
        <v>28</v>
      </c>
      <c r="E12" s="790">
        <f>92+2-2-2-1+107-107+153-150-3-1-1-3-1-1-1-34-2-15-1-3-1-1+117-100-2-5-1+2-1-1-33+100-6-8-17-2-2-1-5-15-10-4-1-3-24+22-24+15-10+68-13</f>
        <v>60</v>
      </c>
      <c r="F12" s="790">
        <f>50+21+9+7+2-1-3-2-1-1+142-141-40-2-1-47+8+14-15+1+15+137-2-2+3-1-1-1-1-74-3-1-1-1-13-1-1-1-8-16-1-1-1+50-1-1-10-5-20-2-6-1-12-1+5-1-11-8+15-12+72-12</f>
        <v>63</v>
      </c>
      <c r="G12" s="790">
        <f>35-1-2+56-54-5-15-14+1-1+63-1-1+2-1+15-28-1-1-1-8-1-1-2-2-1-1-1-3-3-8-15+20-2-1-5-12+30-7-3+14-6-3-1-5-1-1-2-1-1-1-1+15-12+43</f>
        <v>57</v>
      </c>
      <c r="H12" s="790">
        <f>74+1-1+20-17-1-3-1-6-5-1-3-2-43-2+3-13+15-5</f>
        <v>10</v>
      </c>
      <c r="I12" s="790">
        <f>23-7+8+18+2-1-1-1-4-1-1-3+13-1-1-2-16+7+9-6</f>
        <v>35</v>
      </c>
      <c r="J12" s="790">
        <f>18+15+5-1+2-3-14-1-9</f>
        <v>12</v>
      </c>
      <c r="K12" s="791">
        <f>40-1-1-1-1-4-1-1-2+47-47-1-1-2-1-1-1+31-1+1-5-1-1+19-1-1-1-61+20-2-7</f>
        <v>11</v>
      </c>
      <c r="L12" s="789">
        <f t="shared" si="0"/>
        <v>294</v>
      </c>
      <c r="M12" s="1" t="s">
        <v>1</v>
      </c>
    </row>
    <row r="13" spans="2:14" ht="21" hidden="1">
      <c r="B13" s="787" t="s">
        <v>257</v>
      </c>
      <c r="C13" s="792">
        <f>32+6-2-1-1-1-2+51-51+53-51-1-16-1-10-2-1-1-1+14-15+1+86-2+1-1-1-1-10-58-8-1</f>
        <v>5</v>
      </c>
      <c r="D13" s="107">
        <f t="shared" ref="D13:J13" si="1">40-1-1-1-1-4-1-1-2+47-47-1-1-2-1-1-1+31-1+1-5-1-1+19-1-1-1-61</f>
        <v>0</v>
      </c>
      <c r="E13" s="107">
        <f t="shared" si="1"/>
        <v>0</v>
      </c>
      <c r="F13" s="107">
        <f t="shared" si="1"/>
        <v>0</v>
      </c>
      <c r="G13" s="107">
        <f t="shared" si="1"/>
        <v>0</v>
      </c>
      <c r="H13" s="107">
        <f t="shared" si="1"/>
        <v>0</v>
      </c>
      <c r="I13" s="107">
        <f t="shared" si="1"/>
        <v>0</v>
      </c>
      <c r="J13" s="107">
        <f t="shared" si="1"/>
        <v>0</v>
      </c>
      <c r="K13" s="792">
        <v>14</v>
      </c>
      <c r="L13" s="789"/>
      <c r="M13" s="1"/>
    </row>
    <row r="14" spans="2:14" ht="18">
      <c r="B14" s="787" t="s">
        <v>94</v>
      </c>
      <c r="C14" s="790">
        <f>16-2+1-1-1-5-2-3-2+2-3+10+14-8-7-1-1+8-1+16-1-1-1-27+3</f>
        <v>3</v>
      </c>
      <c r="D14" s="790">
        <f>36-6+1-2-1-2-5-4-4-2-1-1-1-1-2+15-1-15-1+75-1-5+25-97+10-8-2+30-2-4+80-20-11-1-1-4-10-1-4-6-1-5-1-6-1-5-27</f>
        <v>0</v>
      </c>
      <c r="E14" s="790">
        <f>10+70-8-67-4-1+10-1-9+150-1-16-1-8-10-1-1-1-10-1-1-1-1-2-5-17-8-6-1-5</f>
        <v>53</v>
      </c>
      <c r="F14" s="790">
        <f>80+1-2-1-1-5+3-25-3-2-1-4-3-2-1-2-1-15-1-1+149-1-38+2-1-125+13-1-1-1-2-1-1-2-1-1+29-10+10+50-8-39-1-3-2+27-1-2-4-1+113-2-30-8-1-5-1-20-1-2-2-15-1-1-4-4-1-1-1-5-5-2</f>
        <v>48</v>
      </c>
      <c r="G14" s="790">
        <f>59+1-1-2-8+6-2-4-1-2+1-15-1-25-1-1-3+10+22-8-13-2-2-1-2-1+24-1+54-10-1-10-2-2-1-4-15-5</f>
        <v>31</v>
      </c>
      <c r="H14" s="790">
        <f>12+19+1+1-21+9-19-2+30-4+4+15-10-1-1</f>
        <v>33</v>
      </c>
      <c r="I14" s="790">
        <f>14+1-2-12-1+30-1-1+7-1</f>
        <v>34</v>
      </c>
      <c r="J14" s="790">
        <f>10+10-5-3</f>
        <v>12</v>
      </c>
      <c r="K14" s="790">
        <f>14-4+3</f>
        <v>13</v>
      </c>
      <c r="L14" s="789">
        <f>SUM(C14:K14)</f>
        <v>227</v>
      </c>
      <c r="M14" s="1"/>
    </row>
    <row r="15" spans="2:14" ht="18">
      <c r="B15" s="793" t="s">
        <v>258</v>
      </c>
      <c r="C15" s="790">
        <f>0+1+14-3</f>
        <v>12</v>
      </c>
      <c r="D15" s="790">
        <f>0+13-6</f>
        <v>7</v>
      </c>
      <c r="E15" s="790">
        <f>0+33-1-1-1-1</f>
        <v>29</v>
      </c>
      <c r="F15" s="790">
        <f>1+20</f>
        <v>21</v>
      </c>
      <c r="G15" s="790">
        <f>2+1</f>
        <v>3</v>
      </c>
      <c r="H15" s="790">
        <f>28-14-8</f>
        <v>6</v>
      </c>
      <c r="I15" s="790">
        <f>17+18-22-1</f>
        <v>12</v>
      </c>
      <c r="J15" s="790">
        <f>0+10</f>
        <v>10</v>
      </c>
      <c r="K15" s="790">
        <f>0+10</f>
        <v>10</v>
      </c>
      <c r="L15" s="789">
        <f>SUM(C15:K15)</f>
        <v>110</v>
      </c>
      <c r="M15" s="1"/>
    </row>
    <row r="16" spans="2:14" ht="18">
      <c r="B16" s="787" t="s">
        <v>25</v>
      </c>
      <c r="C16" s="790">
        <f>58-1-2-1+8-6+20-19-1-3-2-1-50+30-1-1-1-2-1-1-1</f>
        <v>22</v>
      </c>
      <c r="D16" s="790">
        <f>8+1-1-2-1-3+104-100-2-1+54-1-53-1+50-5-3-1-15+34-9-1-1-1-4-1-1-1-1-37-1-4+50-6-2-1-3-1-1-20+20-20+20-14-1-1-1-1-16</f>
        <v>2</v>
      </c>
      <c r="E16" s="790">
        <f>73+2+1-2-9-25-4-1-1-1-1-1-4-4-2-1-2-1-15-1-1+147+1-7-140-1+95-16+5-1-45-11-1-20-6+12-1+99-20+80-2-1-1-1-1-1-1-20</f>
        <v>142</v>
      </c>
      <c r="F16" s="790">
        <f>0+181-138-43+50-46+49-15-1+91-3+1-15-6-1-1-3-1-5-1-1-1-1-5-23-1-29-23+26-23+4-9-1-6+99-20-1-1-1+2+72+8-1-1-1-1-1-1</f>
        <v>152</v>
      </c>
      <c r="G16" s="790">
        <f>1+1-2+56-53-1+15-1-14-1-1+50-10-1+49+5-15-1-1-5-1-1-5-3-1-1-32-9-9-4-1-1+6-1+40-20+42-1-1-1-1-22</f>
        <v>44</v>
      </c>
      <c r="H16" s="790">
        <f>15+1-1-2-1+19-17+10-1-9+40-1-3-1-1-5-5-22-2-3-3+20-20-1+20-1-1-1</f>
        <v>24</v>
      </c>
      <c r="I16" s="790">
        <f>7+8-7-1+20-2-1-1-4-3-3-12-1</f>
        <v>0</v>
      </c>
      <c r="J16" s="790">
        <f>19-1-1-1+7-8</f>
        <v>15</v>
      </c>
      <c r="K16" s="790">
        <f>12-1-1-1-2+6+10</f>
        <v>23</v>
      </c>
      <c r="L16" s="789">
        <f>SUM(C16:K16)</f>
        <v>424</v>
      </c>
      <c r="M16" s="1"/>
    </row>
    <row r="17" spans="2:13" ht="18">
      <c r="B17" s="794"/>
      <c r="C17" s="794"/>
      <c r="D17" s="794"/>
      <c r="E17" s="794"/>
      <c r="F17" s="794"/>
      <c r="G17" s="794"/>
      <c r="H17" s="794"/>
      <c r="I17" s="794"/>
      <c r="J17" s="794"/>
      <c r="K17" s="794"/>
      <c r="L17" s="795">
        <f>SUM(L7:L16)</f>
        <v>3188</v>
      </c>
      <c r="M17" s="1"/>
    </row>
    <row r="18" spans="2:13" ht="16" thickBot="1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42" thickBot="1">
      <c r="B19" s="1"/>
      <c r="C19" s="778" t="s">
        <v>259</v>
      </c>
      <c r="D19" s="779"/>
      <c r="E19" s="779"/>
      <c r="F19" s="779"/>
      <c r="G19" s="779"/>
      <c r="H19" s="779"/>
      <c r="I19" s="779"/>
      <c r="J19" s="779"/>
      <c r="K19" s="780"/>
    </row>
    <row r="20" spans="2:13" ht="16" thickBot="1">
      <c r="B20" s="1"/>
      <c r="C20" s="781" t="s">
        <v>48</v>
      </c>
      <c r="D20" s="782"/>
      <c r="E20" s="782"/>
      <c r="F20" s="782"/>
      <c r="G20" s="782"/>
      <c r="H20" s="782"/>
      <c r="I20" s="782"/>
      <c r="J20" s="782"/>
      <c r="K20" s="783"/>
      <c r="L20" s="1"/>
      <c r="M20" s="1"/>
    </row>
    <row r="21" spans="2:13" ht="21">
      <c r="B21" s="784" t="s">
        <v>9</v>
      </c>
      <c r="C21" s="796" t="s">
        <v>10</v>
      </c>
      <c r="D21" s="797" t="s">
        <v>11</v>
      </c>
      <c r="E21" s="797" t="s">
        <v>12</v>
      </c>
      <c r="F21" s="797" t="s">
        <v>13</v>
      </c>
      <c r="G21" s="797" t="s">
        <v>14</v>
      </c>
      <c r="H21" s="797" t="s">
        <v>15</v>
      </c>
      <c r="I21" s="797" t="s">
        <v>16</v>
      </c>
      <c r="J21" s="797" t="s">
        <v>17</v>
      </c>
      <c r="K21" s="797" t="s">
        <v>18</v>
      </c>
      <c r="L21" s="160" t="s">
        <v>84</v>
      </c>
      <c r="M21" s="1"/>
    </row>
    <row r="22" spans="2:13" ht="18">
      <c r="B22" s="787" t="s">
        <v>19</v>
      </c>
      <c r="C22" s="790">
        <f>8-1-6+2-2+100-6-1-1-6-1-16-16-1-1-2-1-5-1-1+68-1-1-1-1-1-4-1-1-1-2-1-2</f>
        <v>93</v>
      </c>
      <c r="D22" s="790">
        <f>3+2-1-1-2-1+250-1-3+1-6-4-3-6-8-1-1-6-1-6-1-1-1-4-12-90-1-90-1-1-1-1-1+5-5+43-1-9-10-1+85-1-1-1-4-14-1-1-2-4-3-16-3-1-1-13-1-1+59+50</f>
        <v>148</v>
      </c>
      <c r="E22" s="790">
        <f>1+13+58+45-3-1-14-1-1-6-1-2-4-2-6+242-1-6-1-1-1+5-8-4-1+1-1-20-1-32-1-5-1-1-1-6-1-1-8-10-1-1-5-130-1-74+5-5+84-1-5-3-11-1+100-3-1-4-1-6-25-23-2-2-1-10-6-3-1-2-4-41-3-5-15-5+102-5+102</f>
        <v>199</v>
      </c>
      <c r="F22" s="790">
        <f>7+42-1-4-2-4-4+299-5-1+5-5-6-2-1-20-28-6-1-6-1-1-6-1-1-6-6---47-11-65-112+5-3-1+83-5-9-4-1+48-3-2-1-4-1-1-25-22-1-8-6-30-9+99+98</f>
        <v>197</v>
      </c>
      <c r="G22" s="790">
        <f>14-2-2-3-1-2+83-2-2+5-1-7-22-2-1-1-1-6-1-1-2-3-2-33-1-4+5-2-2-1+50+52-1-1-3-4-1-3--2-2-10-1-22-1-1-18-2-6-28+20-1+51-1</f>
        <v>69</v>
      </c>
      <c r="H22" s="790">
        <f>1+56-5-1-1-1-1-1-4-1+43-2-53-1-1-1-1-1-2-1-10-1-1-8-1+30+21</f>
        <v>52</v>
      </c>
      <c r="I22" s="790">
        <f>37+1-3-1-1-1-2-1-15+7-1-1-6-2-3-1-1-2+20</f>
        <v>24</v>
      </c>
      <c r="J22" s="790">
        <f>18-2+20-4-1</f>
        <v>31</v>
      </c>
      <c r="K22" s="790">
        <f>21-1-1-4-1-6</f>
        <v>8</v>
      </c>
      <c r="L22" s="792">
        <f t="shared" ref="L22:L32" si="2">SUM(C22:K22)</f>
        <v>821</v>
      </c>
      <c r="M22" s="1"/>
    </row>
    <row r="23" spans="2:13" ht="21">
      <c r="B23" s="787" t="s">
        <v>20</v>
      </c>
      <c r="C23" s="791">
        <f>40-1-1-1-1-4-1-1-2+47-47-1-1-2-1-1-1+31-1+1-5-1-1+19-1-1-1-61+2-1-1</f>
        <v>0</v>
      </c>
      <c r="D23" s="791">
        <f>40-1-1-1-1-4-1-1-2+47-47-1-1-2-1-1-1+31-1+1-5-1-1+19-1-1-1-61</f>
        <v>0</v>
      </c>
      <c r="E23" s="790">
        <f>40+28+34+13+79+50+30+1-1-6-1-1-2-1-1-1-1-27-23-1-9-124-3-2-1-2-8-60+50-50+22-1-3-1-17+98</f>
        <v>98</v>
      </c>
      <c r="F23" s="790">
        <f>50+50+1+50+15+50+4+150+30+50+35+2+4-20-1-1+1-1-1-35-1-1-4-2-1-63-2-6-71-38-1-6-6-19-12-11-43-12-10-18-41+200-200-10-52-1+1-1-1-1+99</f>
        <v>99</v>
      </c>
      <c r="G23" s="790">
        <f>19+5+1+43+2+1-4-24-1-41-1+50-50+69-1-1-67</f>
        <v>0</v>
      </c>
      <c r="H23" s="790">
        <f>12+8+45+100+1-2-15-2-1-33-2-3-2-30+30-30+59-1</f>
        <v>134</v>
      </c>
      <c r="I23" s="790">
        <f>6+30+1+40+54+1-2-18-1-16-1-1-1-1+31-31+44-3</f>
        <v>132</v>
      </c>
      <c r="J23" s="790">
        <f>19-10-4+15-1</f>
        <v>19</v>
      </c>
      <c r="K23" s="790">
        <f>11+18-1+6+22</f>
        <v>56</v>
      </c>
      <c r="L23" s="792">
        <f t="shared" si="2"/>
        <v>538</v>
      </c>
      <c r="M23" s="1"/>
    </row>
    <row r="24" spans="2:13" ht="21">
      <c r="B24" s="787" t="s">
        <v>260</v>
      </c>
      <c r="C24" s="791">
        <f>61-1-1-2+51-1</f>
        <v>107</v>
      </c>
      <c r="D24" s="790">
        <f>51+30+70+87+20+3-3+1-3-1-7-3-1-10-3-2+12-1-4-1-75-75-20-3-5-4-10-3-7-1-15-6-3-1-5</f>
        <v>2</v>
      </c>
      <c r="E24" s="791">
        <f>171-3-26-4-2-136+50-10+84-2-1-1-10-5-75-30</f>
        <v>0</v>
      </c>
      <c r="F24" s="791">
        <f>6-2-4+200-19+1-8-4-75-35-10-7-2-5-15-12-1-7-1</f>
        <v>0</v>
      </c>
      <c r="G24" s="791">
        <f>1-1+50-4-13+2-4-9-22</f>
        <v>0</v>
      </c>
      <c r="H24" s="791">
        <f>16-2-3+30-1-1-1-3-5</f>
        <v>30</v>
      </c>
      <c r="I24" s="791">
        <f>-1+31+2+1-2</f>
        <v>31</v>
      </c>
      <c r="J24" s="791">
        <f>1+1+18+22</f>
        <v>42</v>
      </c>
      <c r="K24" s="791">
        <f>1+18</f>
        <v>19</v>
      </c>
      <c r="L24" s="798">
        <f t="shared" si="2"/>
        <v>231</v>
      </c>
      <c r="M24" s="1"/>
    </row>
    <row r="25" spans="2:13" ht="21">
      <c r="B25" s="787" t="s">
        <v>261</v>
      </c>
      <c r="C25" s="790">
        <f>49-1-1-3-1-1-1+30-1+1-35-1-1</f>
        <v>34</v>
      </c>
      <c r="D25" s="791">
        <f>40-1-1-1-1-4-1-1-2+47-47-1-1-2-1-1-1+31-1+1-5-1-1+19-1-1-1-61+84+20+7-1-5-34-19-1-2-49</f>
        <v>0</v>
      </c>
      <c r="E25" s="791">
        <f>40-1-1-1-1-4-1-1-2+47-47-1-1-2-1-1-1+31-1+1-5-1-1+19-1-1-1-61+5-1-3+4-2-3</f>
        <v>0</v>
      </c>
      <c r="F25" s="791">
        <f>40-1-1-1-1-4-1-1-2+47-47-1-1-2-1-1-1+31-1+1-5-1-1+19-1-1-1-61+2-1-1</f>
        <v>0</v>
      </c>
      <c r="G25" s="790">
        <f>52+60+35+1+3-2-2-3-3-33-5-1-5-5-5+10-11+25-3-20-15-5-68</f>
        <v>0</v>
      </c>
      <c r="H25" s="790">
        <f>78+1-12-1-1-12-53</f>
        <v>0</v>
      </c>
      <c r="I25" s="790">
        <f>5+12+20+2-4-4-1-21-1</f>
        <v>8</v>
      </c>
      <c r="J25" s="790">
        <f>7+13</f>
        <v>20</v>
      </c>
      <c r="K25" s="790">
        <f>20-10</f>
        <v>10</v>
      </c>
      <c r="L25" s="792">
        <f t="shared" si="2"/>
        <v>72</v>
      </c>
      <c r="M25" s="1"/>
    </row>
    <row r="26" spans="2:13" ht="21">
      <c r="B26" s="787" t="s">
        <v>262</v>
      </c>
      <c r="C26" s="790"/>
      <c r="D26" s="791">
        <v>60</v>
      </c>
      <c r="E26" s="791">
        <v>120</v>
      </c>
      <c r="F26" s="791">
        <v>30</v>
      </c>
      <c r="G26" s="790"/>
      <c r="H26" s="790"/>
      <c r="I26" s="790"/>
      <c r="J26" s="790"/>
      <c r="K26" s="790"/>
      <c r="L26" s="792"/>
      <c r="M26" s="1"/>
    </row>
    <row r="27" spans="2:13" ht="18">
      <c r="B27" s="787" t="s">
        <v>23</v>
      </c>
      <c r="C27" s="790">
        <f>20+1-2-1-3-3-1-1-1-1-1-1-1-1</f>
        <v>4</v>
      </c>
      <c r="D27" s="790">
        <f>67+2-50-1-1-1-3+1-3-1-1-1-6-2+80-1-1-1-1-44-20-5-1</f>
        <v>6</v>
      </c>
      <c r="E27" s="790">
        <f>112-60-2-1-3-1-1-1-1-3-1-8-6-6-2-2-2-1-2-1-4-1-3+67-1-2-1-63</f>
        <v>0</v>
      </c>
      <c r="F27" s="790">
        <f>111-50-2-1-1-3-1-3-1-1-2-6-6-6-1-1+60-1-1-1-75-8</f>
        <v>0</v>
      </c>
      <c r="G27" s="790">
        <f>78-50-1-5-5-1-1-3-4+56-1-63</f>
        <v>0</v>
      </c>
      <c r="H27" s="790">
        <f>19+10-2+1-1-10-1</f>
        <v>16</v>
      </c>
      <c r="I27" s="790">
        <f>30-14</f>
        <v>16</v>
      </c>
      <c r="J27" s="790">
        <f>28+1-2</f>
        <v>27</v>
      </c>
      <c r="K27" s="790">
        <f>19-1-9</f>
        <v>9</v>
      </c>
      <c r="L27" s="792">
        <f t="shared" si="2"/>
        <v>78</v>
      </c>
      <c r="M27" s="1"/>
    </row>
    <row r="28" spans="2:13" ht="18" hidden="1">
      <c r="B28" s="32" t="s">
        <v>263</v>
      </c>
      <c r="C28" s="792"/>
      <c r="D28" s="792"/>
      <c r="E28" s="792"/>
      <c r="F28" s="792"/>
      <c r="G28" s="792"/>
      <c r="H28" s="792"/>
      <c r="I28" s="792"/>
      <c r="J28" s="792"/>
      <c r="K28" s="792"/>
      <c r="L28" s="792">
        <f t="shared" si="2"/>
        <v>0</v>
      </c>
      <c r="M28" s="1"/>
    </row>
    <row r="29" spans="2:13" ht="18">
      <c r="B29" s="32" t="s">
        <v>94</v>
      </c>
      <c r="C29" s="790">
        <f>5+1-1-1-1-1-1+20-1-1-1-1-2-3</f>
        <v>12</v>
      </c>
      <c r="D29" s="790">
        <f>18+13-1-1-2-4-1-1-1+30-2-2-1-2-1-1-1-1-1-1+102-100-1</f>
        <v>38</v>
      </c>
      <c r="E29" s="790">
        <f>21+13-1-1-1-10-2-6-1-1-2+80-1-2-2-6-1-2-1-1-1-1-1-1-1-1-1+152-150</f>
        <v>68</v>
      </c>
      <c r="F29" s="790">
        <f>19+2+50-1-1-1+30-14-1-2-54-1-1-1+77-77</f>
        <v>24</v>
      </c>
      <c r="G29" s="790">
        <f>15+5+26-1-1-1+20-6-3-1+4-54</f>
        <v>3</v>
      </c>
      <c r="H29" s="790">
        <f>21+25-1-3</f>
        <v>42</v>
      </c>
      <c r="I29" s="790">
        <f>5+11-1</f>
        <v>15</v>
      </c>
      <c r="J29" s="790">
        <f>0+11</f>
        <v>11</v>
      </c>
      <c r="K29" s="790">
        <f>0+11</f>
        <v>11</v>
      </c>
      <c r="L29" s="792">
        <f t="shared" si="2"/>
        <v>224</v>
      </c>
      <c r="M29" s="1"/>
    </row>
    <row r="30" spans="2:13" ht="18" hidden="1">
      <c r="B30" s="799" t="s">
        <v>264</v>
      </c>
      <c r="C30" s="792"/>
      <c r="D30" s="792"/>
      <c r="E30" s="792"/>
      <c r="F30" s="792"/>
      <c r="G30" s="792"/>
      <c r="H30" s="792"/>
      <c r="I30" s="792"/>
      <c r="J30" s="792"/>
      <c r="K30" s="792"/>
      <c r="L30" s="792">
        <f t="shared" si="2"/>
        <v>0</v>
      </c>
      <c r="M30" s="1"/>
    </row>
    <row r="31" spans="2:13" ht="18">
      <c r="B31" s="800" t="s">
        <v>265</v>
      </c>
      <c r="C31" s="790">
        <f>3-3</f>
        <v>0</v>
      </c>
      <c r="D31" s="790">
        <f>27-2-5</f>
        <v>20</v>
      </c>
      <c r="E31" s="790">
        <f>15-2-3</f>
        <v>10</v>
      </c>
      <c r="F31" s="790">
        <f>6-1-3</f>
        <v>2</v>
      </c>
      <c r="G31" s="790">
        <f>12+7</f>
        <v>19</v>
      </c>
      <c r="H31" s="790">
        <f>12-1</f>
        <v>11</v>
      </c>
      <c r="I31" s="790">
        <f>0</f>
        <v>0</v>
      </c>
      <c r="J31" s="790">
        <f>18-10</f>
        <v>8</v>
      </c>
      <c r="K31" s="790">
        <f>18-10</f>
        <v>8</v>
      </c>
      <c r="L31" s="792">
        <f t="shared" si="2"/>
        <v>78</v>
      </c>
      <c r="M31" s="1"/>
    </row>
    <row r="32" spans="2:13" ht="18">
      <c r="B32" s="787" t="s">
        <v>25</v>
      </c>
      <c r="C32" s="790">
        <f>30-15-1-2+63-1-1-1</f>
        <v>72</v>
      </c>
      <c r="D32" s="790">
        <f>82+16+1-2-4-70-11-1-3-1-1-1-3+45+5-1-1-6-2</f>
        <v>42</v>
      </c>
      <c r="E32" s="790">
        <f>50+47+50+1-2-1-90-50-1+1-3-1+1-2+47-2+3-1-14-3+2-1-1-1-1</f>
        <v>28</v>
      </c>
      <c r="F32" s="790">
        <f>62+42+50+60-1-25-1-55-132+44-6+7-1-11-10+5-1-1</f>
        <v>26</v>
      </c>
      <c r="G32" s="790">
        <f>63+2-15-1-50+51-1-2-1-2-10-2-7-1</f>
        <v>24</v>
      </c>
      <c r="H32" s="790">
        <f>81-6-1-1+9</f>
        <v>82</v>
      </c>
      <c r="I32" s="790">
        <f>16-1+31</f>
        <v>46</v>
      </c>
      <c r="J32" s="790">
        <f>6+21+5</f>
        <v>32</v>
      </c>
      <c r="K32" s="790">
        <f>21+16</f>
        <v>37</v>
      </c>
      <c r="L32" s="792">
        <f t="shared" si="2"/>
        <v>389</v>
      </c>
      <c r="M32" s="1"/>
    </row>
    <row r="33" spans="2:15" ht="18">
      <c r="B33" s="794"/>
      <c r="C33" s="794"/>
      <c r="D33" s="794"/>
      <c r="E33" s="794"/>
      <c r="F33" s="794"/>
      <c r="G33" s="794"/>
      <c r="H33" s="794"/>
      <c r="I33" s="794"/>
      <c r="J33" s="794"/>
      <c r="K33" s="794"/>
      <c r="L33" s="795">
        <f>SUM(L22:L32)</f>
        <v>2431</v>
      </c>
      <c r="M33" s="801"/>
    </row>
    <row r="34" spans="2:15" ht="42" thickBo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02"/>
    </row>
    <row r="35" spans="2:15" ht="42" thickBot="1">
      <c r="B35" s="778" t="s">
        <v>266</v>
      </c>
      <c r="C35" s="779"/>
      <c r="D35" s="779"/>
      <c r="E35" s="779"/>
      <c r="F35" s="779"/>
      <c r="G35" s="779"/>
      <c r="H35" s="779"/>
      <c r="I35" s="779"/>
      <c r="J35" s="779"/>
      <c r="K35" s="780"/>
    </row>
    <row r="36" spans="2:15" ht="16" thickBot="1">
      <c r="B36" s="1"/>
      <c r="C36" s="781" t="s">
        <v>48</v>
      </c>
      <c r="D36" s="782"/>
      <c r="E36" s="782"/>
      <c r="F36" s="782"/>
      <c r="G36" s="782"/>
      <c r="H36" s="782"/>
      <c r="I36" s="782"/>
      <c r="J36" s="782"/>
      <c r="K36" s="783"/>
      <c r="L36" s="1"/>
      <c r="M36" s="1"/>
    </row>
    <row r="37" spans="2:15" ht="22" thickBot="1">
      <c r="B37" s="784" t="s">
        <v>9</v>
      </c>
      <c r="C37" s="785" t="s">
        <v>10</v>
      </c>
      <c r="D37" s="786" t="s">
        <v>11</v>
      </c>
      <c r="E37" s="786" t="s">
        <v>12</v>
      </c>
      <c r="F37" s="786" t="s">
        <v>13</v>
      </c>
      <c r="G37" s="786" t="s">
        <v>14</v>
      </c>
      <c r="H37" s="786" t="s">
        <v>15</v>
      </c>
      <c r="I37" s="786" t="s">
        <v>16</v>
      </c>
      <c r="J37" s="786" t="s">
        <v>17</v>
      </c>
      <c r="K37" s="786" t="s">
        <v>18</v>
      </c>
      <c r="L37" s="160" t="s">
        <v>84</v>
      </c>
      <c r="M37" s="1"/>
    </row>
    <row r="38" spans="2:15" ht="21">
      <c r="B38" s="787" t="s">
        <v>19</v>
      </c>
      <c r="C38" s="791">
        <f>40-1-1-1-1-4-1-1-2+47-47-1-1-2-1-1-1+31-1+1-5-1-1+19-1-1-1-61+49-15-1-20-13+150-6-1+5+120-5-1-4-4-1+15-1-15-1-1-2-2-7-1</f>
        <v>238</v>
      </c>
      <c r="D38" s="791">
        <f>98+69-9-1-46-2-1-1-1-2-10-1-2-16-55+212-3-10-4-1-4-5-9-10+25-5-3-1-33-67-1-9+150-1+51-4-23-19-32-1-2-3-1-18-4-4+81-27+140+20-2-11+30-1-3+39-1-2-1-3+5-1-4+71-2-10-2-7-7-106-3+13-2-2-1-1-2-1-3-4-10-8-4</f>
        <v>349</v>
      </c>
      <c r="E38" s="791">
        <f>144-1-11-8-1-1-2-60-5+34-6-2-1-3-1-3-1-6-1+156+79-26-25-100+63-17-2-6-3-28-15-3-1-25-53-1-2-1-3-52+91-5-24-1-9-17+219-1-2-5-76-3+200+99-1-2-11-32-1+172-1-7-2-1-24-2-1+46-1-1-1-2-1-1-10-1-2-1-2-2-1-2-20-20-1-120-2+6-4-1-2-5-1-2-1-2-2-1-3+1-1-1-5-3-6-10-5-8-12-10-6</f>
        <v>324</v>
      </c>
      <c r="F38" s="791">
        <f>137-16-3-7-1-2-3-48-6-11-1-3-1-1+163+200-41-8-18-85-20-1-2-11-13-3-1-37-27-130+137+30-2-1-23-12-16+332-2-2-1-77-8+178+76-1-1-32-2+201-1-1+25-3-3-1-12-15-1-2-1-1-1-1-1-1+2-1-4-1-20-20-1-66-10-1-1-1-8-6-5-3+1-4-2-10-25-10-2-1-1-10-2</f>
        <v>542</v>
      </c>
      <c r="G38" s="791">
        <f>40-1-1-1-1-4-1-1-2+47-47-1-1-2-1-1-1+31-1+1-5-1-1+19-1-1-1-61+78-24-5-1-8-13-17-10+60-2-23-15-1-1-1-11-2-1-1+16-1-17+199-3-3-2-3-11+105-2-1-1-1-36-8-14-2-1-10-5-1-1+16-1-1-1-4-1-10-10-23-1-1-2+1-4-3-1-2-1-3-2-10-7</f>
        <v>128</v>
      </c>
      <c r="H38" s="791">
        <f>40-1-1-1-1-4-1-1-2+47-47-1-1-2-1-1-1+31-1+1-5-1-1+19-1-1-1-61+44-11-2-10+32-9-2-7-2-3-2-1-7-3-2-1-5-3-2-1-3+50-1-1+138-1-1-7-6+52-8-1+26-3-2-2-3-1-1-10-1</f>
        <v>217</v>
      </c>
      <c r="I38" s="791">
        <f>40-1-1-1-1-4-1-1-2+47-47-1-1-2-1-1-1+31-1+1-5-1-1+19-1-1-1-61+40-2+30-1-1-62-2-2+127-3-3+52-2-1-1-8+6-1-1-4-10-1</f>
        <v>150</v>
      </c>
      <c r="J38" s="791">
        <f>40-1-1-1-1-4-1-1-2+47-47-1-1-2-1-1-1+31-1+1-5-1-1+19-1-1-1-61+13-3+10-1-6+1-3-1</f>
        <v>10</v>
      </c>
      <c r="K38" s="791">
        <f>40-1-1-1-1-4-1-1-2+47-47-1-1-2-1-1-1+31-1+1-5-1-1+19-1-1-1-61+11-1-2+10+2+20+2-8</f>
        <v>34</v>
      </c>
      <c r="L38" s="789">
        <f>SUM(C38:K38)</f>
        <v>1992</v>
      </c>
      <c r="M38" s="1"/>
    </row>
    <row r="39" spans="2:15" ht="21">
      <c r="B39" s="787" t="s">
        <v>20</v>
      </c>
      <c r="C39" s="791">
        <f>40-1-1-1-1-4-1-1-2+47-47-1-1-2-1-1-1+31-1+1-5-1-1+19-1-1-1-61+99-33-60-1-1-4+332-1-1-1-16-1+1</f>
        <v>313</v>
      </c>
      <c r="D39" s="791">
        <f>40-1-1-1-1-4-1-1-2+47-47-1-1-2-1-1-1+31-1+1-5-1-1+19-1-1-1-61+99-1-50-1-1-1-42-3+89-2-3-6-78+93-2+42-4-9-14-1-7-1-3-1-1-5-1-1-1-1+680-3-1-13-25-10+3+1-1-8-1-5-3-10-1-1-30-14+2-1-11+1-9-1-1-15-1</f>
        <v>605</v>
      </c>
      <c r="E39" s="791">
        <f>40-1-1-1-1-4-1-1-2+47-47-1-1-2-1-1-1+31-1+1-5-1-1+19-1-1-1-61+48+167-167-48+192-8-22-6-156+267+95-17-17-1+42-4-17-42-1-56-8-2-4-1+356-22-9-1-12+3-1-1+151-9-5-6-1-60-12-1+6+24-2-1-1-13-1-1-1-10-1-1-1-1-53-36+3-1-13-1-1-1-1-4-11-4-1-5-10</f>
        <v>461</v>
      </c>
      <c r="F39" s="791">
        <f>76+48-8-1-3-1-5-2-1-1-1-1-1-1-6-1-1-1-44-1+70-110+9-1+18-3-7-2</f>
        <v>18</v>
      </c>
      <c r="G39" s="791">
        <f>40-1-1-1-1-4-1-1-2+47-47-1-1-2-1-1-1+31-1+1-5-1-1+19-1-1-1-61+179-148-2-2-10-9-8+171-11-160+21-1-1+20-2-10-1-2-3-2-1-18+56-56+53+75-1+61-6-3-1-6+50+2+74+147+10-6-3-11-1-2-17-92-1-3-1-2-1-10</f>
        <v>305</v>
      </c>
      <c r="H39" s="791">
        <f>40-4-1-2+10-16-2-1-1-1-1-3+60-1+59-4-1+40-5-4-1-1-12-63-1-7</f>
        <v>77</v>
      </c>
      <c r="I39" s="791">
        <f>40-1-1-1-1-4-1-1-2+47-47-1-1-2-1-1-1+31-1+1-5-1-1+19-1-1-1-61+34-34+46+38-5-5-14+1-1-2-7</f>
        <v>51</v>
      </c>
      <c r="J39" s="791">
        <f>40-1-1-1-1-4-1-1-2+47-47-1-1-2-1-1-1+31-1+1-5-1-1+19-1-1-1-61+2-2+6+45-4-6</f>
        <v>41</v>
      </c>
      <c r="K39" s="791">
        <f>40-1-1-1-1-4-1-1-2+47-47-1-1-2-1-1-1+31-1+1-5-1-1+19-1-1-1-61+33-16+6+15-1-2-3-5</f>
        <v>27</v>
      </c>
      <c r="L39" s="789">
        <f>SUM(C39:K39)</f>
        <v>1898</v>
      </c>
      <c r="M39" s="1"/>
    </row>
    <row r="40" spans="2:15" ht="21">
      <c r="B40" s="787" t="s">
        <v>224</v>
      </c>
      <c r="C40" s="791">
        <f>40-1-1-1-1-4-1-1-2+47-47-1-1-2-1-1-1+31-1+1-5-1-1+19-1-1-1-61+15-15+32+168-1-28-6</f>
        <v>165</v>
      </c>
      <c r="D40" s="791">
        <f>40-1-1-1-1-4-1-1-2+47-47-1-1-2-1-1-1+31-1+1-5-1-1+19-1-1-1-61+15+5-3+255-1-1-1-30-1-1-1-1-24</f>
        <v>211</v>
      </c>
      <c r="E40" s="791">
        <f>40-1-1-1-1-4-1-1-2+47-47-1-1-2-1-1-1+31-1+1-5-1-1+19-1-1-1-61+29-1+5+179-2-1-9+171-2-1-1-1-1-1-1-1-30-1-1-2-1-1-15-25-20</f>
        <v>266</v>
      </c>
      <c r="F40" s="791">
        <f>40-1-1-1-1-4-1-1-2+47-47-1-1-2-1-1-1+31-1+1-5-1-1+19-1-1-1-61+11-1+5+230-5-1+40-3+90-15-1-1-1-30-1-1-1-1-1-25-20</f>
        <v>268</v>
      </c>
      <c r="G40" s="791">
        <f>9+5-2+202-2-1-15-1-1-1-1-1-15-12</f>
        <v>164</v>
      </c>
      <c r="H40" s="791">
        <f>40-1-1-1-1-4-1-1-2+47-47-1-1-2-1-1-1+31-1+1-5-1-1+19-1-1-1-61+5-1+102-1-1-2</f>
        <v>102</v>
      </c>
      <c r="I40" s="791">
        <f>40-1-1-1-1-4-1-1-2+47-47-1-1-2-1-1-1+31-1+1-5-1-1+19-1-1-1-61+5-1+52-1-1</f>
        <v>54</v>
      </c>
      <c r="J40" s="791">
        <f>40-1-1-1-1-4-1-1-2+47-47-1-1-2-1-1-1+31-1+1-5-1-1+19-1-1-1-61+32-10</f>
        <v>22</v>
      </c>
      <c r="K40" s="791">
        <f>40-1-1-1-1-4-1-1-2+47-47-1-1-2-1-1-1+31-1+1-5-1-1+19-1-1-1-61+31</f>
        <v>31</v>
      </c>
      <c r="L40" s="789">
        <f>SUM(C40:K40)</f>
        <v>1283</v>
      </c>
      <c r="M40" s="1"/>
    </row>
    <row r="41" spans="2:15" ht="18">
      <c r="B41" s="794"/>
      <c r="C41" s="794"/>
      <c r="D41" s="794"/>
      <c r="E41" s="794"/>
      <c r="F41" s="794"/>
      <c r="G41" s="794"/>
      <c r="H41" s="794"/>
      <c r="I41" s="794"/>
      <c r="J41" s="794"/>
      <c r="K41" s="794"/>
      <c r="L41" s="795">
        <f>SUM(L38:L40)</f>
        <v>5173</v>
      </c>
      <c r="M41" s="1"/>
    </row>
    <row r="42" spans="2:15" ht="42" thickBo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802"/>
    </row>
    <row r="43" spans="2:15" ht="42" thickBot="1">
      <c r="B43" s="778" t="s">
        <v>267</v>
      </c>
      <c r="C43" s="779"/>
      <c r="D43" s="779"/>
      <c r="E43" s="779"/>
      <c r="F43" s="779"/>
      <c r="G43" s="779"/>
      <c r="H43" s="779"/>
      <c r="I43" s="779"/>
      <c r="J43" s="779"/>
      <c r="K43" s="780"/>
      <c r="L43" s="803"/>
      <c r="M43" s="1"/>
      <c r="O43" s="776"/>
    </row>
    <row r="44" spans="2:15" ht="16" thickBot="1">
      <c r="B44" s="1"/>
      <c r="C44" s="781" t="s">
        <v>48</v>
      </c>
      <c r="D44" s="782"/>
      <c r="E44" s="782"/>
      <c r="F44" s="782"/>
      <c r="G44" s="782"/>
      <c r="H44" s="782"/>
      <c r="I44" s="782"/>
      <c r="J44" s="782"/>
      <c r="K44" s="783"/>
      <c r="L44" s="1"/>
      <c r="M44" s="1"/>
    </row>
    <row r="45" spans="2:15" ht="22" thickBot="1">
      <c r="B45" s="784" t="s">
        <v>9</v>
      </c>
      <c r="C45" s="785" t="s">
        <v>10</v>
      </c>
      <c r="D45" s="786" t="s">
        <v>11</v>
      </c>
      <c r="E45" s="786" t="s">
        <v>12</v>
      </c>
      <c r="F45" s="786" t="s">
        <v>13</v>
      </c>
      <c r="G45" s="786" t="s">
        <v>14</v>
      </c>
      <c r="H45" s="786" t="s">
        <v>15</v>
      </c>
      <c r="I45" s="786" t="s">
        <v>16</v>
      </c>
      <c r="J45" s="786" t="s">
        <v>17</v>
      </c>
      <c r="K45" s="786" t="s">
        <v>18</v>
      </c>
      <c r="L45" s="160" t="s">
        <v>84</v>
      </c>
      <c r="M45" s="1"/>
    </row>
    <row r="46" spans="2:15" ht="17.25" customHeight="1">
      <c r="B46" s="787" t="s">
        <v>19</v>
      </c>
      <c r="C46" s="788">
        <f>64-2-1-1-3-1-2-3-1-1-1-1-1-5-4-20-5-1-1-1-1-1+50-1+35-1-31-1-1-3-2+30+24-2-1-1-1+60-1-4-13-1-8-1-2-1-8-1-3-1-1-2-2-17-6-5-1-2-1-1-2+35-2-1-1-1-1-1-1-1-2-1-2+33-3-1-1-9-3-1-1-1</f>
        <v>111</v>
      </c>
      <c r="D46" s="788">
        <f>194+1-1-1-4-1-2-1-1-10-1-1-1-1-1-1-3-3-2-1-3-1-1-1-4-3-1-5-56-5-1-1+60-1-1+18-2-1-1-1-1-1-1-1-27-1-1-1+70-29-10-2-1-1-2+56+90-1-35-1+145-1-2-1-2-15-2-32-2-1-2-1-5-1-2-26-2-1-1-24-2-1-1-50-4-3-13-1-5-19-2-20-10-1-4-5-1-2-1-6-3-1-1-2-1-2-8-1-1-1-2-5-5-1-1-4-4-1-33-1-1-4-1-1-4-2-1-1-8-1-2-3-1+10-8-5-8+39+6-9+143+1+134</f>
        <v>314</v>
      </c>
      <c r="E46" s="790">
        <f>252-2-11-2-1-1-1-2-2-1-3-27-1-2-15-1-1-1-7-1-2-1-5-1-9-29-1-4-5-1-5-1+1+207-192-1+40-1-2-8+400-1-1-1-29-3-1-1-2-10-3-1-2-12-1-33+184-1-1-1-4-3-10-8-2-5-1-75-1-2-12-1-36-1-2-2-1-50-1-12-1-96-10-1-1-3-14-1-5-2-1-10-20-1-63-10-1-1-1-16-5-3-1-3-30-20-1-2-2+28-2-1-1-2-2-1-1-12-1-1-1-1-1-10-1-1-5-5-1-34-3-2-1-1-1-3-4-1-1-1-2+10-8-2+66-2-1-1+24+200-20+175-15</f>
        <v>426</v>
      </c>
      <c r="F46" s="788">
        <f>314+1-8-1-1-1-1-5-1-1-1-1-1-1-3-41-1-2-1-10-10-1-1-4-1-7-16-5-1-80-5-102-1+95-2+94+21-4-1-1-1-1-1+332-47-1-1-3+106-27-1-10-1-3-1-2+23+30-11-1-347-1-1-1-3-1-2-2-12-2-2-6-2-93-1-1-15-30-1-1-5-1-1-1-49+185-1-13-1-97-5-1-1-4-10-3-1-1-1-10-1-19-1-15+50-1-1-20-2-5-21+10-8-2+52+34-13+100+99-13+151-10</f>
        <v>400</v>
      </c>
      <c r="G46" s="788">
        <f>152+1-1-1-1-2-1-1-1-2-18-10-7-2-1-6-4-1-5-1-58-5+81-1-1-1-2+40-23-1-1+84-12-10-1-1-2+24-1-1-12+128-1-2-6-3-47-10-1-15-1-3-2-1-29-3-50-3-9-5-1-5-2-1-1-8-1-2-50+2-1-1-4-5-1-28-1-8-3+10-4-5-1+37-5-6-1-6+47</f>
        <v>66</v>
      </c>
      <c r="H46" s="788">
        <f>51+1-5-1-3-5-1-16-1+48+2-1-1-9-1-1-1-4+38-6-10-1-2+4+3-10+90-1-2-1-1-19-5-4-1-1-9-2-13-24-4-1-1-8-1-1-5-1+53-2-1-2-10-2-13-1-1-1-1-1-1-1-5-1-2-10-8-3-10-12-1-10-2-1-1-1+17+13+48+2-1-1</f>
        <v>80</v>
      </c>
      <c r="I46" s="788">
        <f>42-1+1-2-1-1-30+38-1-1+4-1-1-2+3-1-2-10+43-1-1-1-1-20-3-1-3-3-11-6-2-1-2-1-2+42-1-1-1-1-10-1-1-20-4-30+9+18+29</f>
        <v>46</v>
      </c>
      <c r="J46" s="788">
        <f>39-30+43-2-2-1-2+8-1-2-1-30-3-16+26</f>
        <v>26</v>
      </c>
      <c r="K46" s="788">
        <f>36-1-2-1-2-2-1+8-1</f>
        <v>34</v>
      </c>
      <c r="L46" s="789">
        <f t="shared" ref="L46:L52" si="3">SUM(C46:K46)</f>
        <v>1503</v>
      </c>
      <c r="M46" s="1"/>
    </row>
    <row r="47" spans="2:15" ht="21">
      <c r="B47" s="787" t="s">
        <v>20</v>
      </c>
      <c r="C47" s="790">
        <f>171+2-1-2+1-3-5-1-1-1-2-2+60-8-1-1-1-1-16-9-92-21-1-2-1-11-1-24+50</f>
        <v>76</v>
      </c>
      <c r="D47" s="790">
        <f>150+2-1-3-2-1-1-3-2+220-1-5-1-1-1-14-3-3-2-1-27+73-2+162-1-3-18+44-13-1-1-5+77-1-10-16-18-6-11-1-15-2-2-1-7-1-15-2-10-4-1-3-1-1-69-3-1-1-29-10-6-10</f>
        <v>355</v>
      </c>
      <c r="E47" s="790">
        <f>285+8-1-10-1-1-1-2-1+157+309-5-2-1+1-1-12-2-1-1-1-1-1-5-2-1-1-1-10-19-4-4-4-1-1-1-1-29-1-8+100-2+15-1-1-4-70+120+45+45-16-1-1-6-58-2-1-19-3-60-30-10-18-5-45-2-4-1-15-1-20-1-1-60-1-1-1-19-1-2-6-1-13-1-1-21-1-1-3-1-35+24</f>
        <v>404</v>
      </c>
      <c r="F47" s="790">
        <f>565+5-1-8-1-1-1-3-1-2-1-1-5-1-1-1-1-1-5-1-15-1-1-1-1-47-4-4+40-1-2+60-1-1-1-115+77+145+96-4-1-1-1-2+35-11-2-13-291-27-8-1-6-1-2-2-17-55-1-152-3-59-4-128+48-1-2-1-1-1-1-6-1-1-1-16-2-1-1-1-8-1+15-3-1-2-1-1-9+197-10+148</f>
        <v>335</v>
      </c>
      <c r="G47" s="791">
        <f>40-1-1-1-1-4-1-1-2+47-47-1-1-2-1-1-1+31-1+1-5-1-1+19-1-1-1-61+100-1-21-43+13-1-5-1-1-2-4-1--4-4-1-1-1-1-1-1-20-7+59+99</f>
        <v>158</v>
      </c>
      <c r="H47" s="791">
        <f>40-1-1-1-1-4-1-1-2+47-47-1-1-2-1-1-1+31-1+1-5-1-1+19-1-1-1-61+69-2-8-2-1-14-6-26-1-7-2+95-1+8-2-1-1-5-2-20+21</f>
        <v>92</v>
      </c>
      <c r="I47" s="791">
        <f>40-1-1-1-1-4-1-1-2+47-47-1-1-2-1-1-1+31-1+1-5-1-1+19-1-1-1-61+106+19-1+8-2-2-2-2-2-2-1-1-1-1</f>
        <v>116</v>
      </c>
      <c r="J47" s="790">
        <f>2+25+8+5-2-5-1-2-22-2-3+16+22</f>
        <v>41</v>
      </c>
      <c r="K47" s="790">
        <f>25+1-2-7-1-16+10</f>
        <v>10</v>
      </c>
      <c r="L47" s="789">
        <f t="shared" si="3"/>
        <v>1587</v>
      </c>
      <c r="M47" s="1"/>
    </row>
    <row r="48" spans="2:15" ht="21">
      <c r="B48" s="787" t="s">
        <v>268</v>
      </c>
      <c r="C48" s="791">
        <f>40-1-1-1-1-4-1-1-2+47-47-1-1-2-1-1-1+31-1+1-5-1-1+19-1-1-1-61+1</f>
        <v>1</v>
      </c>
      <c r="D48" s="790">
        <f>25+1-2-7-1-16+73-1-1</f>
        <v>71</v>
      </c>
      <c r="E48" s="791">
        <f>40-1-1-158-1-1-4-1-1-2+47-47-1-1-2-1-1-1+31-1+1-5-1-1+19-1-1-1-61+5+190-1-1-3-2</f>
        <v>30</v>
      </c>
      <c r="F48" s="791">
        <f>40-1-1-1-1-4-1-1-2+47-47-1-1-2-1-1-1+31-1+1-5-1-1+19-1-1-1-61+128-1-35-1-2-1-4-10-4-15-6-10-5-30-2-2</f>
        <v>0</v>
      </c>
      <c r="G48" s="790">
        <f>397+1+1-2-1+1-2-4-1-1-5-1-10-1-1-1-23-1-1-1-2-3-134+47-1-1-1-4-4-7-90-135-1</f>
        <v>8</v>
      </c>
      <c r="H48" s="790">
        <f>47+27+22+1+50+50+10+31-2-1-1-1-1-1-7-1-1-1</f>
        <v>221</v>
      </c>
      <c r="I48" s="790">
        <f>167+1-1-1-1-1-1-1-1-2-101-1</f>
        <v>57</v>
      </c>
      <c r="J48" s="790">
        <f>25+1-2-7-1-16</f>
        <v>0</v>
      </c>
      <c r="K48" s="790">
        <f>25+1-2-7-1-16+5</f>
        <v>5</v>
      </c>
      <c r="L48" s="804">
        <f t="shared" si="3"/>
        <v>393</v>
      </c>
      <c r="M48" s="1"/>
    </row>
    <row r="49" spans="2:13" ht="18">
      <c r="B49" s="787" t="s">
        <v>224</v>
      </c>
      <c r="C49" s="790">
        <f>21+35+43-5-1-1-1-12-2-1-1-1-1-2-10+15-10-1-18-1-1-2</f>
        <v>43</v>
      </c>
      <c r="D49" s="790">
        <f>36+1-1-1+80-2-6-1-1-5+1-1-1-1-1-11-2-1-1-2-2-2-1-23-15-2-35+15-15+30-1-1-3-1-1-2-1-1-1-1-1+80</f>
        <v>96</v>
      </c>
      <c r="E49" s="790">
        <f>55+4-1+94-26-1+50-1-10-1-1-5-1-1-1-1-1-2-1-1-28-2-1-1-1-1-2-2-2-19-1-10-36-1-1-1-2-12-1-24+45-45+50-5-1-1-1-1-2-1-1-1+123</f>
        <v>159</v>
      </c>
      <c r="F49" s="790">
        <f>29+3+45-9+137-1+2-1+1-12-5-1-1-18-1-1-20-2-1-1-4-45-15-1-30-32-2-1-2-10+45-35-1-10+18-5+32-2-1-1-25-1-1+128</f>
        <v>142</v>
      </c>
      <c r="G49" s="790">
        <f>19+40+1-7+79-1-4-1-5-1-8-2-1-1-1-7-40-15-30-15+10-5+7-1-1-1-1+25-1-1+2+40</f>
        <v>73</v>
      </c>
      <c r="H49" s="790">
        <f>93+1-4-1-1-2-2-1-1-2-1-10-4-1-5+10-5-7</f>
        <v>57</v>
      </c>
      <c r="I49" s="790">
        <f>40+5+2-1-1-1-2-1-5+10-5-6</f>
        <v>35</v>
      </c>
      <c r="J49" s="790">
        <f>15+10+8-2-8-1</f>
        <v>22</v>
      </c>
      <c r="K49" s="805">
        <f>12+9-2-1-1</f>
        <v>17</v>
      </c>
      <c r="L49" s="789">
        <f t="shared" si="3"/>
        <v>644</v>
      </c>
      <c r="M49" s="1"/>
    </row>
    <row r="50" spans="2:13" ht="18">
      <c r="B50" s="787" t="s">
        <v>23</v>
      </c>
      <c r="C50" s="790">
        <f>21-1-1-3-1+1-5-1-1-1-1-1-1+20-3-2-1-1-5</f>
        <v>13</v>
      </c>
      <c r="D50" s="790">
        <f>112+2-3-1-5-1-1-1-3-1-2-1-1-1-4-6-2-1-6-2-1-1-1-1+20-20-10</f>
        <v>58</v>
      </c>
      <c r="E50" s="790">
        <f>146+2-2-3-1-1-1-1-1-5+1-5-1-1-1-2-1-13-6-1-1-1-30-1-1-1-1-1-3-47-2-1-2-1-1-9+40-40</f>
        <v>0</v>
      </c>
      <c r="F50" s="790">
        <f>140+3-1-2-1-5-1-1-1-1-1-9-1-4-20-1-1-1-1-1-1-1-1-1-3-46-1-1-2-1-1-2-2-9-2+40-40-16</f>
        <v>0</v>
      </c>
      <c r="G50" s="790">
        <f>49+1-2-1-5-1-1-5-1-7-1-1-25+20-20</f>
        <v>0</v>
      </c>
      <c r="H50" s="790">
        <f>30+1-1-1-1-1-1-1-1-2-13-1-3-1-1-1</f>
        <v>2</v>
      </c>
      <c r="I50" s="790">
        <f>11-1-1-1-1+38-3-1</f>
        <v>41</v>
      </c>
      <c r="J50" s="790">
        <f>21-1-4-1</f>
        <v>15</v>
      </c>
      <c r="K50" s="790">
        <f>34-23</f>
        <v>11</v>
      </c>
      <c r="L50" s="789">
        <f t="shared" si="3"/>
        <v>140</v>
      </c>
      <c r="M50" s="1"/>
    </row>
    <row r="51" spans="2:13" ht="18">
      <c r="B51" s="787" t="s">
        <v>24</v>
      </c>
      <c r="C51" s="790">
        <f>13-1-1-5-1-1-1-1-2+3-1-1-1</f>
        <v>0</v>
      </c>
      <c r="D51" s="790">
        <f>30-4-1+20-5+1-14-1-1-1-1-1-1+31-1-1-1-10</f>
        <v>39</v>
      </c>
      <c r="E51" s="790">
        <f>70-5+4+16-5-19-1-1-1-1-1-1-1-1-20-1-4-11</f>
        <v>17</v>
      </c>
      <c r="F51" s="790">
        <f>30+1-2-2+31-1+19-5-15-1-1-1+55-1-1-2-1-2-2-1</f>
        <v>98</v>
      </c>
      <c r="G51" s="790">
        <f>15-1+20-5-10-1-1-1+23-1-3</f>
        <v>35</v>
      </c>
      <c r="H51" s="790">
        <f>0+20-1-1+26-1-1</f>
        <v>42</v>
      </c>
      <c r="I51" s="790">
        <f>10+4-1-1-11+21-1-1</f>
        <v>20</v>
      </c>
      <c r="J51" s="790">
        <f>10-1-9</f>
        <v>0</v>
      </c>
      <c r="K51" s="790">
        <f>10-1+1</f>
        <v>10</v>
      </c>
      <c r="L51" s="789">
        <f t="shared" si="3"/>
        <v>261</v>
      </c>
      <c r="M51" s="1"/>
    </row>
    <row r="52" spans="2:13" ht="18">
      <c r="B52" s="787" t="s">
        <v>25</v>
      </c>
      <c r="C52" s="790">
        <f>16-1-5+34-30-1-1-1-1+20+2-1-1-1</f>
        <v>29</v>
      </c>
      <c r="D52" s="790">
        <f>35+3-1-2-1-19-5-1+29-29+1-1-1-1-1-1-1-1-1-1-1+5-1-1-2+40-2-1-1-1-1-1-1-2</f>
        <v>31</v>
      </c>
      <c r="E52" s="790">
        <f>82+3-13-1-15-1-1-25-1-5-1-1-1-1-1-1-3-2-12+80-1-1-4-1-2-1</f>
        <v>70</v>
      </c>
      <c r="F52" s="790">
        <f>82+1-11-1-2-1-15-5-1-1-1-1-3-2-3-26-10+10-1-2+80-2-6-1-2-1-10</f>
        <v>65</v>
      </c>
      <c r="G52" s="790">
        <f>5+3-8+15-1+39-3-10-1</f>
        <v>39</v>
      </c>
      <c r="H52" s="790">
        <f>50-13-1-1-2-1-5-1-1-4-6-1-2</f>
        <v>12</v>
      </c>
      <c r="I52" s="790">
        <f>57-1-5-1-1-34-1-1</f>
        <v>13</v>
      </c>
      <c r="J52" s="790">
        <f>15-1-1-3</f>
        <v>10</v>
      </c>
      <c r="K52" s="790">
        <f>21-1-10</f>
        <v>10</v>
      </c>
      <c r="L52" s="789">
        <f t="shared" si="3"/>
        <v>279</v>
      </c>
      <c r="M52" s="1"/>
    </row>
    <row r="53" spans="2:13" ht="18">
      <c r="B53" s="794"/>
      <c r="C53" s="794"/>
      <c r="D53" s="794"/>
      <c r="E53" s="794"/>
      <c r="F53" s="794"/>
      <c r="G53" s="794"/>
      <c r="H53" s="794"/>
      <c r="I53" s="794"/>
      <c r="J53" s="794"/>
      <c r="K53" s="794"/>
      <c r="L53" s="795">
        <f>SUM(L46:L52)</f>
        <v>4807</v>
      </c>
      <c r="M53" s="1"/>
    </row>
    <row r="54" spans="2:13" ht="18">
      <c r="B54" s="794"/>
      <c r="C54" s="794"/>
      <c r="D54" s="794"/>
      <c r="E54" s="794"/>
      <c r="F54" s="794"/>
      <c r="G54" s="794"/>
      <c r="H54" s="794"/>
      <c r="I54" s="794"/>
      <c r="J54" s="794"/>
      <c r="K54" s="794"/>
      <c r="L54" s="794"/>
      <c r="M54" s="1"/>
    </row>
    <row r="55" spans="2:13" ht="42" thickBo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802"/>
    </row>
    <row r="56" spans="2:13" ht="42" thickBot="1">
      <c r="B56" s="778" t="s">
        <v>269</v>
      </c>
      <c r="C56" s="779"/>
      <c r="D56" s="779"/>
      <c r="E56" s="779"/>
      <c r="F56" s="779"/>
      <c r="G56" s="779"/>
      <c r="H56" s="779"/>
      <c r="I56" s="779"/>
      <c r="J56" s="779"/>
      <c r="K56" s="780"/>
      <c r="L56" s="806"/>
      <c r="M56" s="806"/>
    </row>
    <row r="57" spans="2:13" ht="16" thickBot="1">
      <c r="B57" s="1"/>
      <c r="C57" s="781" t="s">
        <v>48</v>
      </c>
      <c r="D57" s="782"/>
      <c r="E57" s="782"/>
      <c r="F57" s="782"/>
      <c r="G57" s="782"/>
      <c r="H57" s="782"/>
      <c r="I57" s="782"/>
      <c r="J57" s="782"/>
      <c r="K57" s="783"/>
      <c r="L57" s="1"/>
      <c r="M57" s="1"/>
    </row>
    <row r="58" spans="2:13" ht="22" thickBot="1">
      <c r="B58" s="784" t="s">
        <v>9</v>
      </c>
      <c r="C58" s="785" t="s">
        <v>10</v>
      </c>
      <c r="D58" s="786" t="s">
        <v>11</v>
      </c>
      <c r="E58" s="786" t="s">
        <v>12</v>
      </c>
      <c r="F58" s="786" t="s">
        <v>13</v>
      </c>
      <c r="G58" s="786" t="s">
        <v>14</v>
      </c>
      <c r="H58" s="786" t="s">
        <v>15</v>
      </c>
      <c r="I58" s="786" t="s">
        <v>16</v>
      </c>
      <c r="J58" s="786" t="s">
        <v>17</v>
      </c>
      <c r="K58" s="786" t="s">
        <v>18</v>
      </c>
      <c r="L58" s="160" t="s">
        <v>84</v>
      </c>
      <c r="M58" s="1"/>
    </row>
    <row r="59" spans="2:13" ht="18">
      <c r="B59" s="787" t="s">
        <v>270</v>
      </c>
      <c r="C59" s="788">
        <f>181-5-2-1-1-6-1-1-1-1-7-4-1+396-72-1+22-2-1-1-1-4+202+1+101-1-51-1+191+6+139-2-1-1-1-2-1-2-2-1-674-2-1-1-1-1-3-1-1-3-1-151-1-2-7-59-5-46-100+160-3-3-1-37-21-5-10-1-1-18-45-15+130-2-2-1-1</f>
        <v>124</v>
      </c>
      <c r="D59" s="788">
        <f>181-5-2-1-1-6-1-1-1-1-7-4-1+396-72-1+22-2-1-1-1-4+202+1+101-1-51-1+191+6+139-2-1-1-1-2-1-2-2-1-674-2-1-1-1-1-3-1-1-3-1-151-1-2-7-59-5-46-100+160-3-3-1-37-21-5-10-1-1-18-45-15+140-2-1-1-2-1-3-1-2-1-1-2-1-5-4</f>
        <v>113</v>
      </c>
      <c r="E59" s="788">
        <f>181-5-2-1-1-6-1-1-1-1-7-4-1+396-72-1+22-2-1-1-1-4+202+1+101-1-51-1+191+6+139-2-1-1-1-2-1-2-2-1-674-2-1-1-1-1-3-1-1-3-1-151-1-2-7-59-5-46-100+160-3-3-1-37-21-5-10-1-1-18-45-15+17-3-1-1-1-2-1-4-1-1-2+1-1+3</f>
        <v>3</v>
      </c>
      <c r="F59" s="788">
        <f>655-1-1-1-1-1-4-1-5-5-4+33-60-1+9+103-32+50-1+102-1-1+120-1-2-1-2-1-1-1-1-2-507-2-1-1-1-1-1-1-155-1-3-1-70-1-45-1-50-1-1-3-2-10-1-1-1-1-1-2-4-5-2-1-2-7-15-7-2-1-2-3-3-2-1-1-1-4-2-1-1-5-2+11-6-1-1-1-1-1</f>
        <v>0</v>
      </c>
      <c r="G59" s="788">
        <f>352-5-1-1-1-1+3-23+3-1+13-22+59+22+36-1-1-157-2-1-1-1-45-1-1-3-43-3-22-95-1-5-1-1-5-1-2-1-3-5-10-6-3-2-3-1-1-4-1+19-1-1-1-1-3-4-1-2-1-3-1</f>
        <v>0</v>
      </c>
      <c r="H59" s="788">
        <f>224-1-1-1-1-3-13-1-7+21-1-1-72-1-2-1-1-87-1-13-10-2-1-1-1-1-1-3-1-1-2-3-2-1-1-3-1-1-1+38-1-1-1-1-6</f>
        <v>28</v>
      </c>
      <c r="I59" s="790">
        <f>40+2+20+4+7+35-1-1-3-1-4+21-1-1-11-2-1-1-42-1-1-6-3-1-1-1-1-1-4-1-4-7-6-22+27-1-3</f>
        <v>23</v>
      </c>
      <c r="J59" s="788">
        <f>181-5-2-1-1-6-1-1-1-1-7-4-1+396-72-1+22-2-1-1-1-4+202+1+101-1-51-1+191+6+139-2-1-1-1-2-1-2-2-1-674-2-1-1-1-1-3-1-1-3-1-151-1-2-7-59-5-46-100+160-3-3-1-37-21-5-10-1-1-18-45-15+37-1</f>
        <v>36</v>
      </c>
      <c r="K59" s="788">
        <f>181-5-2-1-1-6-1-1-1-1-7-4-1+396-72-1+22-2-1-1-1-4+202+1+101-1-51-1+191+6+139-2-1-1-1-2-1-2-2-1-674-2-1-1-1-1-3-1-1-3-1-151-1-2-7-59-5-46-100+160-3-3-1-37-21-5-10-1-1-18-45-15+52</f>
        <v>52</v>
      </c>
      <c r="L59" s="789">
        <f t="shared" ref="L59:L66" si="4">SUM(C59:K59)</f>
        <v>379</v>
      </c>
      <c r="M59" s="1"/>
    </row>
    <row r="60" spans="2:13" ht="18">
      <c r="B60" s="787" t="s">
        <v>271</v>
      </c>
      <c r="C60" s="788">
        <f>11+39+7-12-5-1-1-1-1-1-1-5-5</f>
        <v>24</v>
      </c>
      <c r="D60" s="788">
        <f>65+42-29-5-11-46-14-2+58-5+4-2-2-1-1-1-1-6-1-6-5-31</f>
        <v>0</v>
      </c>
      <c r="E60" s="788">
        <f>110-59-2+148+11-9-1-25-60-38-26+3-1-3-1-1-1-1-1-6-23-1-13</f>
        <v>0</v>
      </c>
      <c r="F60" s="788">
        <f>50-27+118+105-8-2-17-78-21-30-1-1-1-1-1-1-16-1-1-2-1-2-5-12-1-8</f>
        <v>35</v>
      </c>
      <c r="G60" s="788">
        <f>5+54-7-47-5+2-1-1</f>
        <v>0</v>
      </c>
      <c r="H60" s="788">
        <f>50-1+2-8-7-1-10-14-10-1</f>
        <v>0</v>
      </c>
      <c r="I60" s="807">
        <f>4-2+1-2+8-1-5-2-1</f>
        <v>0</v>
      </c>
      <c r="J60" s="788">
        <v>17</v>
      </c>
      <c r="K60" s="788">
        <v>17</v>
      </c>
      <c r="L60" s="789">
        <f t="shared" si="4"/>
        <v>93</v>
      </c>
      <c r="M60" s="1"/>
    </row>
    <row r="61" spans="2:13" ht="18">
      <c r="B61" s="787" t="s">
        <v>74</v>
      </c>
      <c r="C61" s="790">
        <f>32+1+49+31+35+13+1-1-1-2-1-9-1-1-2-1-1-1-5-1-27-1-1-1-1-1-5-5-1-5-1-1+7-92+71-1-22</f>
        <v>48</v>
      </c>
      <c r="D61" s="808">
        <f>19-1-3-2-1-1-10-1+1+148+41-6-1-1+13-2-25-5-17-2-1-1-10-1-1-61-1-1-5-1-8-5-8-4-2-2-1-6-3-5-2-3-12+11-11</f>
        <v>0</v>
      </c>
      <c r="E61" s="790">
        <f>0+1+150+149+2-1-1-15-1-1-1-1-1-12-10-8-2-1-1-1-1-1-47-1-1-1-1-1-1-1-96-24-1-1-2-1-1-1-10-15-2-10-10-3-5-1-1-1+17-6-15+16-1-5</f>
        <v>10</v>
      </c>
      <c r="F61" s="790">
        <f>19+21+38+50+39+35+14+23+16+7-1-1-1-9-1-67-1-2-4-5-1+200-1-1-5-1-1-18-10-7-1-2-1-1-1-3-1-2-1-1-1-1-40-1-4-1-1-68-33-1-3-1-9-1-18-1-2-8-2-1-1-6-7-35-21-8-8-28+200-200+11-1-4</f>
        <v>6</v>
      </c>
      <c r="G61" s="790">
        <f>15+39+30+35+4+14+6+13-1-1-1-66-2-1-1+100-1-1-11-5-9-2-1-2-1-1-14-1-37-2-1-1-7-2-10-1-4-25-2-4-26-12+12-1-1-1-5</f>
        <v>4</v>
      </c>
      <c r="H61" s="790">
        <f>42+40+35+40+14+10+40+7-13-1-8-1-1-1+1-1-1-1-7-4-2-2-2-1-1-6-1-17-1-1-2-1-1-2-2-4-15+26-15-140+106-1</f>
        <v>105</v>
      </c>
      <c r="I61" s="807">
        <f>10+40+40+31+25+15+8+4+10-6-1+1-1-2-4-2-1-1-1-1-1-2-2-7-59-93+132</f>
        <v>132</v>
      </c>
      <c r="J61" s="790">
        <f>32-1+1-2-1-1-1+4-31+25</f>
        <v>25</v>
      </c>
      <c r="K61" s="808">
        <f>39-1-2+1-5-2-1-1+11-39+27</f>
        <v>27</v>
      </c>
      <c r="L61" s="789">
        <f t="shared" si="4"/>
        <v>357</v>
      </c>
      <c r="M61" s="1"/>
    </row>
    <row r="62" spans="2:13" ht="18">
      <c r="B62" s="787" t="s">
        <v>272</v>
      </c>
      <c r="C62" s="790">
        <f>54-20-1-1+2-1-6-7</f>
        <v>20</v>
      </c>
      <c r="D62" s="808">
        <f>147-28-8-1-4-1+7-1-1-8-14-4-9-1-1-21-20-12-2-4-14</f>
        <v>0</v>
      </c>
      <c r="E62" s="790">
        <f>120-1+35+20-26+52-27-20-1-10-1-5-26-3+16-4-25+1-1-50-22-3-19</f>
        <v>0</v>
      </c>
      <c r="F62" s="790">
        <f>200+50-20-27+23-21-22-11-1-1-1-1-5-30-1-1-2-10-4-1-13-40-1-1-5-10-5-18-5</f>
        <v>16</v>
      </c>
      <c r="G62" s="790">
        <f>120-2-1-10-5-1-1-2-5-10-3-10+1-4-1-9-1-1-10-1-1-5-5-2</f>
        <v>31</v>
      </c>
      <c r="H62" s="790">
        <f>59-2-1-1+2-1-3+11-1-10-16-3-2-5-4-3-3-1-5-2-1-3+1-1-2-1</f>
        <v>2</v>
      </c>
      <c r="I62" s="790">
        <f>23-1+1-1</f>
        <v>22</v>
      </c>
      <c r="J62" s="790">
        <f>0+22-1</f>
        <v>21</v>
      </c>
      <c r="K62" s="808">
        <f>22-2</f>
        <v>20</v>
      </c>
      <c r="L62" s="789">
        <f t="shared" si="4"/>
        <v>132</v>
      </c>
      <c r="M62" s="1"/>
    </row>
    <row r="63" spans="2:13" ht="18">
      <c r="B63" s="787" t="s">
        <v>224</v>
      </c>
      <c r="C63" s="790">
        <f>40+8+49+18+1-1-2+172+32-4-2-1-2-1-1-3-11-3-7-2-1-1-92-4-1-18-1-3-5-2-13-1-1-1-1-2-1-1-1-1-3-1-2-32</f>
        <v>91</v>
      </c>
      <c r="D63" s="790">
        <f>9+49+40+39+17+50+10+30+13+50-1-1-1-1+199-1+2-1-3-3-15-2-1-8-1-1-10-5-16-2-7-7-1-1-1-1-79-30-1-31-9-10-1-3-10-2-1-30-7-9-1-3-7+8-1-2-2-3-1-1-1-1-1-1-8-1-1-8-3-2-14-2-1-7-1-1-5-1-3-1-42</f>
        <v>76</v>
      </c>
      <c r="E63" s="790">
        <f>44+34+40+39+40+40+45+40+40+45+40+40+40+22+40+40+43+40+28+40+6+50-1-1-1-1+1+222-1-1+19-1-1-1-1-5-28-2-1-15-1-15-2-1-21-1-1-6-1-1-10-13-1-1-1-10-5-114-60-8-18-45-15-5-4-12-4-1-8-2-117-4-18-1-1-1-3-2-46-2-1-10-1-1-3-5-2-1-1-4-1-2-20-20-1-2-26-2-1-5-1-1-2-1-1-1-4-1-31</f>
        <v>283</v>
      </c>
      <c r="F63" s="790">
        <f>120+120+80+39+40+2+80+29+40+40+8+240+5+3+1-2-1-1-1-1+197-2-1+47-1-1-5-30-1-2-1-1-1-7-1-1-20-1-1-17-8-9-1-1-1-1-9-52-70-9-2-57-8-2-1-4-1-1-2-6-16-146-11-5-2-5-8-1-3-4-2-5-1-1-3-1-1-1-22-1-22-1-3-30-2-8-2-1-1-1-1+1-1-4-1-16</f>
        <v>414</v>
      </c>
      <c r="G63" s="790">
        <f>51+40+2+20+36+36+40+10+45+80+20+80+18+94-1+5-1-1-16-1-2-1-8-1-1-7-10-4-3-1-1-1-41-2-40-2-23-4-2-6-1-52-1-3-1-39-2-1-3-1-1-1-10-1-10-1-11-1+1-4-7</f>
        <v>247</v>
      </c>
      <c r="H63" s="790">
        <f>80+2+40+22+40+38+18+8-1-1-1-2-2-1-1-1-10-1-9-2-19-2-3-3-1-1-1-1-1-6-4</f>
        <v>174</v>
      </c>
      <c r="I63" s="790">
        <f>35+2+38+8+35+8+5-2-2-1-1-1-1-5-2-4-4-2-1-1</f>
        <v>104</v>
      </c>
      <c r="J63" s="790">
        <f>26+19+39+11+17+9-2-5-1-1+1</f>
        <v>113</v>
      </c>
      <c r="K63" s="790">
        <f>20+1+15+36+12+24+10-2-2-2-2-1+8</f>
        <v>117</v>
      </c>
      <c r="L63" s="789">
        <f t="shared" si="4"/>
        <v>1619</v>
      </c>
      <c r="M63" s="1"/>
    </row>
    <row r="64" spans="2:13" ht="18">
      <c r="B64" s="787" t="s">
        <v>23</v>
      </c>
      <c r="C64" s="790">
        <f>43-1+23-1-1-1-1-2-1-2-1-1-1-24-2-1</f>
        <v>26</v>
      </c>
      <c r="D64" s="790">
        <f>26-1-2-1+55-5-1+1+2-1-1-1-1-1-1-1-1-1-6-36-1+21-1-1-1-1-6-14-7-3-1-8</f>
        <v>0</v>
      </c>
      <c r="E64" s="790">
        <f>0+180+12-6-1-1-1-1-1-1+6-1-2-5-1-1-2-1-1-1-1-1-4-13-6-12-1-1-1-1-1-2-18-1-1-2-19-2-1-26-5-2-1-7-1-7-1-33</f>
        <v>0</v>
      </c>
      <c r="F64" s="790">
        <f>4+3-1-4-2+139-1-2-1+3+10-2-5-1-5-5-1-1-1-1-2-1-13-1-2-2-1-2-3-29-2+4-1-3-2-30-2-1-2-10-21+10+1-3-1-7</f>
        <v>0</v>
      </c>
      <c r="G64" s="790">
        <f>0+31-1-3-1-10-2-1-1-1</f>
        <v>11</v>
      </c>
      <c r="H64" s="790">
        <f>26-1-2+19-2-1-4-4-1-2-2-20</f>
        <v>6</v>
      </c>
      <c r="I64" s="790">
        <f>29-1-1+2-1-20</f>
        <v>8</v>
      </c>
      <c r="J64" s="790">
        <f>10-1+11-1</f>
        <v>19</v>
      </c>
      <c r="K64" s="790">
        <f>27-2-2-1-1-11</f>
        <v>10</v>
      </c>
      <c r="L64" s="789">
        <f t="shared" si="4"/>
        <v>80</v>
      </c>
      <c r="M64" s="1"/>
    </row>
    <row r="65" spans="2:13" ht="18">
      <c r="B65" s="787" t="s">
        <v>22</v>
      </c>
      <c r="C65" s="790">
        <f>26+7+2+9-2-2-1-1-1-37+7-1-1-1-1-1-1-1</f>
        <v>0</v>
      </c>
      <c r="D65" s="790">
        <f>3+40+1+18+8+12+2-3-4-3-1-1-1-1-1-1-2-1-1-1-1-3-46-1-12+10-1-1-1</f>
        <v>7</v>
      </c>
      <c r="E65" s="790">
        <f>86+1-1-1-4-3-1-1-1+1-1-1-1-1-2-1-1-1-3-2-51-11+10-2</f>
        <v>8</v>
      </c>
      <c r="F65" s="790">
        <f>124+1-1-17-1-2-1-1-3-33-30-1-1-4-2+38-5-1-1-3-22-1-1-2-5-6-1-1-1-2</f>
        <v>14</v>
      </c>
      <c r="G65" s="790">
        <f>15+40+16+24-12-1-2-3-1-2-1-1-6-1-14-5-1-1-1-10-5-4-1-1-2</f>
        <v>20</v>
      </c>
      <c r="H65" s="790">
        <f>18+6-5-1-2-1-1-4-6-3-1</f>
        <v>0</v>
      </c>
      <c r="I65" s="790">
        <f>9-3+21-2-1-3+2-2-1</f>
        <v>20</v>
      </c>
      <c r="J65" s="790">
        <f>9+20-2</f>
        <v>27</v>
      </c>
      <c r="K65" s="790">
        <f>8+21-2-1+1+1</f>
        <v>28</v>
      </c>
      <c r="L65" s="789">
        <f t="shared" si="4"/>
        <v>124</v>
      </c>
      <c r="M65" s="1"/>
    </row>
    <row r="66" spans="2:13" ht="18">
      <c r="B66" s="787" t="s">
        <v>25</v>
      </c>
      <c r="C66" s="790">
        <f>28-1-1-1-1-1-5-3-1-1</f>
        <v>13</v>
      </c>
      <c r="D66" s="790">
        <f>13-5-2-1+1-1-1-1-1-2+60-1-1-1-2-1-1-3-1-1+1-1-2-1-1-1-1-4-8-4-14-1-5</f>
        <v>6</v>
      </c>
      <c r="E66" s="790">
        <f>40-9-1-6+39-2+59+1-1-2-1-12-1-1-4-1-1-1-12-14-3-1-1-2-1-1-1-3-1-1-20-10-25+1-1</f>
        <v>0</v>
      </c>
      <c r="F66" s="790">
        <f>36-4-3+26-13-1-2-1-1-1+30-1-2-11-3-3-3-1-1-1-4-1-1-1-22-11+32-1-5</f>
        <v>26</v>
      </c>
      <c r="G66" s="790">
        <f>15+1-2+33+27-10-1-1-1-1-1-13-2-1-4-2-4-1-2-1-10-5-10-1-2-1</f>
        <v>0</v>
      </c>
      <c r="H66" s="790">
        <f>15+12-5-1-1-1-19+10-1</f>
        <v>9</v>
      </c>
      <c r="I66" s="790">
        <f>0+20-1-1-15-1-2+26</f>
        <v>26</v>
      </c>
      <c r="J66" s="790">
        <f>12-1+15</f>
        <v>26</v>
      </c>
      <c r="K66" s="790">
        <f>37-2-1-8</f>
        <v>26</v>
      </c>
      <c r="L66" s="789">
        <f t="shared" si="4"/>
        <v>132</v>
      </c>
      <c r="M66" s="1"/>
    </row>
    <row r="67" spans="2:13" ht="18">
      <c r="B67" s="794"/>
      <c r="C67" s="794"/>
      <c r="D67" s="794"/>
      <c r="E67" s="794"/>
      <c r="F67" s="794"/>
      <c r="G67" s="794"/>
      <c r="H67" s="794"/>
      <c r="I67" s="794"/>
      <c r="J67" s="794"/>
      <c r="K67" s="794"/>
      <c r="L67" s="795">
        <f>SUM(L59:L66)</f>
        <v>2916</v>
      </c>
    </row>
    <row r="68" spans="2:13" ht="42" thickBot="1">
      <c r="M68" s="802"/>
    </row>
    <row r="69" spans="2:13" ht="42" thickBot="1">
      <c r="B69" s="778" t="s">
        <v>206</v>
      </c>
      <c r="C69" s="779"/>
      <c r="D69" s="779"/>
      <c r="E69" s="779"/>
      <c r="F69" s="779"/>
      <c r="G69" s="779"/>
      <c r="H69" s="779"/>
      <c r="I69" s="779"/>
      <c r="J69" s="779"/>
      <c r="K69" s="780"/>
      <c r="L69" s="806"/>
      <c r="M69" s="806"/>
    </row>
    <row r="70" spans="2:13">
      <c r="B70" s="1"/>
      <c r="C70" s="809" t="s">
        <v>48</v>
      </c>
      <c r="D70" s="810"/>
      <c r="E70" s="810"/>
      <c r="F70" s="810"/>
      <c r="G70" s="810"/>
      <c r="H70" s="810"/>
      <c r="I70" s="810"/>
      <c r="J70" s="810"/>
      <c r="K70" s="811"/>
      <c r="L70" s="1"/>
      <c r="M70" s="1"/>
    </row>
    <row r="71" spans="2:13" ht="21">
      <c r="B71" s="812" t="s">
        <v>9</v>
      </c>
      <c r="C71" s="813" t="s">
        <v>10</v>
      </c>
      <c r="D71" s="813" t="s">
        <v>11</v>
      </c>
      <c r="E71" s="813" t="s">
        <v>12</v>
      </c>
      <c r="F71" s="813" t="s">
        <v>13</v>
      </c>
      <c r="G71" s="813" t="s">
        <v>14</v>
      </c>
      <c r="H71" s="813" t="s">
        <v>15</v>
      </c>
      <c r="I71" s="813" t="s">
        <v>16</v>
      </c>
      <c r="J71" s="813" t="s">
        <v>17</v>
      </c>
      <c r="K71" s="813" t="s">
        <v>18</v>
      </c>
      <c r="L71" s="160" t="s">
        <v>84</v>
      </c>
      <c r="M71" s="1"/>
    </row>
    <row r="72" spans="2:13" ht="18">
      <c r="B72" s="814" t="s">
        <v>4</v>
      </c>
      <c r="C72" s="788">
        <f>0</f>
        <v>0</v>
      </c>
      <c r="D72" s="788">
        <f>228-22</f>
        <v>206</v>
      </c>
      <c r="E72" s="788">
        <f>314+321+180+332-22</f>
        <v>1125</v>
      </c>
      <c r="F72" s="788">
        <f>107+318+170-1-22</f>
        <v>572</v>
      </c>
      <c r="G72" s="788">
        <f>154-1-22</f>
        <v>131</v>
      </c>
      <c r="H72" s="788">
        <f>84+50-22</f>
        <v>112</v>
      </c>
      <c r="I72" s="788">
        <f>40+38-22-2</f>
        <v>54</v>
      </c>
      <c r="J72" s="788">
        <f>0</f>
        <v>0</v>
      </c>
      <c r="K72" s="788">
        <f>0</f>
        <v>0</v>
      </c>
      <c r="L72" s="789">
        <f>SUM(C72:K72)</f>
        <v>2200</v>
      </c>
      <c r="M72" s="1"/>
    </row>
    <row r="73" spans="2:13" ht="18">
      <c r="B73" s="787" t="s">
        <v>215</v>
      </c>
      <c r="C73" s="790">
        <v>0</v>
      </c>
      <c r="D73" s="790">
        <f>224+230-22</f>
        <v>432</v>
      </c>
      <c r="E73" s="790">
        <f>101+116+150+169-22</f>
        <v>514</v>
      </c>
      <c r="F73" s="790">
        <f>95+199+220+190+90-22</f>
        <v>772</v>
      </c>
      <c r="G73" s="790">
        <f>161+201-22</f>
        <v>340</v>
      </c>
      <c r="H73" s="790">
        <f>20+36+80-22</f>
        <v>114</v>
      </c>
      <c r="I73" s="790">
        <f>101+50-22</f>
        <v>129</v>
      </c>
      <c r="J73" s="788">
        <f>0</f>
        <v>0</v>
      </c>
      <c r="K73" s="788">
        <f>0</f>
        <v>0</v>
      </c>
      <c r="L73" s="789">
        <f>SUM(C73:K73)</f>
        <v>2301</v>
      </c>
      <c r="M73" s="1"/>
    </row>
    <row r="74" spans="2:13" ht="18">
      <c r="B74" s="55"/>
      <c r="C74" s="794"/>
      <c r="D74" s="794"/>
      <c r="E74" s="794"/>
      <c r="F74" s="794"/>
      <c r="G74" s="794"/>
      <c r="H74" s="794"/>
      <c r="I74" s="794"/>
      <c r="J74" s="794"/>
      <c r="K74" s="794"/>
      <c r="L74" s="815">
        <f>SUM(L72:L73)</f>
        <v>4501</v>
      </c>
    </row>
    <row r="75" spans="2:13" ht="16" thickBot="1"/>
    <row r="76" spans="2:13" ht="42" thickBot="1">
      <c r="B76" s="778" t="s">
        <v>273</v>
      </c>
      <c r="C76" s="779"/>
      <c r="D76" s="779"/>
      <c r="E76" s="779"/>
      <c r="F76" s="779"/>
      <c r="G76" s="779"/>
      <c r="H76" s="779"/>
      <c r="I76" s="779"/>
      <c r="J76" s="779"/>
      <c r="K76" s="779"/>
      <c r="L76" s="780"/>
      <c r="M76" s="803"/>
    </row>
    <row r="77" spans="2:13" ht="16" thickBot="1">
      <c r="B77" s="1"/>
      <c r="C77" s="816" t="s">
        <v>48</v>
      </c>
      <c r="D77" s="817"/>
      <c r="E77" s="817"/>
      <c r="F77" s="817"/>
      <c r="G77" s="817"/>
      <c r="H77" s="817"/>
      <c r="I77" s="817"/>
      <c r="J77" s="817"/>
      <c r="K77" s="817"/>
      <c r="L77" s="817"/>
      <c r="M77" s="1"/>
    </row>
    <row r="78" spans="2:13" ht="22" thickBot="1">
      <c r="B78" s="784" t="s">
        <v>9</v>
      </c>
      <c r="C78" s="785" t="s">
        <v>233</v>
      </c>
      <c r="D78" s="785" t="s">
        <v>10</v>
      </c>
      <c r="E78" s="786" t="s">
        <v>11</v>
      </c>
      <c r="F78" s="786" t="s">
        <v>12</v>
      </c>
      <c r="G78" s="786" t="s">
        <v>13</v>
      </c>
      <c r="H78" s="786" t="s">
        <v>14</v>
      </c>
      <c r="I78" s="786" t="s">
        <v>15</v>
      </c>
      <c r="J78" s="786" t="s">
        <v>16</v>
      </c>
      <c r="K78" s="786" t="s">
        <v>17</v>
      </c>
      <c r="L78" s="786" t="s">
        <v>18</v>
      </c>
      <c r="M78" s="160" t="s">
        <v>84</v>
      </c>
    </row>
    <row r="79" spans="2:13" ht="34.5" customHeight="1">
      <c r="B79" s="818" t="s">
        <v>274</v>
      </c>
      <c r="C79" s="788">
        <f>30-2-1-1-3-1+10-1</f>
        <v>31</v>
      </c>
      <c r="D79" s="788">
        <f>30-2-1+99-1-1+5-1-1-2-1-1-3-1-1+1-2</f>
        <v>117</v>
      </c>
      <c r="E79" s="788">
        <f>37+47-2-1-3-1+183-2-1-10-1-2-1-1-3-1-1-2-2-1-1-1-1-1-3-2-1-1-1-10-1-2</f>
        <v>207</v>
      </c>
      <c r="F79" s="788">
        <f>61+36+57-1-3-2-1-1-1-3+1+159-1-1-1-1-20-1-6-1-2-1-5-1-1-2-1-1-2-1-1-1-1-1-1-1-1-1-3-6-2-2-1-1-10+24-1+24-1-1-1-4-24-2</f>
        <v>234</v>
      </c>
      <c r="G79" s="788">
        <f>37+10+29+80-3-2-3-1-5-1-1+15-1-10-1-2-1-1-2-1-1-1-1-1-2-1-1-2-1-1-1-1-1-1-1-3-1-3-5-1-1-20-6-1-1-2+100-1-2-30-2</f>
        <v>140</v>
      </c>
      <c r="H79" s="788">
        <f>2+54-2-1-1+15-1-10-11-2-2-1-1-1-3-1-4-2-12+37-1+160+80-2</f>
        <v>290</v>
      </c>
      <c r="I79" s="788">
        <f>30-2-1-1+5-1-2-1-1-1-3-1-1+2-2-1+120-29-2</f>
        <v>108</v>
      </c>
      <c r="J79" s="788">
        <f>15-4-2+5-1-1-3-1+16-1+60</f>
        <v>83</v>
      </c>
      <c r="K79" s="788">
        <f>15-2+5-1-3+16+25</f>
        <v>55</v>
      </c>
      <c r="L79" s="788">
        <f>0</f>
        <v>0</v>
      </c>
      <c r="M79" s="787">
        <f>SUM(D79:L79)</f>
        <v>1234</v>
      </c>
    </row>
    <row r="80" spans="2:13" ht="33" customHeight="1">
      <c r="B80" s="818" t="s">
        <v>275</v>
      </c>
      <c r="C80" s="788">
        <f>30-2-3-4+10-1</f>
        <v>30</v>
      </c>
      <c r="D80" s="788">
        <f>19+11-2+147-1-1-1-10-1+5-2-1-1-3-8-1-1-2</f>
        <v>147</v>
      </c>
      <c r="E80" s="788">
        <f>5+2+77-2-1-3-1+70-4-2-10-1+28-1-1-2-1-2-1-1-1-1-1-1-1-1-3-1-1+96+3+15-1-1-1-3-2+100-2</f>
        <v>342</v>
      </c>
      <c r="F80" s="788">
        <f>80-2-1+116+145-1-1-1-1-1-4-1-1-20-1-1-2-1-1-1-1-2-1-2-1-1-1-1-1-1-1-1-3-1-1-84-1+60-1-3-2-1-2</f>
        <v>247</v>
      </c>
      <c r="G80" s="788">
        <f>80-2+117-5-1-1+18-4-1-1-10-1-1-1-2-1-1-4-2-2-1-1-1-3-1-1-1-1-1-1-1-3-1-80-1+150-1-1-2</f>
        <v>223</v>
      </c>
      <c r="H80" s="788">
        <f>53-2-1-4-1-10-1-2-2-2-2-1-1-1-3-2+8-1+120-1-2</f>
        <v>142</v>
      </c>
      <c r="I80" s="788">
        <f>30-2-1-4-1-1-1-1-1-3+75-2</f>
        <v>88</v>
      </c>
      <c r="J80" s="788">
        <f>15-2+5-1-1-1-1-1-2-3+1+40</f>
        <v>49</v>
      </c>
      <c r="K80" s="788">
        <f>15-2+5-1-3</f>
        <v>14</v>
      </c>
      <c r="L80" s="788">
        <f>0</f>
        <v>0</v>
      </c>
      <c r="M80" s="787">
        <f>SUM(D80:L80)</f>
        <v>1252</v>
      </c>
    </row>
    <row r="81" spans="2:13" ht="18">
      <c r="B81" s="794"/>
      <c r="C81" s="794"/>
      <c r="D81" s="794"/>
      <c r="E81" s="794"/>
      <c r="F81" s="794" t="s">
        <v>59</v>
      </c>
      <c r="G81" s="794"/>
      <c r="H81" s="794"/>
      <c r="I81" s="794"/>
      <c r="J81" s="794"/>
      <c r="K81" s="794"/>
      <c r="M81" s="795">
        <f>SUM(M79:M80)</f>
        <v>2486</v>
      </c>
    </row>
    <row r="82" spans="2:13" ht="16" thickBot="1"/>
    <row r="83" spans="2:13" ht="42" thickBot="1">
      <c r="B83" s="819" t="s">
        <v>276</v>
      </c>
      <c r="C83" s="820"/>
      <c r="D83" s="820"/>
      <c r="E83" s="820"/>
      <c r="F83" s="820"/>
      <c r="G83" s="820"/>
      <c r="H83" s="820"/>
      <c r="I83" s="820"/>
      <c r="J83" s="820"/>
      <c r="K83" s="820"/>
      <c r="L83" s="821"/>
      <c r="M83" s="806"/>
    </row>
    <row r="84" spans="2:13" ht="16" thickBot="1">
      <c r="B84" s="1"/>
      <c r="C84" s="822" t="s">
        <v>48</v>
      </c>
      <c r="D84" s="823"/>
      <c r="E84" s="823"/>
      <c r="F84" s="823"/>
      <c r="G84" s="823"/>
      <c r="H84" s="823"/>
      <c r="I84" s="823"/>
      <c r="J84" s="823"/>
      <c r="K84" s="823"/>
      <c r="L84" s="824"/>
      <c r="M84" s="1"/>
    </row>
    <row r="85" spans="2:13" ht="22" thickBot="1">
      <c r="B85" s="784" t="s">
        <v>9</v>
      </c>
      <c r="C85" s="785" t="s">
        <v>233</v>
      </c>
      <c r="D85" s="785" t="s">
        <v>10</v>
      </c>
      <c r="E85" s="786" t="s">
        <v>11</v>
      </c>
      <c r="F85" s="786" t="s">
        <v>12</v>
      </c>
      <c r="G85" s="786" t="s">
        <v>13</v>
      </c>
      <c r="H85" s="786" t="s">
        <v>14</v>
      </c>
      <c r="I85" s="786" t="s">
        <v>15</v>
      </c>
      <c r="J85" s="786" t="s">
        <v>16</v>
      </c>
      <c r="K85" s="786" t="s">
        <v>17</v>
      </c>
      <c r="L85" s="786" t="s">
        <v>18</v>
      </c>
      <c r="M85" s="160" t="s">
        <v>84</v>
      </c>
    </row>
    <row r="86" spans="2:13" ht="19.5" customHeight="1">
      <c r="B86" s="818" t="s">
        <v>274</v>
      </c>
      <c r="C86" s="788">
        <f>4+89-3-1-1</f>
        <v>88</v>
      </c>
      <c r="D86" s="788">
        <f>30+26+29+99-2+2-1-10-1-1-1-1-2-1-3-1-30-2</f>
        <v>130</v>
      </c>
      <c r="E86" s="788">
        <f>13+70-1+188-2-2-1-10-1-1-1-1-1-1-1-2-1-2-1-1-2-1-9-3-3-29-2-1-116-2-9-2-29-2-25</f>
        <v>6</v>
      </c>
      <c r="F86" s="788">
        <f>39+70+70-1-1-1-1-1+159-1-2-1-10-1-3-2-1-1-1-1-1-4-2-1-1-2-1-1-1-1-1-1-1-1-2-1-5+45-3-3-3-77-6-14-1-1-2-2-60-50-4-6-4-1-3-9-8-2-63-2-2-1+302</f>
        <v>302</v>
      </c>
      <c r="G86" s="788">
        <f>8+70+39-9-1-1+15-1-2-1-1-10-1-1-2-1-1-2-1-2-2-1-1-1-1-1-2-4-1-1-1-5+100-1+100-1-10-3-9-56-1-2-1-4-1-67-1-4-2-1-4-4-1-21-1-30-2-47+303</f>
        <v>303</v>
      </c>
      <c r="H86" s="788">
        <f>55+40+15-2-1-10-1-1-2-1-1-2-1-1-2-1+80-3-1-6-21-6-1-1-89-1-4-1-2-3-3-19-3</f>
        <v>0</v>
      </c>
      <c r="I86" s="790">
        <f>15-1+30+5-2-1-1-1-8-2-1-3-5-6-1+44-13-4-2-1-2</f>
        <v>40</v>
      </c>
      <c r="J86" s="788">
        <f>15+4-2-1-1-1+15-3-1-1-1-3-11-1</f>
        <v>8</v>
      </c>
      <c r="K86" s="788">
        <f>15+4-2-1+15-3-14</f>
        <v>14</v>
      </c>
      <c r="L86" s="825">
        <f>0+18</f>
        <v>18</v>
      </c>
      <c r="M86" s="789">
        <f>SUM(D86:L86)</f>
        <v>821</v>
      </c>
    </row>
    <row r="87" spans="2:13" ht="24.75" customHeight="1">
      <c r="B87" s="818" t="s">
        <v>275</v>
      </c>
      <c r="C87" s="788">
        <f>4-1+100-3-10-1</f>
        <v>89</v>
      </c>
      <c r="D87" s="788">
        <f>30+30-2+104-1-10-5-2-1-3-3-1-2-2</f>
        <v>132</v>
      </c>
      <c r="E87" s="788">
        <f>58+26-30-2-2+100-2-1-10-1+69-1-10-1-2-1-1-2-1-1-1-1-1-2-1-1+99-9-1-3+209-41-1-3-6-3-1-2</f>
        <v>416</v>
      </c>
      <c r="F87" s="788">
        <f>93-1-2-5-30-2-2-1-10-1-3+159-12-1-2-1-1-1-5-1-1-1-2-1-1-1-1-1-1-1-1-2-1-1-5+199-2-3-6-4+210-1+55-1-1-3-1-6-2-1-1-2</f>
        <v>580</v>
      </c>
      <c r="G87" s="788">
        <f>31+39-1-1-1-5-30-2-2-1-1-10-1-1-1+20-18-2-1-1-1-1-2-1-1-2-2-1+20-1-4-2-1+308-1-5-1-3-3-10+255-3-2-1-3-2-1-2-1-4-2-2-2-20-1</f>
        <v>506</v>
      </c>
      <c r="H87" s="788">
        <f>33-1-1-1-1-5-2-2-1-10-1+19-5-1-1-1-4-1-5-1-4-1-1-1-1+149-1-1-3-1-1+98-6-1-4-3-1-6-6-2-1-2-1-2</f>
        <v>205</v>
      </c>
      <c r="I87" s="790">
        <f>22-1-1-2-2-1-1-1-4-1-1-1-1-1-2-1-1+97-1-3-1-1+34+3-6-2</f>
        <v>120</v>
      </c>
      <c r="J87" s="788">
        <f>15-2-2-1+5-1-1-1-1+20-2-3+35+3-3</f>
        <v>61</v>
      </c>
      <c r="K87" s="788">
        <f>14-2-1-1+20-3+1</f>
        <v>28</v>
      </c>
      <c r="L87" s="825">
        <f>0</f>
        <v>0</v>
      </c>
      <c r="M87" s="826">
        <f>SUM(D87:L87)</f>
        <v>2048</v>
      </c>
    </row>
    <row r="88" spans="2:13" ht="18">
      <c r="B88" s="827"/>
      <c r="C88" s="828"/>
      <c r="D88" s="828"/>
      <c r="E88" s="828"/>
      <c r="F88" s="828"/>
      <c r="G88" s="828"/>
      <c r="H88" s="828"/>
      <c r="I88" s="828"/>
      <c r="J88" s="828"/>
      <c r="K88" s="828"/>
      <c r="L88" s="829"/>
      <c r="M88" s="830">
        <f>SUM(M86:M87)</f>
        <v>2869</v>
      </c>
    </row>
    <row r="89" spans="2:13" ht="19" thickBot="1">
      <c r="B89" s="831"/>
      <c r="C89" s="832"/>
      <c r="D89" s="832"/>
      <c r="E89" s="794"/>
      <c r="F89" s="832"/>
      <c r="G89" s="832"/>
      <c r="H89" s="832"/>
      <c r="I89" s="794"/>
      <c r="J89" s="832"/>
      <c r="K89" s="794"/>
      <c r="L89" s="55"/>
      <c r="M89" s="794"/>
    </row>
    <row r="90" spans="2:13" ht="42" thickBot="1">
      <c r="B90" s="778" t="s">
        <v>277</v>
      </c>
      <c r="C90" s="779"/>
      <c r="D90" s="779"/>
      <c r="E90" s="779"/>
      <c r="F90" s="779"/>
      <c r="G90" s="779"/>
      <c r="H90" s="779"/>
      <c r="I90" s="779"/>
      <c r="J90" s="779"/>
      <c r="K90" s="780"/>
      <c r="L90" s="806"/>
      <c r="M90" s="806"/>
    </row>
    <row r="91" spans="2:13" ht="16" thickBot="1">
      <c r="B91" s="1"/>
      <c r="C91" s="781" t="s">
        <v>48</v>
      </c>
      <c r="D91" s="782"/>
      <c r="E91" s="782"/>
      <c r="F91" s="782"/>
      <c r="G91" s="782"/>
      <c r="H91" s="782"/>
      <c r="I91" s="782"/>
      <c r="J91" s="782"/>
      <c r="K91" s="783"/>
      <c r="L91" s="1"/>
      <c r="M91" s="1"/>
    </row>
    <row r="92" spans="2:13" ht="22" thickBot="1">
      <c r="B92" s="784" t="s">
        <v>9</v>
      </c>
      <c r="C92" s="785" t="s">
        <v>233</v>
      </c>
      <c r="D92" s="796" t="s">
        <v>10</v>
      </c>
      <c r="E92" s="797" t="s">
        <v>11</v>
      </c>
      <c r="F92" s="797" t="s">
        <v>12</v>
      </c>
      <c r="G92" s="797" t="s">
        <v>13</v>
      </c>
      <c r="H92" s="797" t="s">
        <v>14</v>
      </c>
      <c r="I92" s="797" t="s">
        <v>15</v>
      </c>
      <c r="J92" s="797" t="s">
        <v>16</v>
      </c>
      <c r="K92" s="797" t="s">
        <v>17</v>
      </c>
      <c r="L92" s="797" t="s">
        <v>18</v>
      </c>
      <c r="M92" s="160" t="s">
        <v>84</v>
      </c>
    </row>
    <row r="93" spans="2:13" ht="18">
      <c r="B93" s="787" t="s">
        <v>33</v>
      </c>
      <c r="C93" s="790">
        <f>0+55</f>
        <v>55</v>
      </c>
      <c r="D93" s="790">
        <f>17-2-2-1-1+2-2-1-2-1-1-1-1+146-4-2+25-1-1-1-1-1</f>
        <v>164</v>
      </c>
      <c r="E93" s="790">
        <f>1-1+32+4-4-2-1-1-1-1-1-1-2-1-1+147-1-1-1-1-2+57+79-1-2-1+35-1-1-1-1</f>
        <v>324</v>
      </c>
      <c r="F93" s="790">
        <f>67+15-2-3-1-3-1-1-1-20-39+28-28-2-1-2-1-2-1-1-1+58-2-1-1-3-2-1-3+275-2-1-10-1-1-1-2-2-2-1-1+1-6-1-1-6-1-1-1-1</f>
        <v>279</v>
      </c>
      <c r="G93" s="790">
        <f>46-2+11-4-1-4-1-1-15-25+28-28-2-1-1+50+38-3-3-2+40-8+40+66+144-4-1-2-2-7-6-1-6-55-6-6-1-1-7-1-1+15</f>
        <v>270</v>
      </c>
      <c r="H93" s="790">
        <f>26+7+18-1-4-4-2-2-1-15-13-9+8-8+13-1-3-2+63+110-1-1-1-1-1-1-1-8-2-2-4-1-6-1-2-1-1+15-1</f>
        <v>159</v>
      </c>
      <c r="I93" s="790">
        <f>9+4-4-2-1-1+26+64+8-1-2-1-1-1-2-2-1-1-2-87-2+5+47-9</f>
        <v>43</v>
      </c>
      <c r="J93" s="790">
        <f>5-2+3-1-1-2+10+20-1-1+5</f>
        <v>35</v>
      </c>
      <c r="K93" s="790">
        <f>8-2-1-2+29-1+5</f>
        <v>36</v>
      </c>
      <c r="L93" s="790">
        <f>0+5+23</f>
        <v>28</v>
      </c>
      <c r="M93" s="792">
        <f>SUM(D93:L93)</f>
        <v>1338</v>
      </c>
    </row>
    <row r="94" spans="2:13" ht="18">
      <c r="B94" s="787" t="s">
        <v>28</v>
      </c>
      <c r="C94" s="790">
        <f>0+118</f>
        <v>118</v>
      </c>
      <c r="D94" s="790">
        <f>17-1-2-1-1-1-2-1+33-1+116-2-1+9+3-1+15</f>
        <v>179</v>
      </c>
      <c r="E94" s="790">
        <f>9-1-2-1+6-2-1-1-1-1-1-1-1-1-1+116-1-1-2-1-1+10+4-1+59+1-1</f>
        <v>182</v>
      </c>
      <c r="F94" s="790">
        <f>24+27-2-1-3-1-1-1-2-1-1-15+14-2-1+3-1-1-1-2-1-1-1-1-1-1-1-1-2-1-3+2-1-5+2+72-1+120+40+33+18</f>
        <v>298</v>
      </c>
      <c r="G94" s="790">
        <f>65-2-4-1-1-1-1-20-4-2-1+4-1-1-1-1-1-1-1-1-1-1-1-2-1-4+50+3-1-2-7-1-1-1-1+140+53-1</f>
        <v>245</v>
      </c>
      <c r="H94" s="790">
        <f>38-4-2-1-15-1-2+4-1-1-1-1-1-2-1-1-2-1-1-1-3+2-1-1+149</f>
        <v>149</v>
      </c>
      <c r="I94" s="790">
        <f>20-2-1-1-1-1-2+4-1+2-1-1+59-1</f>
        <v>73</v>
      </c>
      <c r="J94" s="790">
        <f>7-1-2-1-2-1+10+1-1+2-1+1</f>
        <v>12</v>
      </c>
      <c r="K94" s="790">
        <f>9-2-1-1-1-2+10-1-1+2+14+1</f>
        <v>27</v>
      </c>
      <c r="L94" s="790">
        <f>0+10+13+1</f>
        <v>24</v>
      </c>
      <c r="M94" s="789">
        <f>SUM(D94:L94)</f>
        <v>1189</v>
      </c>
    </row>
    <row r="95" spans="2:13" ht="18">
      <c r="B95" s="794"/>
      <c r="C95" s="794"/>
      <c r="D95" s="794"/>
      <c r="E95" s="794"/>
      <c r="F95" s="794"/>
      <c r="G95" s="794"/>
      <c r="H95" s="794"/>
      <c r="I95" s="794"/>
      <c r="J95" s="794"/>
      <c r="K95" s="794"/>
      <c r="M95" s="795">
        <f>SUM(M93:M94)</f>
        <v>2527</v>
      </c>
    </row>
    <row r="96" spans="2:13" ht="16" thickBot="1"/>
    <row r="97" spans="2:13" ht="42" thickBot="1">
      <c r="B97" s="778" t="s">
        <v>278</v>
      </c>
      <c r="C97" s="779"/>
      <c r="D97" s="779"/>
      <c r="E97" s="779"/>
      <c r="F97" s="779"/>
      <c r="G97" s="779"/>
      <c r="H97" s="779"/>
      <c r="I97" s="779"/>
      <c r="J97" s="779"/>
      <c r="K97" s="780"/>
      <c r="L97" s="806"/>
      <c r="M97" s="806"/>
    </row>
    <row r="98" spans="2:13" ht="16" thickBot="1">
      <c r="B98" s="1"/>
      <c r="C98" s="781" t="s">
        <v>48</v>
      </c>
      <c r="D98" s="782"/>
      <c r="E98" s="782"/>
      <c r="F98" s="782"/>
      <c r="G98" s="782"/>
      <c r="H98" s="782"/>
      <c r="I98" s="782"/>
      <c r="J98" s="782"/>
      <c r="K98" s="783"/>
      <c r="L98" s="1"/>
      <c r="M98" s="1"/>
    </row>
    <row r="99" spans="2:13" ht="22" thickBot="1">
      <c r="B99" s="784" t="s">
        <v>9</v>
      </c>
      <c r="C99" s="785" t="s">
        <v>10</v>
      </c>
      <c r="D99" s="786" t="s">
        <v>11</v>
      </c>
      <c r="E99" s="786" t="s">
        <v>12</v>
      </c>
      <c r="F99" s="786" t="s">
        <v>13</v>
      </c>
      <c r="G99" s="786" t="s">
        <v>14</v>
      </c>
      <c r="H99" s="786" t="s">
        <v>15</v>
      </c>
      <c r="I99" s="786" t="s">
        <v>16</v>
      </c>
      <c r="J99" s="786" t="s">
        <v>17</v>
      </c>
      <c r="K99" s="786" t="s">
        <v>18</v>
      </c>
      <c r="L99" s="160" t="s">
        <v>84</v>
      </c>
      <c r="M99" s="1"/>
    </row>
    <row r="100" spans="2:13" ht="18">
      <c r="B100" s="787" t="s">
        <v>33</v>
      </c>
      <c r="C100" s="788">
        <f>30-2+50-2-11-1-1-3+23-1-1-1-1-3-1-1-1-1-9-22+18-1</f>
        <v>58</v>
      </c>
      <c r="D100" s="788">
        <f>79-2-2-1+108-30-1+1-1-1-15-30-1-1-1-1-1-2+50-1-1-1+23-1-1-3-50+8-2-1-1-1+18-2</f>
        <v>132</v>
      </c>
      <c r="E100" s="788">
        <f>70+71+36+34-2-6-1-1-1-11-1-1-90+50-1-1-1-15-90-1-2-1-1-1-2+99+99-1-1-1-1-9-1-1-1-1-2-3-2-1-1-1-92-10-10+94-7-2-25-3-1-1-8-1+100+16-2</f>
        <v>250</v>
      </c>
      <c r="F100" s="788">
        <f>44-1-10+88-65-1+90-1-2-1-1-1-2-1+49-8-1-1-1-1-1-1-1-6-2-1-2-3-2-81-2-30-30-11+100-8-4-1-1+90+67-2</f>
        <v>241</v>
      </c>
      <c r="G100" s="788">
        <f>59-1-2-17-20+47+1-1-10-20-1-1-2+95-16-5-3-1-1-1-47-2-5-10-7-10+19-6-2-4+114-1-8</f>
        <v>131</v>
      </c>
      <c r="H100" s="788">
        <f>30-2-1-6-10+29-1-10-1-1-1+49-1-7-1-2-3-2-1-1-55-2+37-7-1</f>
        <v>29</v>
      </c>
      <c r="I100" s="790">
        <f>15+15-1-1-3-12-1-2-1-8+17</f>
        <v>18</v>
      </c>
      <c r="J100" s="788">
        <f>15-2-3+16</f>
        <v>26</v>
      </c>
      <c r="K100" s="788">
        <f>0</f>
        <v>0</v>
      </c>
      <c r="L100" s="789">
        <f>SUM(C100:K100)</f>
        <v>885</v>
      </c>
      <c r="M100" s="1"/>
    </row>
    <row r="101" spans="2:13" ht="18">
      <c r="B101" s="787" t="s">
        <v>28</v>
      </c>
      <c r="C101" s="790">
        <f>30-2+45-2-1-1-1-1-3-3-1+10</f>
        <v>70</v>
      </c>
      <c r="D101" s="790">
        <f>78-2-15-1-1-1-1-26-1-1-2-1-1-1-7+2+49-1-1-3-1-1-3-2+100-4-1-2+26</f>
        <v>175</v>
      </c>
      <c r="E101" s="790">
        <f>32-15-1-2+63-15-3-1-2-5-1-1-15-1-2-1-1-1-1-7+11+88+100-1-1-1-3-3+148-12-1-1-2-1-11-2</f>
        <v>328</v>
      </c>
      <c r="F101" s="790">
        <f>67+70-1-1-3-2-1-1-10-2-1-2-5-1-11-1-2-1-1-1-1-2+12+88-1-2-1-3-1-1-3-60+65-19-1-1-12+140-140-2</f>
        <v>145</v>
      </c>
      <c r="G101" s="790">
        <f>20+40-2+77-1-1-10-1-1-1-1-2-1-1-2-3-67-1-2-1-3-1-1-1+52</f>
        <v>85</v>
      </c>
      <c r="H101" s="790">
        <f>30-2+39-1-1-1-1-1-1-1-3-1-46-10+70-70</f>
        <v>0</v>
      </c>
      <c r="I101" s="807">
        <f>15-2+19-1-1-1-3-1-1-1-14+11-1-6-9-1-2+2+25</f>
        <v>28</v>
      </c>
      <c r="J101" s="790">
        <f>15-2+21-10-1-3+3-3+25</f>
        <v>45</v>
      </c>
      <c r="K101" s="788">
        <f>0</f>
        <v>0</v>
      </c>
      <c r="L101" s="789">
        <f>SUM(C101:K101)</f>
        <v>876</v>
      </c>
      <c r="M101" s="1"/>
    </row>
    <row r="102" spans="2:13" ht="18">
      <c r="B102" s="787" t="s">
        <v>19</v>
      </c>
      <c r="C102" s="790">
        <f>9-1-2-1-1-4+1-1+40-1</f>
        <v>39</v>
      </c>
      <c r="D102" s="790">
        <f>23-1-2-1-1-1-1+4-2-2-1+73+10-2-1-1-1-1-1-6-1-1-3-1-7-3+2-1-2-3-1-1-1-1-1-1-2</f>
        <v>57</v>
      </c>
      <c r="E102" s="790">
        <f>44-2-1-1-1-2-1+64+20-2-1-1-1-1-1-1-2-1-6-1-1-15-3-11-1-1-1-11-6-6-7-1-1-4-1-2</f>
        <v>30</v>
      </c>
      <c r="F102" s="790">
        <f>12-1-2-1-2-1-2-1+81+24-1-2-2-1-1-1-2-1-2-1-6-1-15-1-3-9-6-6-6+6-8-1-1-1-1-1+112-2</f>
        <v>143</v>
      </c>
      <c r="G102" s="790">
        <f>30-2-1-1-1-1+28+5-1-2-1-1-1-3-1-8-1-6-1-1+59-1</f>
        <v>88</v>
      </c>
      <c r="H102" s="790">
        <f>10-5-2-1-1+15+20-1-5-1-3-6+3-1-1-1+25-1</f>
        <v>44</v>
      </c>
      <c r="I102" s="790">
        <f>2-1+25</f>
        <v>26</v>
      </c>
      <c r="J102" s="790">
        <f>5-2-3+1-1+20</f>
        <v>20</v>
      </c>
      <c r="K102" s="788">
        <f>0</f>
        <v>0</v>
      </c>
      <c r="L102" s="789">
        <f>SUM(C102:K102)</f>
        <v>447</v>
      </c>
      <c r="M102" s="1"/>
    </row>
    <row r="103" spans="2:13" ht="18">
      <c r="B103" s="794"/>
      <c r="C103" s="794"/>
      <c r="D103" s="794"/>
      <c r="E103" s="794"/>
      <c r="F103" s="794"/>
      <c r="G103" s="794"/>
      <c r="H103" s="794"/>
      <c r="I103" s="794"/>
      <c r="J103" s="794"/>
      <c r="K103" s="794"/>
      <c r="L103" s="795">
        <f>SUM(L100:L102)</f>
        <v>2208</v>
      </c>
    </row>
    <row r="105" spans="2:13" ht="16" thickBot="1"/>
    <row r="106" spans="2:13" ht="42" thickBot="1">
      <c r="B106" s="778" t="s">
        <v>244</v>
      </c>
      <c r="C106" s="779" t="s">
        <v>244</v>
      </c>
      <c r="D106" s="779" t="s">
        <v>244</v>
      </c>
      <c r="E106" s="779" t="s">
        <v>244</v>
      </c>
      <c r="F106" s="779" t="s">
        <v>244</v>
      </c>
      <c r="G106" s="779" t="s">
        <v>244</v>
      </c>
      <c r="H106" s="779" t="s">
        <v>244</v>
      </c>
      <c r="I106" s="779" t="s">
        <v>244</v>
      </c>
      <c r="J106" s="779" t="s">
        <v>244</v>
      </c>
      <c r="K106" s="779" t="s">
        <v>244</v>
      </c>
      <c r="L106" s="780" t="s">
        <v>244</v>
      </c>
      <c r="M106" s="806"/>
    </row>
    <row r="107" spans="2:13" ht="16" thickBot="1">
      <c r="B107" s="1"/>
      <c r="C107" s="816" t="s">
        <v>48</v>
      </c>
      <c r="D107" s="817"/>
      <c r="E107" s="817"/>
      <c r="F107" s="817"/>
      <c r="G107" s="817"/>
      <c r="H107" s="817"/>
      <c r="I107" s="817"/>
      <c r="J107" s="817"/>
      <c r="K107" s="817"/>
      <c r="L107" s="833"/>
      <c r="M107" s="1"/>
    </row>
    <row r="108" spans="2:13" ht="22" thickBot="1">
      <c r="B108" s="784" t="s">
        <v>9</v>
      </c>
      <c r="C108" s="785" t="s">
        <v>233</v>
      </c>
      <c r="D108" s="785" t="s">
        <v>10</v>
      </c>
      <c r="E108" s="786" t="s">
        <v>11</v>
      </c>
      <c r="F108" s="786" t="s">
        <v>12</v>
      </c>
      <c r="G108" s="786" t="s">
        <v>13</v>
      </c>
      <c r="H108" s="786" t="s">
        <v>14</v>
      </c>
      <c r="I108" s="786" t="s">
        <v>15</v>
      </c>
      <c r="J108" s="786" t="s">
        <v>16</v>
      </c>
      <c r="K108" s="786" t="s">
        <v>17</v>
      </c>
      <c r="L108" s="786" t="s">
        <v>18</v>
      </c>
      <c r="M108" s="160" t="s">
        <v>84</v>
      </c>
    </row>
    <row r="109" spans="2:13" ht="21">
      <c r="B109" s="787" t="s">
        <v>245</v>
      </c>
      <c r="C109" s="790">
        <f>0</f>
        <v>0</v>
      </c>
      <c r="D109" s="791">
        <f>20-1-1-1-1-1+43-1-1+28+59-1-1-1-1-1-2-3-1+1+2-1-1+78-2-1-1</f>
        <v>207</v>
      </c>
      <c r="E109" s="791">
        <f>39-10-2-1+10-10-1-1-4+79-1-1-1-4-1-10-1-2-1-2-1-1-1-1+24-15+128-1-1-3-13-1-28-13-1-3-5-3-1-1-1+3-3-2-1-1-12-17-3-2-7-1-1-2-1-1-11-2+65-3-2-2-5-1-1-1+175-2+160-160-3-1-13+2-19-9</f>
        <v>249</v>
      </c>
      <c r="F109" s="791">
        <f>39-10-1+10-10-1-1-1-1-1-3-3-1-4-1+68-2+1-1-1-1-2-14-1-1-1-1-1-4-1-2-1-1+68-1-1-20+195-1-1-1-4-3-32-103-32-1-5-5-3-1-7-1-1-2-2-1-35-6-2-6-2-1-1-1-4-1-21+100-23-6+48-9-5-2-1-1+130-1+103-10+48-149-4-2-1-1-1-2-55-1-1-63-34</f>
        <v>57</v>
      </c>
      <c r="G109" s="791">
        <f>39-10-1-1-1-1-1+10-1-1-4-1+64-3-1-1-1-1-1-1-2-6-2-4-2-1-1-10-1-3-1+64-1-5-10+194-1-11-1-1-17-211-17-1-1-2-5-10-5-1-2+2-6-1+1-1+148-1-29-1+2-8-5-2-1-1-2-1-2+118-12+137-137-4-32-1-5-1-1-34-1+20-1-34-46</f>
        <v>63</v>
      </c>
      <c r="H109" s="791">
        <f>73-1-1-1-1-2-1-4-1-1-1-1-1-1+15-1-1-1-1+67-5-1-3-7-104-7-1-1-5+1-1+12-1-11+78-1-3-8-1-1-8-3-10-1-1+78-3-1-3-42-1-5-1-20+3-23-23</f>
        <v>0</v>
      </c>
      <c r="I109" s="791">
        <f>34-1-1-2-1-1+15-2-1-3-1-26-1-1-4-3+28-1-1-1-1-6-19+75-1-6-1-2-1-1+11-1-3-1-2-38-1-2-11-1-2-12</f>
        <v>0</v>
      </c>
      <c r="J109" s="791">
        <f>9+54-1-1-1-60+74-8-2-1-2-11</f>
        <v>50</v>
      </c>
      <c r="K109" s="808">
        <f>0</f>
        <v>0</v>
      </c>
      <c r="L109" s="808">
        <f>0</f>
        <v>0</v>
      </c>
      <c r="M109" s="107">
        <f t="shared" ref="M109:M115" si="5">SUM(D109:L109)</f>
        <v>626</v>
      </c>
    </row>
    <row r="110" spans="2:13" ht="21">
      <c r="B110" s="787" t="s">
        <v>246</v>
      </c>
      <c r="C110" s="790">
        <f>0</f>
        <v>0</v>
      </c>
      <c r="D110" s="791">
        <f>3+20-1+23-1-1-5-1-1+27+27-3-2-1-1-1-1-1-1+12-2-4-1-1-4-4+3-1+15-1-1-2+1+2-3+3-1-3</f>
        <v>87</v>
      </c>
      <c r="E110" s="791">
        <f>38-1-1-10-1-1+20+62-1-1-1-13-2-1-1+57+41-1-1-4-11-2-18-1-2-1-1-1-4-1-1-1-1-1-1+8-2-1-1-12-16-1-1-10-2-12-1-1-12+1-1-1-17-3-1-1-1+100-2-9+2+9-1-1-27-1+3-4-2</f>
        <v>110</v>
      </c>
      <c r="F110" s="791">
        <f>39-1-1-4-1-9+20-4-1-1+57-2-1-1-1-16-3-1-3-1-1-3-1-1-1-1-1+57+30-4-2-18-7-65-1+26-2-1-1-1-1-1-1-3-1-3-1-1-5-2-1-1+5-11-1-4-10-1-4-20+152+160+44-5-53-7-40+7+40-4-30-2-2+4-1-8-16</f>
        <v>239</v>
      </c>
      <c r="G110" s="791">
        <f>40-1-1-1-1-3-1-1-1-2-10-1-1-1-1+20-10+69-2-1-1-15-6-1-5-1-9-2-4-5-2-1+57-9-10-5-1-40-4-1-25+71-1-1-2-1-1-1-1-1-1-3-1-1-5-2-1-1-1+1-10-1-3-2-1-1-1-28+1-1+172-3+146+43-345-7-1-1+198-24-1-1-1-1+1-1-1-15-16</f>
        <v>142</v>
      </c>
      <c r="H110" s="791">
        <f>39-10-1-1+20-1-1+63-1-1-1-1-8-4-1-1-1-1-1+26-8-1-35-1-5-4-10-30+37-1-1-2-1-1-3-1-1-1-1-1+8-1-1-1-1-1-1-1-6-1-1-23-1-1-1-9+105-1+47-47-1-1-19+1+19-1-17-2+2-2-9-6</f>
        <v>68</v>
      </c>
      <c r="I110" s="791">
        <f>10-1-2+20+34-1-2-1-5-20-19+39-1-2-1-1-1-1-1-1-3-1-3+11-1-1-1-1-3-3-6+40-2+30-30-1-8+1+8-1-1-3</f>
        <v>64</v>
      </c>
      <c r="J110" s="791">
        <f>10-1-1+54-1-3-1-10-1-2-1-1-3-1-2-2+3+3</f>
        <v>40</v>
      </c>
      <c r="K110" s="808">
        <f>0</f>
        <v>0</v>
      </c>
      <c r="L110" s="808">
        <f>0</f>
        <v>0</v>
      </c>
      <c r="M110" s="107">
        <f t="shared" si="5"/>
        <v>750</v>
      </c>
    </row>
    <row r="111" spans="2:13" ht="21">
      <c r="B111" s="787" t="s">
        <v>247</v>
      </c>
      <c r="C111" s="790">
        <f>0</f>
        <v>0</v>
      </c>
      <c r="D111" s="791">
        <f>19-10-1+12-1-1-1-1+59-1+19-1-1-1-1-1-2-1-2-1-1+3-1-1-1-2</f>
        <v>79</v>
      </c>
      <c r="E111" s="791">
        <f>37-1-1-1-1-1+21-1+120-1-1-1-1-1-1-2-11+120-1-1-1-1-1-25-5-1-3-15-25-5-3-10-1-2-1-5-1-10-1-1-2-1+31-3-2-2-9-3-2-10-5-1-15</f>
        <v>130</v>
      </c>
      <c r="F111" s="791">
        <f>36-1-1-1-1-1-1-1+21-1-1+100+18-7+2-1-1-1-1-1-1-5-1-1-1-10-1-4-18-1+24-2-2+179-3-1-1-1-1-1-1-1-1-2-1-66-46-3-1-5-34-1-66-7-1-40-1-2-2-1-1-1-5-5-3-1-2-1-3+189-10-1+69+53-53-7-40-4-1-10-1-1-1-1-2-1+1-2-1+2-1-1-21-35</f>
        <v>120</v>
      </c>
      <c r="G111" s="791">
        <f>30-1-1-1-1-1-1+20-1+73-6+40+5-1-1-1-2-1-1-4-4-40+93-1+18-2-1-1-13-1+20-1-1-1-46+42-59-2-3-7-28-46-8-52+25-1-2-2-2-1-1-10-2-4+77+40-1-3+198-2-1-7-30-4-1-5-1+2-1-1-1-1-8-9-35</f>
        <v>206</v>
      </c>
      <c r="H111" s="791">
        <f>31-1-1+20-2-1+120-3-1-3-35+29-2-1-1-3-1-1-6-16-30-1-2-11-16-5-32-1-1-1-1-1-2-3-1-1-1-10-1-1+63-3+84-1-1-1-1-19-3-1-1+1-60-15</f>
        <v>42</v>
      </c>
      <c r="I111" s="791">
        <f>9-1-1+20-1-1+2-1-2+60-2-1-2-1-20-1+20-1-1-1-1-10-12-3-10-11-1-1-1+30-2+39-1-8-2-1-1-1</f>
        <v>77</v>
      </c>
      <c r="J111" s="791">
        <f>10+22-1-1+30-1-1-5-5-1-4+12-3-2-1</f>
        <v>49</v>
      </c>
      <c r="K111" s="808">
        <f>0</f>
        <v>0</v>
      </c>
      <c r="L111" s="808">
        <f>0</f>
        <v>0</v>
      </c>
      <c r="M111" s="107">
        <f t="shared" si="5"/>
        <v>703</v>
      </c>
    </row>
    <row r="112" spans="2:13" ht="21">
      <c r="B112" s="787" t="s">
        <v>248</v>
      </c>
      <c r="C112" s="790">
        <f>0</f>
        <v>0</v>
      </c>
      <c r="D112" s="791">
        <f>20-1-2-1+43-1-1-1-1-2-9-2-2-1+10-1-1</f>
        <v>47</v>
      </c>
      <c r="E112" s="791">
        <f>40-1-1-1-1+84-1-1-1-7-1-1-1-1-2-1-1-1-3-13-1-1-2-1-1-1-38-3-3-1-1-3-7-10</f>
        <v>12</v>
      </c>
      <c r="F112" s="791">
        <f>39-1-1-11-1-3-1-1-1+80-1+1-1-1-5-1-1-1-1-1-1-1-1-2-1-1-1-1-1-3-5-18-51+147-1-1-8-1-2-1-4-1-32-7-3-1-1-40-8</f>
        <v>36</v>
      </c>
      <c r="G112" s="791">
        <f>40-1-1-1-3-1-3-1+84-1-1-2-1-1-1-2-3-1-1-3-1-5-4-34-52+43-1-1+62-4-1-1-4-1-1-14-1-2-3-1-40-7</f>
        <v>23</v>
      </c>
      <c r="H112" s="791">
        <f>40-1-2-1-1+83-1-1-1-1-1-1-1-1-1-3-9-64-1-1-1-1-29+97+46-1-2-3-1-1-6</f>
        <v>129</v>
      </c>
      <c r="I112" s="791">
        <f>10-1-1-1+54-1-1-1-1-1-2-2-1-1-1-1-1-1-1-5-15-1-24+49-2-14</f>
        <v>33</v>
      </c>
      <c r="J112" s="791">
        <f>9+54-1-1-1-60+47-1-1-1</f>
        <v>44</v>
      </c>
      <c r="K112" s="808">
        <f>0</f>
        <v>0</v>
      </c>
      <c r="L112" s="808">
        <f>0</f>
        <v>0</v>
      </c>
      <c r="M112" s="107">
        <f t="shared" si="5"/>
        <v>324</v>
      </c>
    </row>
    <row r="113" spans="2:13" ht="21">
      <c r="B113" s="787" t="s">
        <v>249</v>
      </c>
      <c r="C113" s="790">
        <f>0</f>
        <v>0</v>
      </c>
      <c r="D113" s="791">
        <f>20-1-10+4-4-1-1-1+38-1-2-1+17-3-1-3+1-1-2+68-2-1-1-2-3-2-3-1+44-4-1-1-3-1-1+113-7-4-5</f>
        <v>231</v>
      </c>
      <c r="E113" s="791">
        <f>40-1-4-1-1+13-13-1-1+70-1-51-7-1-1+26-1-29-2-4+5-1-1-1-4+66-15-6-1-2-33+80-3-21+80-7-2-1-1-1-15-1-1-5-1-13-13-1-1-1-1-2-1-1-1+191+129+20-21-3-11-1-1-1-1-6-3-5</f>
        <v>390</v>
      </c>
      <c r="F113" s="791">
        <f>40-1-1-1-1-4-1-1-2+47-47-1-1-2-1-1-1+31-1+1-5-1-1+19-1-1-1-61+7+4-1-2-1-1+29+40+110-1-8-1-1-1-1-3-2+60-20-8-1-2-123-5+130-2-1-16-1-4-13-1-2-1-1-2-1-1-1-32-3-1+55-4-1-1-11-2-13-1+44-2-5-1-4+206-3+32-1-1-1+145-77-1-4-10-5-1-2-1-9+3-11-20-5-1</f>
        <v>402</v>
      </c>
      <c r="G113" s="791">
        <f>39-1-1-1-1-12-1+43-43-1-1-1-1-1-1-1+39+9-4-1-2-1-5-1-1-1-1-51-1+18-1-2+80+80-1-1-1+47-1-4-2-1-1-4-1-10-10-179+34-1-1-11-1-4+96-12-8-6-1-2-8-1-1-1-3-1-25-1-1-1-1-4-1-1-8-2-1-15-1+194-3-1-1-2-5-1-2+189-1+147-161-1-4+2-23-3-1-1-1-1-21-1-2-2-9-12-5-18</f>
        <v>256</v>
      </c>
      <c r="H113" s="791">
        <f>40-1-1-1-4-1+26-26-1-1-1+86-6-1-22-1-3-1-2-10-2-1+24-1-2+13-1-1-1-1-2-1-2+10-5-3-1-2-1-3-2-5-1-1-2-1-2-72+25-1-2-22+39-3-1-1-2-1-1-1+1-6-1-1-6-1-2-1-1-1-1-1-1-6-1+181+1-2-1-44-1-1-3+67-13-2-1-6+9-1-1-8-2-14-1-3</f>
        <v>154</v>
      </c>
      <c r="I113" s="791">
        <f>10-1-1-3+9-9-1-1-1-1+45-2-4-2-1-1-9-1-1+4-1+9-1-1-35+54-1-1-1-48-3+34-7-1-2-2-1-6-1-1+82-70-2-5-1-3+15-1-1-27</f>
        <v>0</v>
      </c>
      <c r="J113" s="791">
        <f>10-1+4-4+20-1-5-1+10-16-4-2-1-1-1-1+3-2-2-1-1-1-1+69-1-22-1-3-1-3-1-1-37</f>
        <v>0</v>
      </c>
      <c r="K113" s="808">
        <f>0</f>
        <v>0</v>
      </c>
      <c r="L113" s="808">
        <f>0</f>
        <v>0</v>
      </c>
      <c r="M113" s="107">
        <f t="shared" si="5"/>
        <v>1433</v>
      </c>
    </row>
    <row r="114" spans="2:13" ht="21">
      <c r="B114" s="787" t="s">
        <v>250</v>
      </c>
      <c r="C114" s="790">
        <f>0</f>
        <v>0</v>
      </c>
      <c r="D114" s="791">
        <f>20-1+43-1-1-1-3-1-1+3+1-3-1-1-1-1-3-1-1-4-1-1-3+65-1+54</f>
        <v>155</v>
      </c>
      <c r="E114" s="791">
        <f>39-1-1-1-1+84-1-1-1-1-7-1-1-1-1+11-29-5-4-6+33-1-6-7-5+68-3-1-2-8-36-1-1-1-2-1-5+6-3-1+131-1</f>
        <v>224</v>
      </c>
      <c r="F114" s="791">
        <f>38-1-1-1-1-1+82-1-1-1-27-1-27-1-1-1-1-1-1-1-13+13-1-1-2-46+127-1-12-10-6-7-4+150-18-1+73-1-1-3-6-10-130-1-1-2-3-3-4-2-5+5-2-1-4-1+125-1-1+5</f>
        <v>244</v>
      </c>
      <c r="G114" s="791">
        <f>40-1-1-1+83-1-1-1-1-1-1-25-1-1-29-1-1-1-4-1+59-1-1-1-1-50-1-11-1-1-1-1-1-26-1+97-1-17-10-5-1-7-8-34-1+170+64-1-1-8-1-6-157-3-2-1-1-4+201-1-4-2-5+125-1-5-2-1-8-1-1-1-4-1+31-1-2</f>
        <v>390</v>
      </c>
      <c r="H114" s="791">
        <f>40-1-10-1-1+84-1-1-1-1-1-1-15-5+59-1-1-1-10-4-1-1-17-1-1-6-2-1-2+39-1-9-1-1-2-2-3-95-8-1-1-1-1-3-3-1-1+11-2-3+151-1</f>
        <v>156</v>
      </c>
      <c r="I114" s="791">
        <f>10-1+45-1-5-1-6-1-2+30-9-2-1-9-2-1-1-1-3-1-3-5-1-29+5-1+80</f>
        <v>84</v>
      </c>
      <c r="J114" s="791">
        <f>10+54-1-1-1-2-5-1-7-3-3-2-11-2-1-1-1-1-3-9-1-2+20</f>
        <v>26</v>
      </c>
      <c r="K114" s="808">
        <f>0</f>
        <v>0</v>
      </c>
      <c r="L114" s="808">
        <f>0</f>
        <v>0</v>
      </c>
      <c r="M114" s="107">
        <f t="shared" si="5"/>
        <v>1279</v>
      </c>
    </row>
    <row r="115" spans="2:13" ht="21">
      <c r="B115" s="787" t="s">
        <v>251</v>
      </c>
      <c r="C115" s="790">
        <f>0</f>
        <v>0</v>
      </c>
      <c r="D115" s="791">
        <f>20-10+43-1+30-1-1-1-2+20-2-3+12-1-1+1</f>
        <v>103</v>
      </c>
      <c r="E115" s="791">
        <f>40-11-1-1-1-1+81-1-1-3-2-1-1+87-2-1-1-28-1-3-9-1-1-9-4-2-2-1-1+67-1+130-1-1-2-1-1-3+19-3-10-67-1-1-3-25-1-1-1+1-6</f>
        <v>206</v>
      </c>
      <c r="F115" s="791">
        <f>40-1-1-1-32-1-1+50-1-1+32-1-1-1-1-1-1-1-3-1-1-1-1-1-2-2-1+96-49-1-1-5-5-1-1-1-9-1-1-2-1-2-4-1-20-2+99-1+150-1-1-6-4-1-1-1-1-9+54-1-1-1-3-1-3-25-1-28-1-1-1-1-1-4-30-2-1-2-1-1+1-21</f>
        <v>199</v>
      </c>
      <c r="G115" s="791">
        <f>39-1-1-10-26-1+50-1-1+34-1-2-1-1-1-2-1-1-1-5-1-1-1-1+78-1-1-2-1-1+34-1-1-1+66-1+4-41-1-1-5-5-1-14-6-2-1-1-25-1-2-1+80-1-1-3-7-1-1-1-1-7+90-1-1-8-3-1-1-30+107-4-1-4-30-1-2-1-1+1-14</f>
        <v>279</v>
      </c>
      <c r="H115" s="791">
        <f>40-1-10-20-4-1-1+83-3-1-2-1-2-1+48-22-1-1-2-5-1-1-12-1-1-1-1-10-1+97+50-1-10-1-1-6-3-15+12-1-3-15-1-1-1-1+1-6-10</f>
        <v>148</v>
      </c>
      <c r="I115" s="791">
        <f>10-2+20+32-1-1-1-1+20-3-1-3-1-3-4-1-1-1-2-1+20-1-5-1-1+3-2-1-1-1+1-2</f>
        <v>64</v>
      </c>
      <c r="J115" s="791">
        <f>10-1+51-1-1-2-2-3-1-3-1-1-1+1-1+1-1</f>
        <v>44</v>
      </c>
      <c r="K115" s="808">
        <f>0</f>
        <v>0</v>
      </c>
      <c r="L115" s="808">
        <f>0</f>
        <v>0</v>
      </c>
      <c r="M115" s="107">
        <f t="shared" si="5"/>
        <v>1043</v>
      </c>
    </row>
    <row r="116" spans="2:13" ht="21">
      <c r="B116" s="827"/>
      <c r="C116" s="828"/>
      <c r="D116" s="828"/>
      <c r="E116" s="828"/>
      <c r="F116" s="828"/>
      <c r="G116" s="828"/>
      <c r="H116" s="828"/>
      <c r="I116" s="828"/>
      <c r="J116" s="828"/>
      <c r="K116" s="828"/>
      <c r="L116" s="829"/>
      <c r="M116" s="834">
        <f>SUM(M109:M115)</f>
        <v>6158</v>
      </c>
    </row>
    <row r="118" spans="2:13" ht="16" thickBot="1"/>
    <row r="119" spans="2:13" ht="42" thickBot="1">
      <c r="B119" s="778" t="s">
        <v>279</v>
      </c>
      <c r="C119" s="779"/>
      <c r="D119" s="779"/>
      <c r="E119" s="779"/>
      <c r="F119" s="779"/>
      <c r="G119" s="779"/>
      <c r="H119" s="779"/>
      <c r="I119" s="779"/>
      <c r="J119" s="779"/>
      <c r="K119" s="780"/>
      <c r="L119" s="806"/>
    </row>
    <row r="120" spans="2:13" ht="16" thickBot="1">
      <c r="B120" s="1"/>
      <c r="C120" s="781" t="s">
        <v>48</v>
      </c>
      <c r="D120" s="782"/>
      <c r="E120" s="782"/>
      <c r="F120" s="782"/>
      <c r="G120" s="782"/>
      <c r="H120" s="782"/>
      <c r="I120" s="782"/>
      <c r="J120" s="782"/>
      <c r="K120" s="783"/>
      <c r="L120" s="1"/>
    </row>
    <row r="121" spans="2:13" ht="21">
      <c r="B121" s="784" t="s">
        <v>9</v>
      </c>
      <c r="C121" s="796" t="s">
        <v>10</v>
      </c>
      <c r="D121" s="797" t="s">
        <v>11</v>
      </c>
      <c r="E121" s="797" t="s">
        <v>12</v>
      </c>
      <c r="F121" s="797" t="s">
        <v>13</v>
      </c>
      <c r="G121" s="797" t="s">
        <v>14</v>
      </c>
      <c r="H121" s="797" t="s">
        <v>15</v>
      </c>
      <c r="I121" s="797" t="s">
        <v>16</v>
      </c>
      <c r="J121" s="797" t="s">
        <v>17</v>
      </c>
      <c r="K121" s="797" t="s">
        <v>18</v>
      </c>
      <c r="L121" s="160" t="s">
        <v>84</v>
      </c>
    </row>
    <row r="122" spans="2:13" ht="18">
      <c r="B122" s="787" t="s">
        <v>275</v>
      </c>
      <c r="C122" s="790">
        <f>19+39-1+19-10-2-1-2-1-2-1-1+15-2-3-1-30-1+25-1+38+2+39+4+75-1+10-1</f>
        <v>224</v>
      </c>
      <c r="D122" s="790">
        <f>78-1-1-15-3-1-2-2-1-2-1+81-1+42-3-1-1-1-1-1-1-1-1-1-1-1+19-1-1-1-2-1-9-10-1-3-4-1-1-5-4-3-3-9-2+18-1-1-1-1-1+46-2-2+2-1+40+26+40+40+7-1+15-2</f>
        <v>336</v>
      </c>
      <c r="E122" s="790">
        <f>40+39-1-15-3-3-1-2-1-1-1+58+32-2-5+2+36-1-2+2-1-1-1-1-1-3-1-2-1-1-1-1-1-1-1-1-7-3-1-1-1-1+40-1-3-1+67-1-2-3-3-1-22-17-1-1-3-6-22-4-5-15-1-44-4-1-37-8-1-1-2-1-2-1-1-2-1-1-1-1-1-6-1+50-1-2-2+2+80+128-1+65-2-7+38-1+15-1+27-1</f>
        <v>403</v>
      </c>
      <c r="F122" s="790">
        <f>40-4-3+10-1-2+25-2-1-2-1+85-1-2-1-1-2-1-1-1-2-1-1-1+50-8-1-5-1+79+54-1-1-1-1-1-9-3-2-1-3-3-29-1-35-1-1-1-3-6-8-28-9-5-14-1-7-70-1-1-35-6-1+2-2-2-3-1-1-1+44-2-2+56-2+2+120-1-1-1+90-10-1-1-2-1+15-8-5-15</f>
        <v>275</v>
      </c>
      <c r="G122" s="790">
        <f>39-10-4-1-1-2-1-2-1-3-2-1-1-1-1-1-1-2-1-2-1+21-3-2-1+19-3-13-12-1-3-1-1+15-1-1-2-1+10-1-1-4-5-4-1-5+1+50-2+2-1-1-1+27+40-2-3+7-1-7+15-2-1</f>
        <v>120</v>
      </c>
      <c r="H122" s="790">
        <f>0+13-1-2-1-1-1+26+28-1-2+18+5-13-4-1-2-2-9-1-11-3-1-2-19-13+39-2+2+32-2-1-1+5</f>
        <v>72</v>
      </c>
      <c r="I122" s="790">
        <f>13-1-1-1-2-1+4-1-3-5-2+33-10-2-6-1-1-2+2-1+39+5+15</f>
        <v>71</v>
      </c>
      <c r="J122" s="790">
        <f>14-2-2-1+13+4-1-1+2+25+5+20</f>
        <v>76</v>
      </c>
      <c r="K122" s="790">
        <f>0+25+5</f>
        <v>30</v>
      </c>
      <c r="L122" s="789">
        <f>SUM(C122:K122)</f>
        <v>1607</v>
      </c>
    </row>
    <row r="123" spans="2:13" ht="18">
      <c r="B123" s="787" t="s">
        <v>274</v>
      </c>
      <c r="C123" s="790">
        <f>77+1-15-1-2-1-2+6-1+15-2-1-1-5+80+2+3-1+15-1</f>
        <v>166</v>
      </c>
      <c r="D123" s="790">
        <f>73-15-1-2-2-1-2-1+31+27-3-1-1-1-1+19-1-2-1-13-10-2-1-2-1-3-4-2-1-2-10-1+66-1-1-1-5+97+96+3-1+15</f>
        <v>331</v>
      </c>
      <c r="E123" s="790">
        <f>63-20-1-2-1+50+37-2-4-2-2-2-1-1-1-1-1-1-2-1-1-1-1-1-1-1-1-1-2-4-2+104-1-18-1-1-3+9-24-33-1-2-1-2-7-1-3-1-17-5-1-1-2-36-2-2-5+22-3-4-3-1-1-1-1-1-2+134-1-1-1-3+3-1-2-1-1+15-1</f>
        <v>177</v>
      </c>
      <c r="F123" s="790">
        <f>39-1-1-2+20-2-1-2-4-3+7-1-1-1-1-1-1-1-1-1-1-1-1+84-1-1-1-1+50-1-4-1-21-3-3-1+29+17-24-17-3-2-1-1-6+1-2-1-1-1-2-3-1-18-45-2-1-1-2-47+84+1-1-5-14-1-2-2-4-1+50+121+120-3+291-1+2-2-2-2-1-1+15</f>
        <v>642</v>
      </c>
      <c r="G123" s="790">
        <f>38-1-2-2-1-3-1-1-1-1-1-1-1-1+22+70-1-1-1-1-2-10-1-2-1+42-9-29-2-1+4+20-2-3-16-30-1-1-1-2-11-26-1-9-2-9-3-1+2+97-1-1+50-1-2-1+5-1</f>
        <v>147</v>
      </c>
      <c r="H123" s="790">
        <f>1-1+19+25-4-1-1-1-4-1-1-2-1-2+3-2+4-1-1-4-5-2-1-1-2--2-12-1-2-1+12-2-2-7-1+82-1-1-1-1+5</f>
        <v>83</v>
      </c>
      <c r="I123" s="790">
        <f>11+1-1-5-6+4-1-2-1+31-20+2-1-1-5-2+37+5+19</f>
        <v>65</v>
      </c>
      <c r="J123" s="790">
        <f>1-1+30-26+25-1+17+18-5</f>
        <v>58</v>
      </c>
      <c r="K123" s="808">
        <f>0+5+18</f>
        <v>23</v>
      </c>
      <c r="L123" s="789">
        <f>SUM(C123:K123)</f>
        <v>1692</v>
      </c>
    </row>
    <row r="124" spans="2:13" ht="18">
      <c r="B124" s="794"/>
      <c r="C124" s="794"/>
      <c r="D124" s="794"/>
      <c r="E124" s="794"/>
      <c r="F124" s="794"/>
      <c r="G124" s="794"/>
      <c r="H124" s="794"/>
      <c r="I124" s="794"/>
      <c r="J124" s="794"/>
      <c r="K124" s="794"/>
      <c r="L124" s="795">
        <f>SUM(L122:L123)</f>
        <v>3299</v>
      </c>
    </row>
  </sheetData>
  <mergeCells count="24">
    <mergeCell ref="B97:K97"/>
    <mergeCell ref="C98:K98"/>
    <mergeCell ref="B106:L106"/>
    <mergeCell ref="C107:L107"/>
    <mergeCell ref="B119:K119"/>
    <mergeCell ref="C120:K120"/>
    <mergeCell ref="B76:L76"/>
    <mergeCell ref="C77:L77"/>
    <mergeCell ref="B83:L83"/>
    <mergeCell ref="C84:L84"/>
    <mergeCell ref="B90:K90"/>
    <mergeCell ref="C91:K91"/>
    <mergeCell ref="B43:K43"/>
    <mergeCell ref="C44:K44"/>
    <mergeCell ref="B56:K56"/>
    <mergeCell ref="C57:K57"/>
    <mergeCell ref="B69:K69"/>
    <mergeCell ref="C70:K70"/>
    <mergeCell ref="C4:K4"/>
    <mergeCell ref="C5:K5"/>
    <mergeCell ref="C19:K19"/>
    <mergeCell ref="C20:K20"/>
    <mergeCell ref="B35:K35"/>
    <mergeCell ref="C36:K3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8D75BA6A6FCF468A2692B3728B3AC2" ma:contentTypeVersion="9" ma:contentTypeDescription="Crear nuevo documento." ma:contentTypeScope="" ma:versionID="4dc95bf62208be982d80f61989e5055a">
  <xsd:schema xmlns:xsd="http://www.w3.org/2001/XMLSchema" xmlns:xs="http://www.w3.org/2001/XMLSchema" xmlns:p="http://schemas.microsoft.com/office/2006/metadata/properties" xmlns:ns3="7c87e882-5b3d-40bf-bb22-ac7e19838713" targetNamespace="http://schemas.microsoft.com/office/2006/metadata/properties" ma:root="true" ma:fieldsID="170f6d6ce7eb75073e8343b6a80727b7" ns3:_="">
    <xsd:import namespace="7c87e882-5b3d-40bf-bb22-ac7e1983871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7e882-5b3d-40bf-bb22-ac7e1983871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DAEA23-95AE-4602-9CE2-D010D24544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72BF38-EF31-43CC-8A8C-C3BD35C50ED8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7c87e882-5b3d-40bf-bb22-ac7e19838713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6453D42-8B6B-4FAD-8973-A83BA3FEE2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7e882-5b3d-40bf-bb22-ac7e198387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BE FRESH</vt:lpstr>
      <vt:lpstr>PREZENZA</vt:lpstr>
      <vt:lpstr>TORIBIO MEDINA</vt:lpstr>
      <vt:lpstr>SUDADERAS</vt:lpstr>
      <vt:lpstr>'BE FRESH'!Área_de_impresión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Monserrat Nava</dc:creator>
  <cp:lastModifiedBy>Microsoft Office User</cp:lastModifiedBy>
  <cp:lastPrinted>2026-04-14T17:05:20Z</cp:lastPrinted>
  <dcterms:created xsi:type="dcterms:W3CDTF">2025-06-14T21:17:29Z</dcterms:created>
  <dcterms:modified xsi:type="dcterms:W3CDTF">2026-04-17T18:18:15Z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0x010100698D75BA6A6FCF468A2692B3728B3AC2</vt:lpwstr>
  </property>
</Properties>
</file>